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5360" windowHeight="6675" tabRatio="831"/>
  </bookViews>
  <sheets>
    <sheet name="Exhibit 3 Tables" sheetId="28" r:id="rId1"/>
    <sheet name="Summary" sheetId="11" r:id="rId2"/>
    <sheet name="Purchased Power Model " sheetId="19" r:id="rId3"/>
    <sheet name="Purchased Power Model WN" sheetId="29" r:id="rId4"/>
    <sheet name="Rate Class Energy Model" sheetId="9" r:id="rId5"/>
    <sheet name="Rate Class Customer Model" sheetId="17" r:id="rId6"/>
    <sheet name="Rate Class Load Model" sheetId="18" r:id="rId7"/>
    <sheet name="CDM Activity" sheetId="23" r:id="rId8"/>
    <sheet name="Historical HDD &amp; CDD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8">#REF!</definedName>
    <definedName name="PAGE11" localSheetId="3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0">#REF!</definedName>
    <definedName name="PAGE3" localSheetId="8">#REF!</definedName>
    <definedName name="PAGE3" localSheetId="3">#REF!</definedName>
    <definedName name="PAGE3">#REF!</definedName>
    <definedName name="PAGE4" localSheetId="0">#REF!</definedName>
    <definedName name="PAGE4" localSheetId="8">#REF!</definedName>
    <definedName name="PAGE4" localSheetId="3">#REF!</definedName>
    <definedName name="PAGE4">#REF!</definedName>
    <definedName name="PAGE7" localSheetId="0">#REF!</definedName>
    <definedName name="PAGE7" localSheetId="8">#REF!</definedName>
    <definedName name="PAGE7" localSheetId="3">#REF!</definedName>
    <definedName name="PAGE7">#REF!</definedName>
    <definedName name="PAGE9" localSheetId="0">#REF!</definedName>
    <definedName name="PAGE9" localSheetId="8">#REF!</definedName>
    <definedName name="PAGE9" localSheetId="3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'!$N$62:$R$85</definedName>
    <definedName name="_xlnm.Print_Area" localSheetId="3">'Purchased Power Model WN'!$N$62:$R$85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AE16" i="23" l="1"/>
  <c r="AF16" i="23"/>
  <c r="AD16" i="23"/>
  <c r="G88" i="9" l="1"/>
  <c r="G87" i="9"/>
  <c r="E242" i="28" l="1"/>
  <c r="E198" i="28"/>
  <c r="A198" i="28"/>
  <c r="A217" i="28" s="1"/>
  <c r="A242" i="28" s="1"/>
  <c r="A261" i="28" s="1"/>
  <c r="A328" i="28" s="1"/>
  <c r="A347" i="28" s="1"/>
  <c r="A120" i="28"/>
  <c r="A65" i="28"/>
  <c r="AE19" i="23" l="1"/>
  <c r="AD15" i="23" l="1"/>
  <c r="AE15" i="23"/>
  <c r="AF15" i="23"/>
  <c r="AC15" i="23"/>
  <c r="AC14" i="23"/>
  <c r="AD14" i="23"/>
  <c r="AE14" i="23"/>
  <c r="AF14" i="23"/>
  <c r="AB14" i="23"/>
  <c r="AD12" i="23"/>
  <c r="AA12" i="23"/>
  <c r="AA13" i="23"/>
  <c r="AB13" i="23"/>
  <c r="AC12" i="23"/>
  <c r="AE12" i="23"/>
  <c r="AF13" i="23"/>
  <c r="V29" i="23" l="1"/>
  <c r="V31" i="23"/>
  <c r="V30" i="23"/>
  <c r="W30" i="23"/>
  <c r="W31" i="23"/>
  <c r="AD13" i="23"/>
  <c r="AE13" i="23"/>
  <c r="AC13" i="23"/>
  <c r="W29" i="23" s="1"/>
  <c r="AF12" i="23"/>
  <c r="Z12" i="23"/>
  <c r="V28" i="23" s="1"/>
  <c r="AB12" i="23"/>
  <c r="W28" i="23" l="1"/>
  <c r="E16" i="18"/>
  <c r="D328" i="28" s="1"/>
  <c r="D16" i="18"/>
  <c r="C328" i="28" s="1"/>
  <c r="C16" i="18"/>
  <c r="B16" i="18"/>
  <c r="B328" i="28" s="1"/>
  <c r="E328" i="28" l="1"/>
  <c r="L82" i="9"/>
  <c r="F306" i="28" s="1"/>
  <c r="E34" i="17"/>
  <c r="H17" i="17"/>
  <c r="H198" i="28" s="1"/>
  <c r="G17" i="17"/>
  <c r="G198" i="28" s="1"/>
  <c r="F17" i="17"/>
  <c r="F198" i="28" s="1"/>
  <c r="D17" i="17"/>
  <c r="D198" i="28" s="1"/>
  <c r="C17" i="17"/>
  <c r="C198" i="28" s="1"/>
  <c r="B17" i="17"/>
  <c r="B198" i="28" s="1"/>
  <c r="N20" i="9"/>
  <c r="M20" i="9"/>
  <c r="L20" i="9"/>
  <c r="K20" i="9"/>
  <c r="P29" i="11" s="1"/>
  <c r="E65" i="28" s="1"/>
  <c r="J20" i="9"/>
  <c r="I20" i="9"/>
  <c r="H20" i="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J172" i="19"/>
  <c r="J173" i="19"/>
  <c r="J174" i="19"/>
  <c r="J175" i="19"/>
  <c r="J176" i="19"/>
  <c r="J177" i="19"/>
  <c r="J178" i="19"/>
  <c r="J179" i="19"/>
  <c r="J180" i="19"/>
  <c r="J181" i="19"/>
  <c r="J182" i="19"/>
  <c r="J171" i="19"/>
  <c r="I198" i="28" l="1"/>
  <c r="B212" i="29"/>
  <c r="I43" i="9"/>
  <c r="P20" i="11"/>
  <c r="C65" i="28" s="1"/>
  <c r="M43" i="9"/>
  <c r="P39" i="11"/>
  <c r="G65" i="28" s="1"/>
  <c r="J43" i="9"/>
  <c r="P24" i="11"/>
  <c r="D65" i="28" s="1"/>
  <c r="N43" i="9"/>
  <c r="P44" i="11"/>
  <c r="H65" i="28" s="1"/>
  <c r="E34" i="18"/>
  <c r="D347" i="28" s="1"/>
  <c r="H43" i="9"/>
  <c r="P16" i="11"/>
  <c r="B65" i="28" s="1"/>
  <c r="L43" i="9"/>
  <c r="D34" i="18"/>
  <c r="C347" i="28" s="1"/>
  <c r="P34" i="11"/>
  <c r="F65" i="28" s="1"/>
  <c r="B34" i="18"/>
  <c r="B347" i="28" s="1"/>
  <c r="G20" i="9"/>
  <c r="I65" i="28" l="1"/>
  <c r="P11" i="11"/>
  <c r="B45" i="28" s="1"/>
  <c r="P53" i="11"/>
  <c r="P48" i="11"/>
  <c r="D329" i="24"/>
  <c r="D328" i="24"/>
  <c r="D327" i="24"/>
  <c r="D326" i="24"/>
  <c r="D325" i="24"/>
  <c r="D324" i="24"/>
  <c r="D323" i="24"/>
  <c r="D322" i="24"/>
  <c r="D321" i="24"/>
  <c r="D320" i="24"/>
  <c r="D319" i="24"/>
  <c r="D318" i="24"/>
  <c r="C329" i="24"/>
  <c r="C328" i="24"/>
  <c r="C327" i="24"/>
  <c r="C326" i="24"/>
  <c r="C325" i="24"/>
  <c r="C324" i="24"/>
  <c r="C323" i="24"/>
  <c r="C322" i="24"/>
  <c r="C321" i="24"/>
  <c r="C320" i="24"/>
  <c r="C319" i="24"/>
  <c r="C318" i="24"/>
  <c r="P58" i="11" l="1"/>
  <c r="C174" i="19"/>
  <c r="AJ33" i="24"/>
  <c r="C178" i="19"/>
  <c r="AJ37" i="24"/>
  <c r="C182" i="19"/>
  <c r="AJ41" i="24"/>
  <c r="D174" i="19"/>
  <c r="AJ46" i="24"/>
  <c r="D178" i="19"/>
  <c r="AJ50" i="24"/>
  <c r="D182" i="19"/>
  <c r="AJ54" i="24"/>
  <c r="C171" i="19"/>
  <c r="AJ30" i="24"/>
  <c r="AK30" i="24" s="1"/>
  <c r="C175" i="19"/>
  <c r="AJ34" i="24"/>
  <c r="C179" i="19"/>
  <c r="AJ38" i="24"/>
  <c r="D171" i="19"/>
  <c r="AJ43" i="24"/>
  <c r="D175" i="19"/>
  <c r="AJ47" i="24"/>
  <c r="D179" i="19"/>
  <c r="AJ51" i="24"/>
  <c r="C172" i="19"/>
  <c r="AJ31" i="24"/>
  <c r="C176" i="19"/>
  <c r="AJ35" i="24"/>
  <c r="C180" i="19"/>
  <c r="AJ39" i="24"/>
  <c r="D172" i="19"/>
  <c r="AJ44" i="24"/>
  <c r="D176" i="19"/>
  <c r="AJ48" i="24"/>
  <c r="D180" i="19"/>
  <c r="AJ52" i="24"/>
  <c r="C173" i="19"/>
  <c r="AJ32" i="24"/>
  <c r="C177" i="19"/>
  <c r="AJ36" i="24"/>
  <c r="C181" i="19"/>
  <c r="AJ40" i="24"/>
  <c r="D173" i="19"/>
  <c r="AJ45" i="24"/>
  <c r="D177" i="19"/>
  <c r="AJ49" i="24"/>
  <c r="D181" i="19"/>
  <c r="AJ53" i="24"/>
  <c r="B172" i="19"/>
  <c r="B173" i="19"/>
  <c r="B174" i="19"/>
  <c r="B175" i="19"/>
  <c r="B176" i="19"/>
  <c r="B177" i="19"/>
  <c r="B178" i="19"/>
  <c r="B179" i="19"/>
  <c r="B180" i="19"/>
  <c r="B181" i="19"/>
  <c r="B182" i="19"/>
  <c r="B171" i="19"/>
  <c r="AL53" i="24" l="1"/>
  <c r="AK53" i="24"/>
  <c r="AL45" i="24"/>
  <c r="AK45" i="24"/>
  <c r="AL36" i="24"/>
  <c r="AK36" i="24"/>
  <c r="AL52" i="24"/>
  <c r="AK52" i="24"/>
  <c r="AL44" i="24"/>
  <c r="AK44" i="24"/>
  <c r="AK35" i="24"/>
  <c r="AL35" i="24"/>
  <c r="AL51" i="24"/>
  <c r="AK51" i="24"/>
  <c r="AL43" i="24"/>
  <c r="AK43" i="24"/>
  <c r="AJ55" i="24"/>
  <c r="AL34" i="24"/>
  <c r="AK34" i="24"/>
  <c r="AK54" i="24"/>
  <c r="AL54" i="24"/>
  <c r="AK46" i="24"/>
  <c r="AL46" i="24"/>
  <c r="AL37" i="24"/>
  <c r="AK37" i="24"/>
  <c r="AL49" i="24"/>
  <c r="AK49" i="24"/>
  <c r="AL40" i="24"/>
  <c r="AK40" i="24"/>
  <c r="AL32" i="24"/>
  <c r="AK32" i="24"/>
  <c r="AL48" i="24"/>
  <c r="AK48" i="24"/>
  <c r="AK39" i="24"/>
  <c r="AL39" i="24"/>
  <c r="AL31" i="24"/>
  <c r="AK31" i="24"/>
  <c r="AL47" i="24"/>
  <c r="AK47" i="24"/>
  <c r="AL38" i="24"/>
  <c r="AK38" i="24"/>
  <c r="AJ42" i="24"/>
  <c r="AL30" i="24"/>
  <c r="AK50" i="24"/>
  <c r="AL50" i="24"/>
  <c r="AL41" i="24"/>
  <c r="AK41" i="24"/>
  <c r="AL33" i="24"/>
  <c r="AK33" i="24"/>
  <c r="B212" i="19"/>
  <c r="B175" i="28" s="1"/>
  <c r="AB603" i="28"/>
  <c r="AB602" i="28"/>
  <c r="AB601" i="28"/>
  <c r="AB600" i="28"/>
  <c r="AB599" i="28"/>
  <c r="AB598" i="28"/>
  <c r="AB597" i="28"/>
  <c r="AA541" i="28"/>
  <c r="AA540" i="28"/>
  <c r="AA539" i="28"/>
  <c r="AA538" i="28"/>
  <c r="AA537" i="28"/>
  <c r="AA536" i="28"/>
  <c r="AA535" i="28"/>
  <c r="W12" i="28"/>
  <c r="V12" i="28"/>
  <c r="U12" i="28"/>
  <c r="T12" i="28"/>
  <c r="S12" i="28"/>
  <c r="R12" i="28"/>
  <c r="Q12" i="28"/>
  <c r="P12" i="28"/>
  <c r="O12" i="28"/>
  <c r="AB604" i="28" l="1"/>
  <c r="P4" i="11"/>
  <c r="B20" i="9"/>
  <c r="F20" i="9" s="1"/>
  <c r="AO622" i="28"/>
  <c r="AM622" i="28"/>
  <c r="AB567" i="28"/>
  <c r="AA598" i="28" s="1"/>
  <c r="AB568" i="28"/>
  <c r="AA599" i="28" s="1"/>
  <c r="AC599" i="28" s="1"/>
  <c r="AD599" i="28" s="1"/>
  <c r="AB569" i="28"/>
  <c r="AA600" i="28" s="1"/>
  <c r="AC600" i="28" s="1"/>
  <c r="AD600" i="28" s="1"/>
  <c r="AB570" i="28"/>
  <c r="AA601" i="28" s="1"/>
  <c r="AB571" i="28"/>
  <c r="AA602" i="28" s="1"/>
  <c r="AB572" i="28"/>
  <c r="AB536" i="28"/>
  <c r="AB537" i="28"/>
  <c r="AA568" i="28" s="1"/>
  <c r="AB538" i="28"/>
  <c r="AA569" i="28" s="1"/>
  <c r="AB539" i="28"/>
  <c r="AB540" i="28"/>
  <c r="AC540" i="28" s="1"/>
  <c r="AD540" i="28" s="1"/>
  <c r="AB541" i="28"/>
  <c r="AA572" i="28" s="1"/>
  <c r="AA534" i="28"/>
  <c r="AG516" i="28"/>
  <c r="AF516" i="28"/>
  <c r="AB505" i="28"/>
  <c r="AB506" i="28"/>
  <c r="AB507" i="28"/>
  <c r="AB508" i="28"/>
  <c r="AB509" i="28"/>
  <c r="AB510" i="28"/>
  <c r="AB504" i="28"/>
  <c r="AA474" i="28"/>
  <c r="AA475" i="28"/>
  <c r="AA476" i="28"/>
  <c r="AA477" i="28"/>
  <c r="AA478" i="28"/>
  <c r="AA479" i="28"/>
  <c r="AA473" i="28"/>
  <c r="AG485" i="28"/>
  <c r="AJ485" i="28" s="1"/>
  <c r="AN485" i="28" s="1"/>
  <c r="AF485" i="28"/>
  <c r="AI485" i="28" s="1"/>
  <c r="AH456" i="28"/>
  <c r="AH487" i="28" s="1"/>
  <c r="AH518" i="28" s="1"/>
  <c r="AH527" i="28" s="1"/>
  <c r="AH549" i="28" s="1"/>
  <c r="AH558" i="28" s="1"/>
  <c r="AH580" i="28" s="1"/>
  <c r="AH589" i="28" s="1"/>
  <c r="AH611" i="28" s="1"/>
  <c r="AH620" i="28" s="1"/>
  <c r="AH457" i="28"/>
  <c r="AH488" i="28" s="1"/>
  <c r="AH519" i="28" s="1"/>
  <c r="AH528" i="28" s="1"/>
  <c r="AH550" i="28" s="1"/>
  <c r="AH559" i="28" s="1"/>
  <c r="AH581" i="28" s="1"/>
  <c r="AH590" i="28" s="1"/>
  <c r="AH612" i="28" s="1"/>
  <c r="AH621" i="28" s="1"/>
  <c r="AH458" i="28"/>
  <c r="AH489" i="28" s="1"/>
  <c r="AH520" i="28" s="1"/>
  <c r="AH529" i="28" s="1"/>
  <c r="AH551" i="28" s="1"/>
  <c r="AH560" i="28" s="1"/>
  <c r="AH582" i="28" s="1"/>
  <c r="AH591" i="28" s="1"/>
  <c r="AH613" i="28" s="1"/>
  <c r="AH622" i="28" s="1"/>
  <c r="AH459" i="28"/>
  <c r="AH490" i="28" s="1"/>
  <c r="AH521" i="28" s="1"/>
  <c r="AH530" i="28" s="1"/>
  <c r="AH552" i="28" s="1"/>
  <c r="AH561" i="28" s="1"/>
  <c r="AH583" i="28" s="1"/>
  <c r="AH592" i="28" s="1"/>
  <c r="AH614" i="28" s="1"/>
  <c r="AH623" i="28" s="1"/>
  <c r="AH460" i="28"/>
  <c r="AH491" i="28" s="1"/>
  <c r="AH522" i="28" s="1"/>
  <c r="AH531" i="28" s="1"/>
  <c r="AH553" i="28" s="1"/>
  <c r="AH562" i="28" s="1"/>
  <c r="AH584" i="28" s="1"/>
  <c r="AH593" i="28" s="1"/>
  <c r="AH615" i="28" s="1"/>
  <c r="AH624" i="28" s="1"/>
  <c r="AH461" i="28"/>
  <c r="AH492" i="28" s="1"/>
  <c r="AH523" i="28" s="1"/>
  <c r="AH532" i="28" s="1"/>
  <c r="AH554" i="28" s="1"/>
  <c r="AH563" i="28" s="1"/>
  <c r="AH585" i="28" s="1"/>
  <c r="AH594" i="28" s="1"/>
  <c r="AH616" i="28" s="1"/>
  <c r="AH625" i="28" s="1"/>
  <c r="AH455" i="28"/>
  <c r="AH486" i="28" s="1"/>
  <c r="AH517" i="28" s="1"/>
  <c r="AH526" i="28" s="1"/>
  <c r="AH548" i="28" s="1"/>
  <c r="AH557" i="28" s="1"/>
  <c r="AH579" i="28" s="1"/>
  <c r="AH588" i="28" s="1"/>
  <c r="AH610" i="28" s="1"/>
  <c r="AH619" i="28" s="1"/>
  <c r="AB443" i="28"/>
  <c r="AB474" i="28" s="1"/>
  <c r="AA505" i="28" s="1"/>
  <c r="AB444" i="28"/>
  <c r="AB475" i="28" s="1"/>
  <c r="AA506" i="28" s="1"/>
  <c r="AB445" i="28"/>
  <c r="AB476" i="28" s="1"/>
  <c r="AA507" i="28" s="1"/>
  <c r="AB446" i="28"/>
  <c r="AB477" i="28" s="1"/>
  <c r="AA508" i="28" s="1"/>
  <c r="AB447" i="28"/>
  <c r="AB478" i="28" s="1"/>
  <c r="AA509" i="28" s="1"/>
  <c r="AB448" i="28"/>
  <c r="AB479" i="28" s="1"/>
  <c r="AB442" i="28"/>
  <c r="AA441" i="28"/>
  <c r="AC508" i="28" l="1"/>
  <c r="AD508" i="28" s="1"/>
  <c r="AC536" i="28"/>
  <c r="AD536" i="28" s="1"/>
  <c r="AA567" i="28"/>
  <c r="AC567" i="28" s="1"/>
  <c r="AD567" i="28" s="1"/>
  <c r="AC541" i="28"/>
  <c r="AD541" i="28" s="1"/>
  <c r="AC537" i="28"/>
  <c r="AD537" i="28" s="1"/>
  <c r="AC539" i="28"/>
  <c r="AD539" i="28" s="1"/>
  <c r="AC572" i="28"/>
  <c r="AD572" i="28" s="1"/>
  <c r="AC568" i="28"/>
  <c r="AD568" i="28" s="1"/>
  <c r="AA603" i="28"/>
  <c r="AC603" i="28" s="1"/>
  <c r="AD603" i="28" s="1"/>
  <c r="AA571" i="28"/>
  <c r="AC571" i="28" s="1"/>
  <c r="AD571" i="28" s="1"/>
  <c r="AC602" i="28"/>
  <c r="AD602" i="28" s="1"/>
  <c r="AC601" i="28"/>
  <c r="AD601" i="28" s="1"/>
  <c r="AA480" i="28"/>
  <c r="AA570" i="28"/>
  <c r="AC569" i="28"/>
  <c r="AD569" i="28" s="1"/>
  <c r="AC598" i="28"/>
  <c r="AD598" i="28" s="1"/>
  <c r="AC479" i="28"/>
  <c r="AD479" i="28" s="1"/>
  <c r="AC538" i="28"/>
  <c r="AD538" i="28" s="1"/>
  <c r="AB511" i="28"/>
  <c r="AC507" i="28"/>
  <c r="AD507" i="28" s="1"/>
  <c r="AC506" i="28"/>
  <c r="AD506" i="28" s="1"/>
  <c r="AC509" i="28"/>
  <c r="AD509" i="28" s="1"/>
  <c r="AC505" i="28"/>
  <c r="AD505" i="28" s="1"/>
  <c r="AB449" i="28"/>
  <c r="AA510" i="28"/>
  <c r="AC510" i="28" s="1"/>
  <c r="AD510" i="28" s="1"/>
  <c r="AC476" i="28"/>
  <c r="AD476" i="28" s="1"/>
  <c r="AC475" i="28"/>
  <c r="AD475" i="28" s="1"/>
  <c r="AC478" i="28"/>
  <c r="AD478" i="28" s="1"/>
  <c r="AC474" i="28"/>
  <c r="AD474" i="28" s="1"/>
  <c r="AC477" i="28"/>
  <c r="AD477" i="28" s="1"/>
  <c r="AB473" i="28"/>
  <c r="AK485" i="28"/>
  <c r="AO485" i="28" s="1"/>
  <c r="AM485" i="28"/>
  <c r="AL485" i="28"/>
  <c r="AP485" i="28" s="1"/>
  <c r="AH434" i="28"/>
  <c r="AH465" i="28" s="1"/>
  <c r="AH496" i="28" s="1"/>
  <c r="AH435" i="28"/>
  <c r="AH466" i="28" s="1"/>
  <c r="AH497" i="28" s="1"/>
  <c r="AH436" i="28"/>
  <c r="AH467" i="28" s="1"/>
  <c r="AH498" i="28" s="1"/>
  <c r="AH437" i="28"/>
  <c r="AH468" i="28" s="1"/>
  <c r="AH499" i="28" s="1"/>
  <c r="AH438" i="28"/>
  <c r="AH469" i="28" s="1"/>
  <c r="AH500" i="28" s="1"/>
  <c r="AH439" i="28"/>
  <c r="AH470" i="28" s="1"/>
  <c r="AH501" i="28" s="1"/>
  <c r="AH433" i="28"/>
  <c r="AH464" i="28" s="1"/>
  <c r="AH495" i="28" s="1"/>
  <c r="AB412" i="28"/>
  <c r="AA443" i="28" s="1"/>
  <c r="AB413" i="28"/>
  <c r="AA444" i="28" s="1"/>
  <c r="AC444" i="28" s="1"/>
  <c r="AD444" i="28" s="1"/>
  <c r="AB414" i="28"/>
  <c r="AA445" i="28" s="1"/>
  <c r="AC445" i="28" s="1"/>
  <c r="AD445" i="28" s="1"/>
  <c r="AB415" i="28"/>
  <c r="AA446" i="28" s="1"/>
  <c r="AC446" i="28" s="1"/>
  <c r="AD446" i="28" s="1"/>
  <c r="AB416" i="28"/>
  <c r="AA447" i="28" s="1"/>
  <c r="AC447" i="28" s="1"/>
  <c r="AD447" i="28" s="1"/>
  <c r="AB417" i="28"/>
  <c r="AA448" i="28" s="1"/>
  <c r="AC448" i="28" s="1"/>
  <c r="AD448" i="28" s="1"/>
  <c r="AA412" i="28"/>
  <c r="AA413" i="28"/>
  <c r="AA414" i="28"/>
  <c r="AA415" i="28"/>
  <c r="AA416" i="28"/>
  <c r="AA417" i="28"/>
  <c r="AA411" i="28"/>
  <c r="N11" i="28"/>
  <c r="Z417" i="28" s="1"/>
  <c r="Z412" i="28"/>
  <c r="Z443" i="28" s="1"/>
  <c r="Z474" i="28" s="1"/>
  <c r="Z505" i="28" s="1"/>
  <c r="Z536" i="28" s="1"/>
  <c r="Z567" i="28" s="1"/>
  <c r="Z598" i="28" s="1"/>
  <c r="Z413" i="28"/>
  <c r="N10" i="28"/>
  <c r="Z416" i="28" s="1"/>
  <c r="N9" i="28"/>
  <c r="Z415" i="28" s="1"/>
  <c r="N8" i="28"/>
  <c r="Z414" i="28" s="1"/>
  <c r="S401" i="28"/>
  <c r="AI492" i="28" s="1"/>
  <c r="S400" i="28"/>
  <c r="AF492" i="28" s="1"/>
  <c r="S397" i="28"/>
  <c r="AI491" i="28" s="1"/>
  <c r="S396" i="28"/>
  <c r="S395" i="28"/>
  <c r="AF491" i="28" s="1"/>
  <c r="S392" i="28"/>
  <c r="AI490" i="28" s="1"/>
  <c r="S391" i="28"/>
  <c r="S390" i="28"/>
  <c r="AF490" i="28" s="1"/>
  <c r="S387" i="28"/>
  <c r="AI489" i="28" s="1"/>
  <c r="S386" i="28"/>
  <c r="S385" i="28"/>
  <c r="AF489" i="28" s="1"/>
  <c r="S382" i="28"/>
  <c r="AI488" i="28" s="1"/>
  <c r="S381" i="28"/>
  <c r="S380" i="28"/>
  <c r="AF488" i="28" s="1"/>
  <c r="S377" i="28"/>
  <c r="AI487" i="28" s="1"/>
  <c r="S376" i="28"/>
  <c r="AF487" i="28" s="1"/>
  <c r="S373" i="28"/>
  <c r="AI486" i="28" s="1"/>
  <c r="AK486" i="28" s="1"/>
  <c r="S372" i="28"/>
  <c r="AF486" i="28" s="1"/>
  <c r="P386" i="28"/>
  <c r="P387" i="28"/>
  <c r="P385" i="28"/>
  <c r="E288" i="28"/>
  <c r="E290" i="28" l="1"/>
  <c r="B283" i="28"/>
  <c r="AC570" i="28"/>
  <c r="AD570" i="28" s="1"/>
  <c r="AF493" i="28"/>
  <c r="AC473" i="28"/>
  <c r="AD473" i="28" s="1"/>
  <c r="AA504" i="28"/>
  <c r="AB480" i="28"/>
  <c r="AC480" i="28" s="1"/>
  <c r="AD480" i="28" s="1"/>
  <c r="AM488" i="28"/>
  <c r="AK488" i="28"/>
  <c r="AO488" i="28" s="1"/>
  <c r="AM487" i="28"/>
  <c r="AK487" i="28"/>
  <c r="AO487" i="28" s="1"/>
  <c r="AM491" i="28"/>
  <c r="AK491" i="28"/>
  <c r="AO491" i="28" s="1"/>
  <c r="AM486" i="28"/>
  <c r="AM490" i="28"/>
  <c r="AK490" i="28"/>
  <c r="AO490" i="28" s="1"/>
  <c r="AO486" i="28"/>
  <c r="AM489" i="28"/>
  <c r="AK489" i="28"/>
  <c r="AO489" i="28" s="1"/>
  <c r="AM492" i="28"/>
  <c r="AK492" i="28"/>
  <c r="AO492" i="28" s="1"/>
  <c r="AE426" i="28"/>
  <c r="AE457" i="28" s="1"/>
  <c r="AE519" i="28" s="1"/>
  <c r="Z444" i="28"/>
  <c r="Z475" i="28" s="1"/>
  <c r="Z506" i="28" s="1"/>
  <c r="Z537" i="28" s="1"/>
  <c r="Z568" i="28" s="1"/>
  <c r="Z599" i="28" s="1"/>
  <c r="AE425" i="28"/>
  <c r="AE456" i="28" s="1"/>
  <c r="AE518" i="28" s="1"/>
  <c r="AE427" i="28"/>
  <c r="Z445" i="28"/>
  <c r="Z476" i="28" s="1"/>
  <c r="Z507" i="28" s="1"/>
  <c r="Z538" i="28" s="1"/>
  <c r="Z569" i="28" s="1"/>
  <c r="Z600" i="28" s="1"/>
  <c r="AE428" i="28"/>
  <c r="Z446" i="28"/>
  <c r="Z477" i="28" s="1"/>
  <c r="Z508" i="28" s="1"/>
  <c r="Z539" i="28" s="1"/>
  <c r="Z570" i="28" s="1"/>
  <c r="Z601" i="28" s="1"/>
  <c r="AE429" i="28"/>
  <c r="Z447" i="28"/>
  <c r="Z478" i="28" s="1"/>
  <c r="Z509" i="28" s="1"/>
  <c r="Z540" i="28" s="1"/>
  <c r="Z571" i="28" s="1"/>
  <c r="Z602" i="28" s="1"/>
  <c r="AE430" i="28"/>
  <c r="Z448" i="28"/>
  <c r="Z479" i="28" s="1"/>
  <c r="Z510" i="28" s="1"/>
  <c r="Z541" i="28" s="1"/>
  <c r="Z572" i="28" s="1"/>
  <c r="Z603" i="28" s="1"/>
  <c r="AC443" i="28"/>
  <c r="AD443" i="28" s="1"/>
  <c r="AC415" i="28"/>
  <c r="AD415" i="28" s="1"/>
  <c r="AC417" i="28"/>
  <c r="AD417" i="28" s="1"/>
  <c r="AC413" i="28"/>
  <c r="AD413" i="28" s="1"/>
  <c r="AA418" i="28"/>
  <c r="AC416" i="28"/>
  <c r="AD416" i="28" s="1"/>
  <c r="AC412" i="28"/>
  <c r="AD412" i="28" s="1"/>
  <c r="AC414" i="28"/>
  <c r="AD414" i="28" s="1"/>
  <c r="S404" i="28"/>
  <c r="S406" i="28"/>
  <c r="S405" i="28"/>
  <c r="AE528" i="28" l="1"/>
  <c r="AE550" i="28"/>
  <c r="AE527" i="28"/>
  <c r="AE549" i="28"/>
  <c r="AA511" i="28"/>
  <c r="AC511" i="28" s="1"/>
  <c r="AD511" i="28" s="1"/>
  <c r="AC504" i="28"/>
  <c r="AD504" i="28" s="1"/>
  <c r="AE434" i="28"/>
  <c r="AE465" i="28"/>
  <c r="AE487" i="28"/>
  <c r="AE496" i="28" s="1"/>
  <c r="AE435" i="28"/>
  <c r="AE466" i="28"/>
  <c r="AE488" i="28"/>
  <c r="AE497" i="28" s="1"/>
  <c r="AE439" i="28"/>
  <c r="AE461" i="28"/>
  <c r="AE523" i="28" s="1"/>
  <c r="AE437" i="28"/>
  <c r="AE459" i="28"/>
  <c r="AE521" i="28" s="1"/>
  <c r="AE438" i="28"/>
  <c r="AE460" i="28"/>
  <c r="AE522" i="28" s="1"/>
  <c r="AE436" i="28"/>
  <c r="AE458" i="28"/>
  <c r="AE520" i="28" s="1"/>
  <c r="AE559" i="28" l="1"/>
  <c r="AE581" i="28"/>
  <c r="AE558" i="28"/>
  <c r="AE580" i="28"/>
  <c r="AE532" i="28"/>
  <c r="AE554" i="28"/>
  <c r="AE529" i="28"/>
  <c r="AE551" i="28"/>
  <c r="AE531" i="28"/>
  <c r="AE553" i="28"/>
  <c r="AE530" i="28"/>
  <c r="AE552" i="28"/>
  <c r="AE467" i="28"/>
  <c r="AE489" i="28"/>
  <c r="AE498" i="28" s="1"/>
  <c r="AE468" i="28"/>
  <c r="AE490" i="28"/>
  <c r="AE499" i="28" s="1"/>
  <c r="AE469" i="28"/>
  <c r="AE491" i="28"/>
  <c r="AE500" i="28" s="1"/>
  <c r="AE470" i="28"/>
  <c r="AE492" i="28"/>
  <c r="AE501" i="28" s="1"/>
  <c r="E277" i="28"/>
  <c r="F277" i="28"/>
  <c r="G277" i="28"/>
  <c r="H277" i="28"/>
  <c r="C277" i="28"/>
  <c r="D277" i="28"/>
  <c r="B277" i="28"/>
  <c r="E267" i="28"/>
  <c r="E223" i="28"/>
  <c r="E197" i="28"/>
  <c r="E217" i="28" s="1"/>
  <c r="A185" i="28"/>
  <c r="A204" i="28" s="1"/>
  <c r="A229" i="28" s="1"/>
  <c r="A248" i="28" s="1"/>
  <c r="A315" i="28" s="1"/>
  <c r="A334" i="28" s="1"/>
  <c r="A186" i="28"/>
  <c r="A205" i="28" s="1"/>
  <c r="A230" i="28" s="1"/>
  <c r="A249" i="28" s="1"/>
  <c r="A316" i="28" s="1"/>
  <c r="A335" i="28" s="1"/>
  <c r="A187" i="28"/>
  <c r="A206" i="28" s="1"/>
  <c r="A231" i="28" s="1"/>
  <c r="A250" i="28" s="1"/>
  <c r="A317" i="28" s="1"/>
  <c r="A336" i="28" s="1"/>
  <c r="A188" i="28"/>
  <c r="A207" i="28" s="1"/>
  <c r="A232" i="28" s="1"/>
  <c r="A251" i="28" s="1"/>
  <c r="A318" i="28" s="1"/>
  <c r="A337" i="28" s="1"/>
  <c r="A189" i="28"/>
  <c r="A208" i="28" s="1"/>
  <c r="A233" i="28" s="1"/>
  <c r="A252" i="28" s="1"/>
  <c r="A319" i="28" s="1"/>
  <c r="A338" i="28" s="1"/>
  <c r="A190" i="28"/>
  <c r="A209" i="28" s="1"/>
  <c r="A234" i="28" s="1"/>
  <c r="A253" i="28" s="1"/>
  <c r="A320" i="28" s="1"/>
  <c r="A339" i="28" s="1"/>
  <c r="A191" i="28"/>
  <c r="A210" i="28" s="1"/>
  <c r="A235" i="28" s="1"/>
  <c r="A254" i="28" s="1"/>
  <c r="A321" i="28" s="1"/>
  <c r="A340" i="28" s="1"/>
  <c r="A192" i="28"/>
  <c r="A211" i="28" s="1"/>
  <c r="A236" i="28" s="1"/>
  <c r="A255" i="28" s="1"/>
  <c r="A322" i="28" s="1"/>
  <c r="A341" i="28" s="1"/>
  <c r="A193" i="28"/>
  <c r="A212" i="28" s="1"/>
  <c r="A237" i="28" s="1"/>
  <c r="A256" i="28" s="1"/>
  <c r="A323" i="28" s="1"/>
  <c r="A342" i="28" s="1"/>
  <c r="A194" i="28"/>
  <c r="A213" i="28" s="1"/>
  <c r="A238" i="28" s="1"/>
  <c r="A257" i="28" s="1"/>
  <c r="A324" i="28" s="1"/>
  <c r="A343" i="28" s="1"/>
  <c r="A195" i="28"/>
  <c r="A214" i="28" s="1"/>
  <c r="A239" i="28" s="1"/>
  <c r="A258" i="28" s="1"/>
  <c r="A325" i="28" s="1"/>
  <c r="A344" i="28" s="1"/>
  <c r="A196" i="28"/>
  <c r="A215" i="28" s="1"/>
  <c r="A240" i="28" s="1"/>
  <c r="A259" i="28" s="1"/>
  <c r="A326" i="28" s="1"/>
  <c r="A345" i="28" s="1"/>
  <c r="A197" i="28"/>
  <c r="A216" i="28" s="1"/>
  <c r="A241" i="28" s="1"/>
  <c r="A260" i="28" s="1"/>
  <c r="A327" i="28" s="1"/>
  <c r="A346" i="28" s="1"/>
  <c r="A184" i="28"/>
  <c r="A203" i="28" s="1"/>
  <c r="A228" i="28" s="1"/>
  <c r="A247" i="28" s="1"/>
  <c r="A314" i="28" s="1"/>
  <c r="A333" i="28" s="1"/>
  <c r="A119" i="28"/>
  <c r="H99" i="28"/>
  <c r="G99" i="28"/>
  <c r="F99" i="28"/>
  <c r="E99" i="28"/>
  <c r="D99" i="28"/>
  <c r="C99" i="28"/>
  <c r="B99" i="28"/>
  <c r="I87" i="28"/>
  <c r="I182" i="28" s="1"/>
  <c r="I221" i="28" s="1"/>
  <c r="I270" i="28" s="1"/>
  <c r="H78" i="28"/>
  <c r="G78" i="28"/>
  <c r="F78" i="28"/>
  <c r="E78" i="28"/>
  <c r="D78" i="28"/>
  <c r="C78" i="28"/>
  <c r="B78" i="28"/>
  <c r="A64" i="28"/>
  <c r="A81" i="28" s="1"/>
  <c r="A136" i="28" s="1"/>
  <c r="J170" i="29"/>
  <c r="B170" i="29"/>
  <c r="J169" i="29"/>
  <c r="B169" i="29"/>
  <c r="J168" i="29"/>
  <c r="B168" i="29"/>
  <c r="J167" i="29"/>
  <c r="B167" i="29"/>
  <c r="J166" i="29"/>
  <c r="B166" i="29"/>
  <c r="J165" i="29"/>
  <c r="B165" i="29"/>
  <c r="J164" i="29"/>
  <c r="B164" i="29"/>
  <c r="J163" i="29"/>
  <c r="B163" i="29"/>
  <c r="J162" i="29"/>
  <c r="B162" i="29"/>
  <c r="J161" i="29"/>
  <c r="B161" i="29"/>
  <c r="J160" i="29"/>
  <c r="B160" i="29"/>
  <c r="J159" i="29"/>
  <c r="B159" i="29"/>
  <c r="J158" i="29"/>
  <c r="B158" i="29"/>
  <c r="J157" i="29"/>
  <c r="B157" i="29"/>
  <c r="J156" i="29"/>
  <c r="B156" i="29"/>
  <c r="J155" i="29"/>
  <c r="B155" i="29"/>
  <c r="J154" i="29"/>
  <c r="B154" i="29"/>
  <c r="J153" i="29"/>
  <c r="B153" i="29"/>
  <c r="J152" i="29"/>
  <c r="B152" i="29"/>
  <c r="J151" i="29"/>
  <c r="B151" i="29"/>
  <c r="J150" i="29"/>
  <c r="B150" i="29"/>
  <c r="J149" i="29"/>
  <c r="B149" i="29"/>
  <c r="J148" i="29"/>
  <c r="B148" i="29"/>
  <c r="J147" i="29"/>
  <c r="B147" i="29"/>
  <c r="J146" i="29"/>
  <c r="B146" i="29"/>
  <c r="J145" i="29"/>
  <c r="B145" i="29"/>
  <c r="J144" i="29"/>
  <c r="B144" i="29"/>
  <c r="J143" i="29"/>
  <c r="B143" i="29"/>
  <c r="J142" i="29"/>
  <c r="B142" i="29"/>
  <c r="J141" i="29"/>
  <c r="B141" i="29"/>
  <c r="J140" i="29"/>
  <c r="B140" i="29"/>
  <c r="J139" i="29"/>
  <c r="B139" i="29"/>
  <c r="J138" i="29"/>
  <c r="B138" i="29"/>
  <c r="J137" i="29"/>
  <c r="B137" i="29"/>
  <c r="J136" i="29"/>
  <c r="B136" i="29"/>
  <c r="J135" i="29"/>
  <c r="B135" i="29"/>
  <c r="J134" i="29"/>
  <c r="B134" i="29"/>
  <c r="J133" i="29"/>
  <c r="B133" i="29"/>
  <c r="J132" i="29"/>
  <c r="B132" i="29"/>
  <c r="J131" i="29"/>
  <c r="B131" i="29"/>
  <c r="J130" i="29"/>
  <c r="B130" i="29"/>
  <c r="J129" i="29"/>
  <c r="B129" i="29"/>
  <c r="J128" i="29"/>
  <c r="B128" i="29"/>
  <c r="J127" i="29"/>
  <c r="B127" i="29"/>
  <c r="J126" i="29"/>
  <c r="B126" i="29"/>
  <c r="J125" i="29"/>
  <c r="B125" i="29"/>
  <c r="J124" i="29"/>
  <c r="B124" i="29"/>
  <c r="J123" i="29"/>
  <c r="B123" i="29"/>
  <c r="J122" i="29"/>
  <c r="B122" i="29"/>
  <c r="J121" i="29"/>
  <c r="B121" i="29"/>
  <c r="J120" i="29"/>
  <c r="B120" i="29"/>
  <c r="J119" i="29"/>
  <c r="B119" i="29"/>
  <c r="J118" i="29"/>
  <c r="B118" i="29"/>
  <c r="J117" i="29"/>
  <c r="B117" i="29"/>
  <c r="J116" i="29"/>
  <c r="B116" i="29"/>
  <c r="J115" i="29"/>
  <c r="B115" i="29"/>
  <c r="J114" i="29"/>
  <c r="B114" i="29"/>
  <c r="J113" i="29"/>
  <c r="B113" i="29"/>
  <c r="J112" i="29"/>
  <c r="B112" i="29"/>
  <c r="J111" i="29"/>
  <c r="B111" i="29"/>
  <c r="J110" i="29"/>
  <c r="B110" i="29"/>
  <c r="J109" i="29"/>
  <c r="B109" i="29"/>
  <c r="J108" i="29"/>
  <c r="B108" i="29"/>
  <c r="J107" i="29"/>
  <c r="B107" i="29"/>
  <c r="J106" i="29"/>
  <c r="B106" i="29"/>
  <c r="J105" i="29"/>
  <c r="B105" i="29"/>
  <c r="J104" i="29"/>
  <c r="B104" i="29"/>
  <c r="J103" i="29"/>
  <c r="B103" i="29"/>
  <c r="J102" i="29"/>
  <c r="B102" i="29"/>
  <c r="J101" i="29"/>
  <c r="B101" i="29"/>
  <c r="J100" i="29"/>
  <c r="B100" i="29"/>
  <c r="J99" i="29"/>
  <c r="B99" i="29"/>
  <c r="J98" i="29"/>
  <c r="B98" i="29"/>
  <c r="J97" i="29"/>
  <c r="B97" i="29"/>
  <c r="J96" i="29"/>
  <c r="B96" i="29"/>
  <c r="J95" i="29"/>
  <c r="B95" i="29"/>
  <c r="J94" i="29"/>
  <c r="B94" i="29"/>
  <c r="J93" i="29"/>
  <c r="B93" i="29"/>
  <c r="J92" i="29"/>
  <c r="B92" i="29"/>
  <c r="J91" i="29"/>
  <c r="B91" i="29"/>
  <c r="J90" i="29"/>
  <c r="B90" i="29"/>
  <c r="J89" i="29"/>
  <c r="B89" i="29"/>
  <c r="J88" i="29"/>
  <c r="B88" i="29"/>
  <c r="J87" i="29"/>
  <c r="B87" i="29"/>
  <c r="J86" i="29"/>
  <c r="B86" i="29"/>
  <c r="J85" i="29"/>
  <c r="B85" i="29"/>
  <c r="J84" i="29"/>
  <c r="B84" i="29"/>
  <c r="J83" i="29"/>
  <c r="B83" i="29"/>
  <c r="J82" i="29"/>
  <c r="B82" i="29"/>
  <c r="J81" i="29"/>
  <c r="B81" i="29"/>
  <c r="J80" i="29"/>
  <c r="B80" i="29"/>
  <c r="J79" i="29"/>
  <c r="B79" i="29"/>
  <c r="J78" i="29"/>
  <c r="B78" i="29"/>
  <c r="J77" i="29"/>
  <c r="B77" i="29"/>
  <c r="J76" i="29"/>
  <c r="B76" i="29"/>
  <c r="J75" i="29"/>
  <c r="B75" i="29"/>
  <c r="J74" i="29"/>
  <c r="B74" i="29"/>
  <c r="J73" i="29"/>
  <c r="B73" i="29"/>
  <c r="J72" i="29"/>
  <c r="B72" i="29"/>
  <c r="J71" i="29"/>
  <c r="B71" i="29"/>
  <c r="J70" i="29"/>
  <c r="B70" i="29"/>
  <c r="J69" i="29"/>
  <c r="B69" i="29"/>
  <c r="J68" i="29"/>
  <c r="B68" i="29"/>
  <c r="J67" i="29"/>
  <c r="B67" i="29"/>
  <c r="J66" i="29"/>
  <c r="B66" i="29"/>
  <c r="J65" i="29"/>
  <c r="B65" i="29"/>
  <c r="J64" i="29"/>
  <c r="B64" i="29"/>
  <c r="J63" i="29"/>
  <c r="B63" i="29"/>
  <c r="J62" i="29"/>
  <c r="B62" i="29"/>
  <c r="J61" i="29"/>
  <c r="B61" i="29"/>
  <c r="J60" i="29"/>
  <c r="B60" i="29"/>
  <c r="J59" i="29"/>
  <c r="B59" i="29"/>
  <c r="J58" i="29"/>
  <c r="B58" i="29"/>
  <c r="J57" i="29"/>
  <c r="B57" i="29"/>
  <c r="J56" i="29"/>
  <c r="B56" i="29"/>
  <c r="J55" i="29"/>
  <c r="B55" i="29"/>
  <c r="J54" i="29"/>
  <c r="B54" i="29"/>
  <c r="J53" i="29"/>
  <c r="B53" i="29"/>
  <c r="J52" i="29"/>
  <c r="B52" i="29"/>
  <c r="J51" i="29"/>
  <c r="B51" i="29"/>
  <c r="J50" i="29"/>
  <c r="B50" i="29"/>
  <c r="J49" i="29"/>
  <c r="B49" i="29"/>
  <c r="J48" i="29"/>
  <c r="B48" i="29"/>
  <c r="J47" i="29"/>
  <c r="B47" i="29"/>
  <c r="J46" i="29"/>
  <c r="B46" i="29"/>
  <c r="J45" i="29"/>
  <c r="B45" i="29"/>
  <c r="J44" i="29"/>
  <c r="B44" i="29"/>
  <c r="J43" i="29"/>
  <c r="B43" i="29"/>
  <c r="J42" i="29"/>
  <c r="B42" i="29"/>
  <c r="J41" i="29"/>
  <c r="B41" i="29"/>
  <c r="J40" i="29"/>
  <c r="B40" i="29"/>
  <c r="J39" i="29"/>
  <c r="B39" i="29"/>
  <c r="J38" i="29"/>
  <c r="B38" i="29"/>
  <c r="J37" i="29"/>
  <c r="B37" i="29"/>
  <c r="J36" i="29"/>
  <c r="B36" i="29"/>
  <c r="J35" i="29"/>
  <c r="B35" i="29"/>
  <c r="J34" i="29"/>
  <c r="B34" i="29"/>
  <c r="J33" i="29"/>
  <c r="B33" i="29"/>
  <c r="J32" i="29"/>
  <c r="B32" i="29"/>
  <c r="J31" i="29"/>
  <c r="B31" i="29"/>
  <c r="J30" i="29"/>
  <c r="B30" i="29"/>
  <c r="J29" i="29"/>
  <c r="B29" i="29"/>
  <c r="J28" i="29"/>
  <c r="B28" i="29"/>
  <c r="J27" i="29"/>
  <c r="B27" i="29"/>
  <c r="J26" i="29"/>
  <c r="B26" i="29"/>
  <c r="J25" i="29"/>
  <c r="B25" i="29"/>
  <c r="J24" i="29"/>
  <c r="B24" i="29"/>
  <c r="J23" i="29"/>
  <c r="B23" i="29"/>
  <c r="J22" i="29"/>
  <c r="B22" i="29"/>
  <c r="J21" i="29"/>
  <c r="B21" i="29"/>
  <c r="J20" i="29"/>
  <c r="B20" i="29"/>
  <c r="J19" i="29"/>
  <c r="B19" i="29"/>
  <c r="J18" i="29"/>
  <c r="B18" i="29"/>
  <c r="J17" i="29"/>
  <c r="B17" i="29"/>
  <c r="J16" i="29"/>
  <c r="B16" i="29"/>
  <c r="J15" i="29"/>
  <c r="B15" i="29"/>
  <c r="J14" i="29"/>
  <c r="B14" i="29"/>
  <c r="J13" i="29"/>
  <c r="B13" i="29"/>
  <c r="J12" i="29"/>
  <c r="B12" i="29"/>
  <c r="J11" i="29"/>
  <c r="B11" i="29"/>
  <c r="J10" i="29"/>
  <c r="B10" i="29"/>
  <c r="J9" i="29"/>
  <c r="B9" i="29"/>
  <c r="J8" i="29"/>
  <c r="B8" i="29"/>
  <c r="J7" i="29"/>
  <c r="B7" i="29"/>
  <c r="J6" i="29"/>
  <c r="B6" i="29"/>
  <c r="J5" i="29"/>
  <c r="B5" i="29"/>
  <c r="J4" i="29"/>
  <c r="B4" i="29"/>
  <c r="J3" i="29"/>
  <c r="B3" i="29"/>
  <c r="L153" i="28"/>
  <c r="L152" i="28"/>
  <c r="K152" i="28"/>
  <c r="L151" i="28"/>
  <c r="K151" i="28"/>
  <c r="L150" i="28"/>
  <c r="K150" i="28"/>
  <c r="L149" i="28"/>
  <c r="K149" i="28"/>
  <c r="L148" i="28"/>
  <c r="K148" i="28"/>
  <c r="L147" i="28"/>
  <c r="K147" i="28"/>
  <c r="L144" i="28"/>
  <c r="L143" i="28"/>
  <c r="L142" i="28"/>
  <c r="AG609" i="28"/>
  <c r="AJ609" i="28" s="1"/>
  <c r="AK608" i="28"/>
  <c r="AA596" i="28"/>
  <c r="AF609" i="28" s="1"/>
  <c r="AI609" i="28" s="1"/>
  <c r="AM609" i="28" s="1"/>
  <c r="AG578" i="28"/>
  <c r="AJ578" i="28" s="1"/>
  <c r="AB566" i="28"/>
  <c r="AB573" i="28" s="1"/>
  <c r="AA565" i="28"/>
  <c r="AF578" i="28" s="1"/>
  <c r="AI578" i="28" s="1"/>
  <c r="AG547" i="28"/>
  <c r="AJ547" i="28" s="1"/>
  <c r="AB535" i="28"/>
  <c r="AB542" i="28" s="1"/>
  <c r="AF547" i="28"/>
  <c r="AI547" i="28" s="1"/>
  <c r="AJ516" i="28"/>
  <c r="AL516" i="28" s="1"/>
  <c r="AP516" i="28" s="1"/>
  <c r="AI516" i="28"/>
  <c r="AG454" i="28"/>
  <c r="AJ454" i="28" s="1"/>
  <c r="AL454" i="28" s="1"/>
  <c r="AP454" i="28" s="1"/>
  <c r="AF454" i="28"/>
  <c r="AI454" i="28" s="1"/>
  <c r="AK454" i="28" s="1"/>
  <c r="AO454" i="28" s="1"/>
  <c r="AG423" i="28"/>
  <c r="AJ423" i="28" s="1"/>
  <c r="AL423" i="28" s="1"/>
  <c r="AN423" i="28" s="1"/>
  <c r="AP423" i="28" s="1"/>
  <c r="AF423" i="28"/>
  <c r="AI423" i="28" s="1"/>
  <c r="AK423" i="28" s="1"/>
  <c r="AM423" i="28" s="1"/>
  <c r="AO423" i="28" s="1"/>
  <c r="AE422" i="28"/>
  <c r="AB411" i="28"/>
  <c r="A262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87" i="28"/>
  <c r="A83" i="28"/>
  <c r="A138" i="28" s="1"/>
  <c r="A176" i="28" s="1"/>
  <c r="A223" i="28" s="1"/>
  <c r="A82" i="28"/>
  <c r="A78" i="28"/>
  <c r="A63" i="28"/>
  <c r="A101" i="28" s="1"/>
  <c r="A62" i="28"/>
  <c r="A100" i="28" s="1"/>
  <c r="A61" i="28"/>
  <c r="A77" i="28" s="1"/>
  <c r="A132" i="28" s="1"/>
  <c r="A60" i="28"/>
  <c r="A97" i="28" s="1"/>
  <c r="A59" i="28"/>
  <c r="A58" i="28"/>
  <c r="A74" i="28" s="1"/>
  <c r="A129" i="28" s="1"/>
  <c r="A57" i="28"/>
  <c r="A94" i="28" s="1"/>
  <c r="A56" i="28"/>
  <c r="A72" i="28" s="1"/>
  <c r="A127" i="28" s="1"/>
  <c r="A55" i="28"/>
  <c r="A71" i="28" s="1"/>
  <c r="A126" i="28" s="1"/>
  <c r="A54" i="28"/>
  <c r="A91" i="28" s="1"/>
  <c r="A53" i="28"/>
  <c r="A90" i="28" s="1"/>
  <c r="A52" i="28"/>
  <c r="A68" i="28" s="1"/>
  <c r="A123" i="28" s="1"/>
  <c r="A51" i="28"/>
  <c r="A67" i="28" s="1"/>
  <c r="A122" i="28" s="1"/>
  <c r="W21" i="28"/>
  <c r="V21" i="28"/>
  <c r="U21" i="28"/>
  <c r="T21" i="28"/>
  <c r="S21" i="28"/>
  <c r="R21" i="28"/>
  <c r="Q21" i="28"/>
  <c r="P21" i="28"/>
  <c r="O21" i="28"/>
  <c r="B198" i="29" l="1"/>
  <c r="B199" i="29"/>
  <c r="B200" i="29"/>
  <c r="B201" i="29"/>
  <c r="B202" i="29"/>
  <c r="B203" i="29"/>
  <c r="B204" i="29"/>
  <c r="B205" i="29"/>
  <c r="B206" i="29"/>
  <c r="B207" i="29"/>
  <c r="B208" i="29"/>
  <c r="B209" i="29"/>
  <c r="B210" i="29"/>
  <c r="B211" i="29"/>
  <c r="AE590" i="28"/>
  <c r="AE612" i="28"/>
  <c r="AE621" i="28" s="1"/>
  <c r="AE589" i="28"/>
  <c r="AE611" i="28"/>
  <c r="AE620" i="28" s="1"/>
  <c r="AE563" i="28"/>
  <c r="AE585" i="28"/>
  <c r="AE561" i="28"/>
  <c r="AE583" i="28"/>
  <c r="AE560" i="28"/>
  <c r="AE582" i="28"/>
  <c r="AE562" i="28"/>
  <c r="AE584" i="28"/>
  <c r="AE453" i="28"/>
  <c r="AB418" i="28"/>
  <c r="AA442" i="28"/>
  <c r="AA449" i="28" s="1"/>
  <c r="AC449" i="28" s="1"/>
  <c r="AD449" i="28" s="1"/>
  <c r="B133" i="28"/>
  <c r="F133" i="28"/>
  <c r="E272" i="28"/>
  <c r="E302" i="28" s="1"/>
  <c r="I300" i="28"/>
  <c r="E311" i="28" s="1"/>
  <c r="C133" i="28"/>
  <c r="G133" i="28"/>
  <c r="E133" i="28"/>
  <c r="D133" i="28"/>
  <c r="H133" i="28"/>
  <c r="A102" i="28"/>
  <c r="I78" i="28"/>
  <c r="D29" i="28" s="1"/>
  <c r="AN454" i="28"/>
  <c r="I99" i="28"/>
  <c r="F29" i="28" s="1"/>
  <c r="Q22" i="28"/>
  <c r="U22" i="28"/>
  <c r="O22" i="28"/>
  <c r="R22" i="28"/>
  <c r="V22" i="28"/>
  <c r="A69" i="28"/>
  <c r="A124" i="28" s="1"/>
  <c r="A79" i="28"/>
  <c r="A134" i="28" s="1"/>
  <c r="P22" i="28"/>
  <c r="A76" i="28"/>
  <c r="A131" i="28" s="1"/>
  <c r="A89" i="28"/>
  <c r="A104" i="28"/>
  <c r="T22" i="28"/>
  <c r="AN516" i="28"/>
  <c r="S22" i="28"/>
  <c r="W22" i="28"/>
  <c r="AM454" i="28"/>
  <c r="AK609" i="28"/>
  <c r="AO609" i="28" s="1"/>
  <c r="A93" i="28"/>
  <c r="A95" i="28"/>
  <c r="A88" i="28"/>
  <c r="A92" i="28"/>
  <c r="A133" i="28"/>
  <c r="A99" i="28"/>
  <c r="A304" i="28"/>
  <c r="A306" i="28" s="1"/>
  <c r="A308" i="28" s="1"/>
  <c r="A354" i="28" s="1"/>
  <c r="A272" i="28"/>
  <c r="A288" i="28" s="1"/>
  <c r="A96" i="28"/>
  <c r="A75" i="28"/>
  <c r="A130" i="28" s="1"/>
  <c r="A98" i="28"/>
  <c r="A70" i="28"/>
  <c r="A125" i="28" s="1"/>
  <c r="A73" i="28"/>
  <c r="A128" i="28" s="1"/>
  <c r="A137" i="28"/>
  <c r="A175" i="28" s="1"/>
  <c r="A103" i="28"/>
  <c r="A80" i="28"/>
  <c r="A135" i="28" s="1"/>
  <c r="A290" i="28"/>
  <c r="A302" i="28" s="1"/>
  <c r="AK516" i="28"/>
  <c r="AO516" i="28" s="1"/>
  <c r="AM516" i="28"/>
  <c r="AM578" i="28"/>
  <c r="AK578" i="28"/>
  <c r="AO578" i="28" s="1"/>
  <c r="AL547" i="28"/>
  <c r="AP547" i="28" s="1"/>
  <c r="AN547" i="28"/>
  <c r="AK547" i="28"/>
  <c r="AO547" i="28" s="1"/>
  <c r="AM547" i="28"/>
  <c r="AC411" i="28"/>
  <c r="AA566" i="28"/>
  <c r="AA573" i="28" s="1"/>
  <c r="AC573" i="28" s="1"/>
  <c r="AD573" i="28" s="1"/>
  <c r="AA597" i="28"/>
  <c r="AA604" i="28" s="1"/>
  <c r="AC604" i="28" s="1"/>
  <c r="AD604" i="28" s="1"/>
  <c r="AA542" i="28"/>
  <c r="AN609" i="28"/>
  <c r="AL609" i="28"/>
  <c r="AP609" i="28" s="1"/>
  <c r="AL578" i="28"/>
  <c r="AP578" i="28" s="1"/>
  <c r="AN578" i="28"/>
  <c r="B215" i="29" l="1"/>
  <c r="AE593" i="28"/>
  <c r="AE615" i="28"/>
  <c r="AE624" i="28" s="1"/>
  <c r="AE592" i="28"/>
  <c r="AE614" i="28"/>
  <c r="AE623" i="28" s="1"/>
  <c r="AE594" i="28"/>
  <c r="AE616" i="28"/>
  <c r="AE625" i="28" s="1"/>
  <c r="AE591" i="28"/>
  <c r="AE613" i="28"/>
  <c r="AE622" i="28" s="1"/>
  <c r="AE515" i="28"/>
  <c r="AE546" i="28" s="1"/>
  <c r="AE577" i="28" s="1"/>
  <c r="AE608" i="28" s="1"/>
  <c r="AE484" i="28"/>
  <c r="AD411" i="28"/>
  <c r="AC418" i="28"/>
  <c r="AD418" i="28" s="1"/>
  <c r="I311" i="28"/>
  <c r="E352" i="28"/>
  <c r="AC566" i="28"/>
  <c r="AD566" i="28" s="1"/>
  <c r="AC535" i="28"/>
  <c r="AD535" i="28" s="1"/>
  <c r="AC542" i="28"/>
  <c r="AD542" i="28" s="1"/>
  <c r="AC597" i="28"/>
  <c r="AD597" i="28" s="1"/>
  <c r="AC442" i="28" l="1"/>
  <c r="AD442" i="28" s="1"/>
  <c r="J80" i="9" l="1"/>
  <c r="D288" i="28" s="1"/>
  <c r="D290" i="28" s="1"/>
  <c r="I80" i="9"/>
  <c r="C288" i="28" s="1"/>
  <c r="C290" i="28" s="1"/>
  <c r="H80" i="9"/>
  <c r="B288" i="28" s="1"/>
  <c r="B290" i="28" s="1"/>
  <c r="Q28" i="11"/>
  <c r="P28" i="11"/>
  <c r="O28" i="11"/>
  <c r="C15" i="18"/>
  <c r="O30" i="11" s="1"/>
  <c r="V387" i="28" s="1"/>
  <c r="AJ551" i="28" s="1"/>
  <c r="C14" i="18"/>
  <c r="N30" i="11" s="1"/>
  <c r="U387" i="28" s="1"/>
  <c r="AJ520" i="28" s="1"/>
  <c r="C13" i="18"/>
  <c r="M30" i="11" s="1"/>
  <c r="T387" i="28" s="1"/>
  <c r="AJ458" i="28" s="1"/>
  <c r="C12" i="18"/>
  <c r="C11" i="18"/>
  <c r="K30" i="11" s="1"/>
  <c r="Q387" i="28" s="1"/>
  <c r="AI427" i="28" s="1"/>
  <c r="C10" i="18"/>
  <c r="J30" i="11" s="1"/>
  <c r="C9" i="18"/>
  <c r="I30" i="11" s="1"/>
  <c r="C8" i="18"/>
  <c r="C7" i="18"/>
  <c r="G30" i="11" s="1"/>
  <c r="C6" i="18"/>
  <c r="F30" i="11" s="1"/>
  <c r="C5" i="18"/>
  <c r="E30" i="11" s="1"/>
  <c r="C4" i="18"/>
  <c r="C3" i="18"/>
  <c r="C30" i="11" s="1"/>
  <c r="C2" i="18"/>
  <c r="A27" i="11"/>
  <c r="AJ489" i="28" l="1"/>
  <c r="AI551" i="28"/>
  <c r="AI582" i="28"/>
  <c r="W385" i="28"/>
  <c r="AG582" i="28" s="1"/>
  <c r="E103" i="28"/>
  <c r="F288" i="28"/>
  <c r="X385" i="28"/>
  <c r="AG613" i="28" s="1"/>
  <c r="E104" i="28"/>
  <c r="D30" i="11"/>
  <c r="H30" i="11"/>
  <c r="L30" i="11"/>
  <c r="R387" i="28" s="1"/>
  <c r="AJ427" i="28" s="1"/>
  <c r="B30" i="11"/>
  <c r="P384" i="28"/>
  <c r="E49" i="28"/>
  <c r="E87" i="28" s="1"/>
  <c r="E182" i="28" s="1"/>
  <c r="V385" i="28"/>
  <c r="AG551" i="28" s="1"/>
  <c r="E102" i="28"/>
  <c r="AF613" i="28" l="1"/>
  <c r="AF622" i="28" s="1"/>
  <c r="AI520" i="28"/>
  <c r="AI498" i="28"/>
  <c r="AF582" i="28"/>
  <c r="AF591" i="28" s="1"/>
  <c r="F290" i="28"/>
  <c r="AN551" i="28"/>
  <c r="E201" i="28"/>
  <c r="E221" i="28"/>
  <c r="E226" i="28" s="1"/>
  <c r="E245" i="28" s="1"/>
  <c r="AI458" i="28"/>
  <c r="AI436" i="28"/>
  <c r="J241" i="19"/>
  <c r="E223" i="19"/>
  <c r="E237" i="19" s="1"/>
  <c r="G223" i="19"/>
  <c r="G237" i="19" s="1"/>
  <c r="H223" i="19"/>
  <c r="H237" i="19" s="1"/>
  <c r="E224" i="19"/>
  <c r="E238" i="19" s="1"/>
  <c r="G224" i="19"/>
  <c r="G238" i="19" s="1"/>
  <c r="H224" i="19"/>
  <c r="H238" i="19" s="1"/>
  <c r="E225" i="19"/>
  <c r="E239" i="19" s="1"/>
  <c r="G225" i="19"/>
  <c r="G239" i="19" s="1"/>
  <c r="H225" i="19"/>
  <c r="H239" i="19" s="1"/>
  <c r="E226" i="19"/>
  <c r="E240" i="19" s="1"/>
  <c r="G226" i="19"/>
  <c r="G240" i="19" s="1"/>
  <c r="H226" i="19"/>
  <c r="H240" i="19" s="1"/>
  <c r="E227" i="19"/>
  <c r="E241" i="19" s="1"/>
  <c r="G227" i="19"/>
  <c r="G241" i="19" s="1"/>
  <c r="H227" i="19"/>
  <c r="H241" i="19" s="1"/>
  <c r="E228" i="19"/>
  <c r="E242" i="19" s="1"/>
  <c r="G228" i="19"/>
  <c r="G242" i="19" s="1"/>
  <c r="H228" i="19"/>
  <c r="H242" i="19" s="1"/>
  <c r="E229" i="19"/>
  <c r="E243" i="19" s="1"/>
  <c r="G229" i="19"/>
  <c r="G243" i="19" s="1"/>
  <c r="H229" i="19"/>
  <c r="H243" i="19" s="1"/>
  <c r="E230" i="19"/>
  <c r="E244" i="19" s="1"/>
  <c r="G230" i="19"/>
  <c r="G244" i="19" s="1"/>
  <c r="H230" i="19"/>
  <c r="H244" i="19" s="1"/>
  <c r="E231" i="19"/>
  <c r="E245" i="19" s="1"/>
  <c r="G231" i="19"/>
  <c r="G245" i="19" s="1"/>
  <c r="H231" i="19"/>
  <c r="H245" i="19" s="1"/>
  <c r="E232" i="19"/>
  <c r="E246" i="19" s="1"/>
  <c r="G232" i="19"/>
  <c r="G246" i="19" s="1"/>
  <c r="H232" i="19"/>
  <c r="H246" i="19" s="1"/>
  <c r="E233" i="19"/>
  <c r="E247" i="19" s="1"/>
  <c r="G233" i="19"/>
  <c r="G247" i="19" s="1"/>
  <c r="H233" i="19"/>
  <c r="H247" i="19" s="1"/>
  <c r="G222" i="19"/>
  <c r="G236" i="19" s="1"/>
  <c r="H222" i="19"/>
  <c r="H236" i="19" s="1"/>
  <c r="E222" i="19"/>
  <c r="E236" i="19" s="1"/>
  <c r="AG54" i="24"/>
  <c r="AH54" i="24"/>
  <c r="AF54" i="24"/>
  <c r="AE54" i="24"/>
  <c r="AI44" i="24"/>
  <c r="AI45" i="24"/>
  <c r="AI46" i="24"/>
  <c r="AI47" i="24"/>
  <c r="AI48" i="24"/>
  <c r="AI49" i="24"/>
  <c r="AI50" i="24"/>
  <c r="AI51" i="24"/>
  <c r="AI52" i="24"/>
  <c r="AI53" i="24"/>
  <c r="AI54" i="24"/>
  <c r="AI43" i="24"/>
  <c r="AH44" i="24"/>
  <c r="AH45" i="24"/>
  <c r="AH46" i="24"/>
  <c r="AH47" i="24"/>
  <c r="AH48" i="24"/>
  <c r="AH49" i="24"/>
  <c r="AH50" i="24"/>
  <c r="AH51" i="24"/>
  <c r="AH52" i="24"/>
  <c r="AH53" i="24"/>
  <c r="AH43" i="24"/>
  <c r="AG44" i="24"/>
  <c r="AG45" i="24"/>
  <c r="AG46" i="24"/>
  <c r="AG47" i="24"/>
  <c r="AG48" i="24"/>
  <c r="AG49" i="24"/>
  <c r="AG50" i="24"/>
  <c r="AG51" i="24"/>
  <c r="AG52" i="24"/>
  <c r="AG53" i="24"/>
  <c r="AG43" i="24"/>
  <c r="AF44" i="24"/>
  <c r="AF45" i="24"/>
  <c r="AF46" i="24"/>
  <c r="AF47" i="24"/>
  <c r="AF48" i="24"/>
  <c r="AF49" i="24"/>
  <c r="AF50" i="24"/>
  <c r="AF51" i="24"/>
  <c r="AF52" i="24"/>
  <c r="AF53" i="24"/>
  <c r="AF43" i="24"/>
  <c r="AF55" i="24" s="1"/>
  <c r="AI28" i="24"/>
  <c r="AH28" i="24" s="1"/>
  <c r="AG28" i="24" s="1"/>
  <c r="AF28" i="24" s="1"/>
  <c r="AE28" i="24" s="1"/>
  <c r="AD28" i="24" s="1"/>
  <c r="AC28" i="24" s="1"/>
  <c r="AB28" i="24" s="1"/>
  <c r="AA28" i="24" s="1"/>
  <c r="Z28" i="24" s="1"/>
  <c r="Y28" i="24" s="1"/>
  <c r="X28" i="24" s="1"/>
  <c r="W28" i="24" s="1"/>
  <c r="V28" i="24" s="1"/>
  <c r="U28" i="24" s="1"/>
  <c r="T28" i="24" s="1"/>
  <c r="S28" i="24" s="1"/>
  <c r="R28" i="24" s="1"/>
  <c r="AF41" i="24"/>
  <c r="AG41" i="24"/>
  <c r="AH41" i="24"/>
  <c r="AI31" i="24"/>
  <c r="AI32" i="24"/>
  <c r="AI33" i="24"/>
  <c r="AI34" i="24"/>
  <c r="AI35" i="24"/>
  <c r="AI36" i="24"/>
  <c r="AI37" i="24"/>
  <c r="AI38" i="24"/>
  <c r="AI39" i="24"/>
  <c r="AI40" i="24"/>
  <c r="AI41" i="24"/>
  <c r="AI30" i="24"/>
  <c r="AH31" i="24"/>
  <c r="AH32" i="24"/>
  <c r="AH33" i="24"/>
  <c r="AH34" i="24"/>
  <c r="AH35" i="24"/>
  <c r="AH36" i="24"/>
  <c r="AH37" i="24"/>
  <c r="AH38" i="24"/>
  <c r="AH39" i="24"/>
  <c r="AH40" i="24"/>
  <c r="AH30" i="24"/>
  <c r="AG31" i="24"/>
  <c r="AG32" i="24"/>
  <c r="AG33" i="24"/>
  <c r="AG34" i="24"/>
  <c r="AG35" i="24"/>
  <c r="AG36" i="24"/>
  <c r="AG37" i="24"/>
  <c r="AG38" i="24"/>
  <c r="AG39" i="24"/>
  <c r="AG40" i="24"/>
  <c r="AG30" i="24"/>
  <c r="AF31" i="24"/>
  <c r="AF32" i="24"/>
  <c r="AF33" i="24"/>
  <c r="AF34" i="24"/>
  <c r="AF35" i="24"/>
  <c r="AF36" i="24"/>
  <c r="AF37" i="24"/>
  <c r="AF38" i="24"/>
  <c r="AF39" i="24"/>
  <c r="AF40" i="24"/>
  <c r="AF30" i="24"/>
  <c r="AE41" i="24"/>
  <c r="E15" i="18"/>
  <c r="E14" i="18"/>
  <c r="E13" i="18"/>
  <c r="E12" i="18"/>
  <c r="E11" i="18"/>
  <c r="D323" i="28" s="1"/>
  <c r="E10" i="18"/>
  <c r="D322" i="28" s="1"/>
  <c r="E9" i="18"/>
  <c r="D321" i="28" s="1"/>
  <c r="E8" i="18"/>
  <c r="D320" i="28" s="1"/>
  <c r="E7" i="18"/>
  <c r="D319" i="28" s="1"/>
  <c r="E6" i="18"/>
  <c r="D318" i="28" s="1"/>
  <c r="E5" i="18"/>
  <c r="D317" i="28" s="1"/>
  <c r="E4" i="18"/>
  <c r="D316" i="28" s="1"/>
  <c r="E3" i="18"/>
  <c r="D315" i="28" s="1"/>
  <c r="E2" i="18"/>
  <c r="D314" i="28" s="1"/>
  <c r="D15" i="18"/>
  <c r="D14" i="18"/>
  <c r="D13" i="18"/>
  <c r="D12" i="18"/>
  <c r="D11" i="18"/>
  <c r="C323" i="28" s="1"/>
  <c r="D10" i="18"/>
  <c r="C322" i="28" s="1"/>
  <c r="D9" i="18"/>
  <c r="C321" i="28" s="1"/>
  <c r="D8" i="18"/>
  <c r="C320" i="28" s="1"/>
  <c r="D7" i="18"/>
  <c r="C319" i="28" s="1"/>
  <c r="D6" i="18"/>
  <c r="C318" i="28" s="1"/>
  <c r="D5" i="18"/>
  <c r="C317" i="28" s="1"/>
  <c r="D4" i="18"/>
  <c r="C316" i="28" s="1"/>
  <c r="D3" i="18"/>
  <c r="C315" i="28" s="1"/>
  <c r="D2" i="18"/>
  <c r="C314" i="28" s="1"/>
  <c r="B15" i="18"/>
  <c r="O25" i="11" s="1"/>
  <c r="B14" i="18"/>
  <c r="N25" i="11" s="1"/>
  <c r="B13" i="18"/>
  <c r="B12" i="18"/>
  <c r="B11" i="18"/>
  <c r="B323" i="28" s="1"/>
  <c r="B10" i="18"/>
  <c r="B322" i="28" s="1"/>
  <c r="B9" i="18"/>
  <c r="B321" i="28" s="1"/>
  <c r="B8" i="18"/>
  <c r="B320" i="28" s="1"/>
  <c r="B7" i="18"/>
  <c r="B319" i="28" s="1"/>
  <c r="B6" i="18"/>
  <c r="B318" i="28" s="1"/>
  <c r="B5" i="18"/>
  <c r="B317" i="28" s="1"/>
  <c r="B4" i="18"/>
  <c r="B316" i="28" s="1"/>
  <c r="B3" i="18"/>
  <c r="B315" i="28" s="1"/>
  <c r="B2" i="18"/>
  <c r="B314" i="28" s="1"/>
  <c r="AM582" i="28" l="1"/>
  <c r="AM591" i="28" s="1"/>
  <c r="AG55" i="24"/>
  <c r="AI55" i="24"/>
  <c r="AH55" i="24"/>
  <c r="E315" i="28"/>
  <c r="E323" i="28"/>
  <c r="F15" i="18"/>
  <c r="O54" i="11" s="1"/>
  <c r="B327" i="28"/>
  <c r="F13" i="18"/>
  <c r="M54" i="11" s="1"/>
  <c r="C325" i="28"/>
  <c r="M35" i="11"/>
  <c r="T392" i="28" s="1"/>
  <c r="AJ459" i="28" s="1"/>
  <c r="D327" i="28"/>
  <c r="O40" i="11"/>
  <c r="V397" i="28" s="1"/>
  <c r="AJ553" i="28" s="1"/>
  <c r="E321" i="28"/>
  <c r="E319" i="28"/>
  <c r="E316" i="28"/>
  <c r="E320" i="28"/>
  <c r="B324" i="28"/>
  <c r="L25" i="11"/>
  <c r="C326" i="28"/>
  <c r="N35" i="11"/>
  <c r="U392" i="28" s="1"/>
  <c r="AJ521" i="28" s="1"/>
  <c r="D324" i="28"/>
  <c r="L40" i="11"/>
  <c r="R397" i="28" s="1"/>
  <c r="AJ429" i="28" s="1"/>
  <c r="AF42" i="24"/>
  <c r="AG42" i="24"/>
  <c r="AI467" i="28"/>
  <c r="AI529" i="28"/>
  <c r="C327" i="28"/>
  <c r="O35" i="11"/>
  <c r="V392" i="28" s="1"/>
  <c r="AJ552" i="28" s="1"/>
  <c r="D325" i="28"/>
  <c r="M40" i="11"/>
  <c r="T397" i="28" s="1"/>
  <c r="AJ460" i="28" s="1"/>
  <c r="AH42" i="24"/>
  <c r="AI42" i="24"/>
  <c r="E317" i="28"/>
  <c r="B325" i="28"/>
  <c r="M25" i="11"/>
  <c r="E314" i="28"/>
  <c r="E318" i="28"/>
  <c r="E322" i="28"/>
  <c r="B326" i="28"/>
  <c r="C324" i="28"/>
  <c r="L35" i="11"/>
  <c r="R392" i="28" s="1"/>
  <c r="AJ428" i="28" s="1"/>
  <c r="D326" i="28"/>
  <c r="N40" i="11"/>
  <c r="U397" i="28" s="1"/>
  <c r="AJ522" i="28" s="1"/>
  <c r="F14" i="18"/>
  <c r="N54" i="11" s="1"/>
  <c r="F6" i="18"/>
  <c r="F9" i="18"/>
  <c r="F12" i="18"/>
  <c r="L54" i="11" s="1"/>
  <c r="F8" i="18"/>
  <c r="F10" i="18"/>
  <c r="F11" i="18"/>
  <c r="F7" i="18"/>
  <c r="O49" i="11" l="1"/>
  <c r="O59" i="11" s="1"/>
  <c r="E326" i="28"/>
  <c r="E325" i="28"/>
  <c r="R382" i="28"/>
  <c r="L49" i="11"/>
  <c r="L59" i="11" s="1"/>
  <c r="E17" i="18"/>
  <c r="P40" i="11"/>
  <c r="W397" i="28" s="1"/>
  <c r="AJ584" i="28" s="1"/>
  <c r="AJ490" i="28"/>
  <c r="E324" i="28"/>
  <c r="V382" i="28"/>
  <c r="AI553" i="28"/>
  <c r="AJ491" i="28"/>
  <c r="AI583" i="28"/>
  <c r="AI560" i="28"/>
  <c r="AI584" i="28"/>
  <c r="E327" i="28"/>
  <c r="AI459" i="28"/>
  <c r="U382" i="28"/>
  <c r="N49" i="11"/>
  <c r="N59" i="11" s="1"/>
  <c r="T382" i="28"/>
  <c r="M49" i="11"/>
  <c r="M59" i="11" s="1"/>
  <c r="AI460" i="28"/>
  <c r="AI552" i="28"/>
  <c r="AI561" i="28" s="1"/>
  <c r="X367" i="28"/>
  <c r="W367" i="28"/>
  <c r="H16" i="17"/>
  <c r="H34" i="17" s="1"/>
  <c r="H15" i="17"/>
  <c r="H14" i="17"/>
  <c r="H13" i="17"/>
  <c r="H12" i="17"/>
  <c r="H193" i="28" s="1"/>
  <c r="H11" i="17"/>
  <c r="H192" i="28" s="1"/>
  <c r="H10" i="17"/>
  <c r="H9" i="17"/>
  <c r="H8" i="17"/>
  <c r="H189" i="28" s="1"/>
  <c r="H7" i="17"/>
  <c r="H188" i="28" s="1"/>
  <c r="H6" i="17"/>
  <c r="H5" i="17"/>
  <c r="H4" i="17"/>
  <c r="H185" i="28" s="1"/>
  <c r="H3" i="17"/>
  <c r="H184" i="28" s="1"/>
  <c r="G16" i="17"/>
  <c r="G34" i="17" s="1"/>
  <c r="G15" i="17"/>
  <c r="G14" i="17"/>
  <c r="G13" i="17"/>
  <c r="G194" i="28" s="1"/>
  <c r="G12" i="17"/>
  <c r="G11" i="17"/>
  <c r="G10" i="17"/>
  <c r="G9" i="17"/>
  <c r="G190" i="28" s="1"/>
  <c r="G8" i="17"/>
  <c r="G7" i="17"/>
  <c r="G6" i="17"/>
  <c r="G5" i="17"/>
  <c r="G186" i="28" s="1"/>
  <c r="G4" i="17"/>
  <c r="G3" i="17"/>
  <c r="G184" i="28" s="1"/>
  <c r="F16" i="17"/>
  <c r="F34" i="17" s="1"/>
  <c r="F15" i="17"/>
  <c r="F14" i="17"/>
  <c r="F13" i="17"/>
  <c r="F12" i="17"/>
  <c r="F11" i="17"/>
  <c r="F192" i="28" s="1"/>
  <c r="F10" i="17"/>
  <c r="F9" i="17"/>
  <c r="F8" i="17"/>
  <c r="F7" i="17"/>
  <c r="F188" i="28" s="1"/>
  <c r="F6" i="17"/>
  <c r="F5" i="17"/>
  <c r="F4" i="17"/>
  <c r="F3" i="17"/>
  <c r="F184" i="28" s="1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D16" i="17"/>
  <c r="D15" i="17"/>
  <c r="N23" i="11" s="1"/>
  <c r="D14" i="17"/>
  <c r="D195" i="28" s="1"/>
  <c r="D13" i="17"/>
  <c r="D12" i="17"/>
  <c r="D11" i="17"/>
  <c r="D10" i="17"/>
  <c r="D191" i="28" s="1"/>
  <c r="D9" i="17"/>
  <c r="D8" i="17"/>
  <c r="D7" i="17"/>
  <c r="D6" i="17"/>
  <c r="D187" i="28" s="1"/>
  <c r="D5" i="17"/>
  <c r="D4" i="17"/>
  <c r="D3" i="17"/>
  <c r="D184" i="28" s="1"/>
  <c r="C16" i="17"/>
  <c r="C15" i="17"/>
  <c r="N19" i="11" s="1"/>
  <c r="C14" i="17"/>
  <c r="C13" i="17"/>
  <c r="C194" i="28" s="1"/>
  <c r="C12" i="17"/>
  <c r="C11" i="17"/>
  <c r="C10" i="17"/>
  <c r="C9" i="17"/>
  <c r="C190" i="28" s="1"/>
  <c r="C8" i="17"/>
  <c r="C7" i="17"/>
  <c r="C188" i="28" s="1"/>
  <c r="C6" i="17"/>
  <c r="C5" i="17"/>
  <c r="C4" i="17"/>
  <c r="C185" i="28" s="1"/>
  <c r="C3" i="17"/>
  <c r="B16" i="17"/>
  <c r="B15" i="17"/>
  <c r="N15" i="11" s="1"/>
  <c r="B14" i="17"/>
  <c r="B13" i="17"/>
  <c r="B12" i="17"/>
  <c r="B11" i="17"/>
  <c r="B10" i="17"/>
  <c r="B9" i="17"/>
  <c r="B8" i="17"/>
  <c r="B7" i="17"/>
  <c r="B6" i="17"/>
  <c r="B5" i="17"/>
  <c r="B4" i="17"/>
  <c r="B3" i="17"/>
  <c r="B184" i="28" s="1"/>
  <c r="H204" i="28" l="1"/>
  <c r="H208" i="28"/>
  <c r="H212" i="28"/>
  <c r="O15" i="11"/>
  <c r="B34" i="17"/>
  <c r="O23" i="11"/>
  <c r="D34" i="17"/>
  <c r="O19" i="11"/>
  <c r="C34" i="17"/>
  <c r="B27" i="17"/>
  <c r="B191" i="28"/>
  <c r="C25" i="17"/>
  <c r="C189" i="28"/>
  <c r="C208" i="28" s="1"/>
  <c r="C29" i="17"/>
  <c r="C193" i="28"/>
  <c r="C213" i="28" s="1"/>
  <c r="C197" i="28"/>
  <c r="C217" i="28" s="1"/>
  <c r="E21" i="17"/>
  <c r="E185" i="28"/>
  <c r="C28" i="11"/>
  <c r="E89" i="28" s="1"/>
  <c r="E189" i="28"/>
  <c r="G28" i="11"/>
  <c r="E93" i="28" s="1"/>
  <c r="E193" i="28"/>
  <c r="K28" i="11"/>
  <c r="F196" i="28"/>
  <c r="N33" i="11"/>
  <c r="H196" i="28"/>
  <c r="N43" i="11"/>
  <c r="G30" i="17"/>
  <c r="G26" i="17"/>
  <c r="G22" i="17"/>
  <c r="T406" i="28"/>
  <c r="AJ457" i="28"/>
  <c r="AI615" i="28"/>
  <c r="AK615" i="28" s="1"/>
  <c r="AL584" i="28"/>
  <c r="AI593" i="28"/>
  <c r="AJ426" i="28"/>
  <c r="R406" i="28"/>
  <c r="B28" i="17"/>
  <c r="B192" i="28"/>
  <c r="C22" i="17"/>
  <c r="C186" i="28"/>
  <c r="C205" i="28" s="1"/>
  <c r="D24" i="17"/>
  <c r="D188" i="28"/>
  <c r="D207" i="28" s="1"/>
  <c r="D32" i="17"/>
  <c r="D196" i="28"/>
  <c r="D215" i="28" s="1"/>
  <c r="E22" i="17"/>
  <c r="E186" i="28"/>
  <c r="D28" i="11"/>
  <c r="E90" i="28" s="1"/>
  <c r="E26" i="17"/>
  <c r="E190" i="28"/>
  <c r="H28" i="11"/>
  <c r="E94" i="28" s="1"/>
  <c r="E30" i="17"/>
  <c r="E194" i="28"/>
  <c r="L28" i="11"/>
  <c r="F21" i="17"/>
  <c r="F185" i="28"/>
  <c r="F204" i="28" s="1"/>
  <c r="F25" i="17"/>
  <c r="F189" i="28"/>
  <c r="F208" i="28" s="1"/>
  <c r="F29" i="17"/>
  <c r="F193" i="28"/>
  <c r="F212" i="28" s="1"/>
  <c r="F33" i="17"/>
  <c r="F197" i="28"/>
  <c r="F217" i="28" s="1"/>
  <c r="O33" i="11"/>
  <c r="G23" i="17"/>
  <c r="G187" i="28"/>
  <c r="G206" i="28" s="1"/>
  <c r="G27" i="17"/>
  <c r="G191" i="28"/>
  <c r="G210" i="28" s="1"/>
  <c r="G31" i="17"/>
  <c r="G195" i="28"/>
  <c r="G214" i="28" s="1"/>
  <c r="H197" i="28"/>
  <c r="O43" i="11"/>
  <c r="C30" i="17"/>
  <c r="C26" i="17"/>
  <c r="H21" i="17"/>
  <c r="AI522" i="28"/>
  <c r="AI500" i="28"/>
  <c r="B23" i="17"/>
  <c r="B187" i="28"/>
  <c r="I14" i="17"/>
  <c r="B195" i="28"/>
  <c r="B24" i="17"/>
  <c r="B188" i="28"/>
  <c r="B32" i="17"/>
  <c r="B196" i="28"/>
  <c r="D28" i="17"/>
  <c r="D192" i="28"/>
  <c r="D211" i="28" s="1"/>
  <c r="B22" i="17"/>
  <c r="B185" i="28"/>
  <c r="I8" i="17"/>
  <c r="B189" i="28"/>
  <c r="B30" i="17"/>
  <c r="B193" i="28"/>
  <c r="I16" i="17"/>
  <c r="O52" i="11" s="1"/>
  <c r="F44" i="28" s="1"/>
  <c r="B197" i="28"/>
  <c r="B217" i="28" s="1"/>
  <c r="C23" i="17"/>
  <c r="C187" i="28"/>
  <c r="C27" i="17"/>
  <c r="C191" i="28"/>
  <c r="C210" i="28" s="1"/>
  <c r="C31" i="17"/>
  <c r="C195" i="28"/>
  <c r="C214" i="28" s="1"/>
  <c r="D21" i="17"/>
  <c r="D185" i="28"/>
  <c r="D204" i="28" s="1"/>
  <c r="D25" i="17"/>
  <c r="D189" i="28"/>
  <c r="D29" i="17"/>
  <c r="D193" i="28"/>
  <c r="D197" i="28"/>
  <c r="D217" i="28" s="1"/>
  <c r="E23" i="17"/>
  <c r="E187" i="28"/>
  <c r="E28" i="11"/>
  <c r="E91" i="28" s="1"/>
  <c r="E27" i="17"/>
  <c r="E191" i="28"/>
  <c r="I28" i="11"/>
  <c r="E95" i="28" s="1"/>
  <c r="E31" i="17"/>
  <c r="E195" i="28"/>
  <c r="M28" i="11"/>
  <c r="F22" i="17"/>
  <c r="F186" i="28"/>
  <c r="F26" i="17"/>
  <c r="F190" i="28"/>
  <c r="F30" i="17"/>
  <c r="F194" i="28"/>
  <c r="G24" i="17"/>
  <c r="G188" i="28"/>
  <c r="G28" i="17"/>
  <c r="G192" i="28"/>
  <c r="G32" i="17"/>
  <c r="G196" i="28"/>
  <c r="N38" i="11"/>
  <c r="H22" i="17"/>
  <c r="H186" i="28"/>
  <c r="H205" i="28" s="1"/>
  <c r="H26" i="17"/>
  <c r="H190" i="28"/>
  <c r="H209" i="28" s="1"/>
  <c r="H30" i="17"/>
  <c r="H194" i="28"/>
  <c r="H213" i="28" s="1"/>
  <c r="H33" i="17"/>
  <c r="H29" i="17"/>
  <c r="H25" i="17"/>
  <c r="U406" i="28"/>
  <c r="AJ519" i="28"/>
  <c r="AI468" i="28"/>
  <c r="D354" i="28"/>
  <c r="Q40" i="11"/>
  <c r="X397" i="28" s="1"/>
  <c r="AJ615" i="28" s="1"/>
  <c r="I5" i="17"/>
  <c r="B186" i="28"/>
  <c r="I9" i="17"/>
  <c r="B190" i="28"/>
  <c r="B31" i="17"/>
  <c r="B194" i="28"/>
  <c r="C21" i="17"/>
  <c r="C184" i="28"/>
  <c r="C207" i="28"/>
  <c r="I11" i="17"/>
  <c r="C192" i="28"/>
  <c r="C211" i="28" s="1"/>
  <c r="I15" i="17"/>
  <c r="N52" i="11" s="1"/>
  <c r="F43" i="28" s="1"/>
  <c r="C196" i="28"/>
  <c r="C215" i="28" s="1"/>
  <c r="D22" i="17"/>
  <c r="D186" i="28"/>
  <c r="D26" i="17"/>
  <c r="D190" i="28"/>
  <c r="D209" i="28" s="1"/>
  <c r="D30" i="17"/>
  <c r="D194" i="28"/>
  <c r="E184" i="28"/>
  <c r="B28" i="11"/>
  <c r="E88" i="28" s="1"/>
  <c r="E24" i="17"/>
  <c r="E188" i="28"/>
  <c r="F28" i="11"/>
  <c r="E92" i="28" s="1"/>
  <c r="E28" i="17"/>
  <c r="E192" i="28"/>
  <c r="J28" i="11"/>
  <c r="E96" i="28" s="1"/>
  <c r="E32" i="17"/>
  <c r="E196" i="28"/>
  <c r="N28" i="11"/>
  <c r="F23" i="17"/>
  <c r="F187" i="28"/>
  <c r="F27" i="17"/>
  <c r="F191" i="28"/>
  <c r="F31" i="17"/>
  <c r="F195" i="28"/>
  <c r="G21" i="17"/>
  <c r="G185" i="28"/>
  <c r="G204" i="28" s="1"/>
  <c r="G25" i="17"/>
  <c r="G189" i="28"/>
  <c r="G29" i="17"/>
  <c r="G193" i="28"/>
  <c r="G197" i="28"/>
  <c r="G217" i="28" s="1"/>
  <c r="O38" i="11"/>
  <c r="H24" i="17"/>
  <c r="H187" i="28"/>
  <c r="H28" i="17"/>
  <c r="H191" i="28"/>
  <c r="H32" i="17"/>
  <c r="H195" i="28"/>
  <c r="E33" i="17"/>
  <c r="E29" i="17"/>
  <c r="E25" i="17"/>
  <c r="AI469" i="28"/>
  <c r="V406" i="28"/>
  <c r="AJ550" i="28"/>
  <c r="AI521" i="28"/>
  <c r="AI499" i="28"/>
  <c r="B282" i="28"/>
  <c r="K82" i="9"/>
  <c r="E306" i="28" s="1"/>
  <c r="H82" i="9"/>
  <c r="B306" i="28" s="1"/>
  <c r="J82" i="9"/>
  <c r="D306" i="28" s="1"/>
  <c r="N82" i="9"/>
  <c r="H306" i="28" s="1"/>
  <c r="I82" i="9"/>
  <c r="C306" i="28" s="1"/>
  <c r="M82" i="9"/>
  <c r="G306" i="28" s="1"/>
  <c r="I12" i="17"/>
  <c r="I4" i="17"/>
  <c r="B26" i="17"/>
  <c r="C32" i="17"/>
  <c r="C28" i="17"/>
  <c r="C24" i="17"/>
  <c r="I7" i="17"/>
  <c r="B33" i="17"/>
  <c r="B29" i="17"/>
  <c r="B25" i="17"/>
  <c r="D33" i="17"/>
  <c r="F32" i="17"/>
  <c r="H31" i="17"/>
  <c r="D31" i="17"/>
  <c r="F28" i="17"/>
  <c r="H27" i="17"/>
  <c r="D27" i="17"/>
  <c r="F24" i="17"/>
  <c r="H23" i="17"/>
  <c r="D23" i="17"/>
  <c r="I10" i="17"/>
  <c r="I6" i="17"/>
  <c r="G33" i="17"/>
  <c r="C33" i="17"/>
  <c r="I13" i="17"/>
  <c r="G38" i="17" l="1"/>
  <c r="F38" i="17"/>
  <c r="F218" i="28" s="1"/>
  <c r="H38" i="17"/>
  <c r="I306" i="28"/>
  <c r="E294" i="28"/>
  <c r="D294" i="28"/>
  <c r="C294" i="28"/>
  <c r="B294" i="28"/>
  <c r="H216" i="28"/>
  <c r="H217" i="28"/>
  <c r="D216" i="28"/>
  <c r="E205" i="28"/>
  <c r="E213" i="28"/>
  <c r="G216" i="28"/>
  <c r="G208" i="28"/>
  <c r="F210" i="28"/>
  <c r="E211" i="28"/>
  <c r="G211" i="28"/>
  <c r="F205" i="28"/>
  <c r="H214" i="28"/>
  <c r="H206" i="28"/>
  <c r="G212" i="28"/>
  <c r="E206" i="28"/>
  <c r="F216" i="28"/>
  <c r="E209" i="28"/>
  <c r="O47" i="11"/>
  <c r="O57" i="11" s="1"/>
  <c r="F213" i="28"/>
  <c r="C38" i="17"/>
  <c r="C36" i="17" s="1"/>
  <c r="C206" i="28"/>
  <c r="C209" i="28"/>
  <c r="D38" i="17"/>
  <c r="D218" i="28" s="1"/>
  <c r="H210" i="28"/>
  <c r="F214" i="28"/>
  <c r="F206" i="28"/>
  <c r="G215" i="28"/>
  <c r="G207" i="28"/>
  <c r="F209" i="28"/>
  <c r="E210" i="28"/>
  <c r="G218" i="28"/>
  <c r="H218" i="28"/>
  <c r="E207" i="28"/>
  <c r="D213" i="28"/>
  <c r="D205" i="28"/>
  <c r="I184" i="28"/>
  <c r="E214" i="28"/>
  <c r="D208" i="28"/>
  <c r="AI550" i="28"/>
  <c r="AI559" i="28" s="1"/>
  <c r="U395" i="28"/>
  <c r="AG522" i="28" s="1"/>
  <c r="G101" i="28"/>
  <c r="D212" i="28"/>
  <c r="V372" i="28"/>
  <c r="B102" i="28"/>
  <c r="U372" i="28"/>
  <c r="B101" i="28"/>
  <c r="N47" i="11"/>
  <c r="N57" i="11" s="1"/>
  <c r="R385" i="28"/>
  <c r="AG427" i="28" s="1"/>
  <c r="E98" i="28"/>
  <c r="H215" i="28"/>
  <c r="G209" i="28"/>
  <c r="F211" i="28"/>
  <c r="V376" i="28"/>
  <c r="AG549" i="28" s="1"/>
  <c r="C102" i="28"/>
  <c r="D36" i="17"/>
  <c r="G18" i="17"/>
  <c r="P38" i="11"/>
  <c r="B209" i="28"/>
  <c r="I190" i="28"/>
  <c r="C204" i="28"/>
  <c r="T385" i="28"/>
  <c r="AG458" i="28" s="1"/>
  <c r="E100" i="28"/>
  <c r="B216" i="28"/>
  <c r="I197" i="28"/>
  <c r="I189" i="28"/>
  <c r="B208" i="28"/>
  <c r="B215" i="28"/>
  <c r="I196" i="28"/>
  <c r="B214" i="28"/>
  <c r="I195" i="28"/>
  <c r="U380" i="28"/>
  <c r="AG519" i="28" s="1"/>
  <c r="AN519" i="28" s="1"/>
  <c r="D101" i="28"/>
  <c r="I192" i="28"/>
  <c r="B211" i="28"/>
  <c r="AI457" i="28"/>
  <c r="AI466" i="28" s="1"/>
  <c r="H211" i="28"/>
  <c r="G205" i="28"/>
  <c r="F207" i="28"/>
  <c r="E208" i="28"/>
  <c r="D214" i="28"/>
  <c r="C216" i="28"/>
  <c r="AI530" i="28"/>
  <c r="U385" i="28"/>
  <c r="AG520" i="28" s="1"/>
  <c r="E101" i="28"/>
  <c r="AI624" i="28"/>
  <c r="AL615" i="28"/>
  <c r="H18" i="17"/>
  <c r="P43" i="11"/>
  <c r="V380" i="28"/>
  <c r="AG550" i="28" s="1"/>
  <c r="AN550" i="28" s="1"/>
  <c r="D102" i="28"/>
  <c r="G44" i="28"/>
  <c r="AI531" i="28"/>
  <c r="AJ488" i="28"/>
  <c r="H207" i="28"/>
  <c r="U390" i="28"/>
  <c r="AG521" i="28" s="1"/>
  <c r="F101" i="28"/>
  <c r="Q385" i="28"/>
  <c r="AF427" i="28" s="1"/>
  <c r="AM427" i="28" s="1"/>
  <c r="E97" i="28"/>
  <c r="D210" i="28"/>
  <c r="C212" i="28"/>
  <c r="B210" i="28"/>
  <c r="I191" i="28"/>
  <c r="AI581" i="28"/>
  <c r="V395" i="28"/>
  <c r="AG553" i="28" s="1"/>
  <c r="G102" i="28"/>
  <c r="E216" i="28"/>
  <c r="E215" i="28"/>
  <c r="U376" i="28"/>
  <c r="AG518" i="28" s="1"/>
  <c r="AF549" i="28" s="1"/>
  <c r="C101" i="28"/>
  <c r="B213" i="28"/>
  <c r="I194" i="28"/>
  <c r="I186" i="28"/>
  <c r="B205" i="28"/>
  <c r="B212" i="28"/>
  <c r="I193" i="28"/>
  <c r="B204" i="28"/>
  <c r="I185" i="28"/>
  <c r="I188" i="28"/>
  <c r="B207" i="28"/>
  <c r="I187" i="28"/>
  <c r="B206" i="28"/>
  <c r="V400" i="28"/>
  <c r="AG554" i="28" s="1"/>
  <c r="H102" i="28"/>
  <c r="V390" i="28"/>
  <c r="AG552" i="28" s="1"/>
  <c r="F102" i="28"/>
  <c r="U400" i="28"/>
  <c r="AG523" i="28" s="1"/>
  <c r="H101" i="28"/>
  <c r="G213" i="28"/>
  <c r="F215" i="28"/>
  <c r="E212" i="28"/>
  <c r="E204" i="28"/>
  <c r="D206" i="28"/>
  <c r="N19" i="9"/>
  <c r="N42" i="9" s="1"/>
  <c r="N59" i="9" s="1"/>
  <c r="M19" i="9"/>
  <c r="L19" i="9"/>
  <c r="K19" i="9"/>
  <c r="K42" i="9" s="1"/>
  <c r="K59" i="9" s="1"/>
  <c r="J19" i="9"/>
  <c r="O24" i="11" s="1"/>
  <c r="I19" i="9"/>
  <c r="H19" i="9"/>
  <c r="O16" i="11" s="1"/>
  <c r="N18" i="9"/>
  <c r="M18" i="9"/>
  <c r="N39" i="11" s="1"/>
  <c r="L18" i="9"/>
  <c r="N34" i="11" s="1"/>
  <c r="K18" i="9"/>
  <c r="J18" i="9"/>
  <c r="N24" i="11" s="1"/>
  <c r="I18" i="9"/>
  <c r="N20" i="11" s="1"/>
  <c r="H18" i="9"/>
  <c r="N16" i="11" s="1"/>
  <c r="N17" i="9"/>
  <c r="M17" i="9"/>
  <c r="M39" i="11" s="1"/>
  <c r="L17" i="9"/>
  <c r="M34" i="11" s="1"/>
  <c r="K17" i="9"/>
  <c r="J17" i="9"/>
  <c r="M24" i="11" s="1"/>
  <c r="I17" i="9"/>
  <c r="M20" i="11" s="1"/>
  <c r="H17" i="9"/>
  <c r="N16" i="9"/>
  <c r="M16" i="9"/>
  <c r="L39" i="11" s="1"/>
  <c r="L16" i="9"/>
  <c r="L34" i="11" s="1"/>
  <c r="K16" i="9"/>
  <c r="J16" i="9"/>
  <c r="L24" i="11" s="1"/>
  <c r="I16" i="9"/>
  <c r="H16" i="9"/>
  <c r="L16" i="11" s="1"/>
  <c r="N15" i="9"/>
  <c r="N38" i="9" s="1"/>
  <c r="M15" i="9"/>
  <c r="K15" i="9"/>
  <c r="J15" i="9"/>
  <c r="I15" i="9"/>
  <c r="I38" i="9" s="1"/>
  <c r="H15" i="9"/>
  <c r="H38" i="9" s="1"/>
  <c r="N14" i="9"/>
  <c r="N37" i="9" s="1"/>
  <c r="M14" i="9"/>
  <c r="L14" i="9"/>
  <c r="K14" i="9"/>
  <c r="J14" i="9"/>
  <c r="I14" i="9"/>
  <c r="I37" i="9" s="1"/>
  <c r="H14" i="9"/>
  <c r="H37" i="9" s="1"/>
  <c r="N13" i="9"/>
  <c r="N36" i="9" s="1"/>
  <c r="M13" i="9"/>
  <c r="L13" i="9"/>
  <c r="K13" i="9"/>
  <c r="J13" i="9"/>
  <c r="I13" i="9"/>
  <c r="I36" i="9" s="1"/>
  <c r="H13" i="9"/>
  <c r="H36" i="9" s="1"/>
  <c r="N12" i="9"/>
  <c r="N35" i="9" s="1"/>
  <c r="M12" i="9"/>
  <c r="L12" i="9"/>
  <c r="K12" i="9"/>
  <c r="J12" i="9"/>
  <c r="I12" i="9"/>
  <c r="I35" i="9" s="1"/>
  <c r="H12" i="9"/>
  <c r="H35" i="9" s="1"/>
  <c r="N11" i="9"/>
  <c r="N34" i="9" s="1"/>
  <c r="M11" i="9"/>
  <c r="L11" i="9"/>
  <c r="K11" i="9"/>
  <c r="J11" i="9"/>
  <c r="I11" i="9"/>
  <c r="I34" i="9" s="1"/>
  <c r="H11" i="9"/>
  <c r="H34" i="9" s="1"/>
  <c r="N10" i="9"/>
  <c r="N33" i="9" s="1"/>
  <c r="M10" i="9"/>
  <c r="L10" i="9"/>
  <c r="K10" i="9"/>
  <c r="J10" i="9"/>
  <c r="I10" i="9"/>
  <c r="I33" i="9" s="1"/>
  <c r="H10" i="9"/>
  <c r="H33" i="9" s="1"/>
  <c r="N9" i="9"/>
  <c r="N32" i="9" s="1"/>
  <c r="M9" i="9"/>
  <c r="L9" i="9"/>
  <c r="K9" i="9"/>
  <c r="J9" i="9"/>
  <c r="I9" i="9"/>
  <c r="I32" i="9" s="1"/>
  <c r="H9" i="9"/>
  <c r="H32" i="9" s="1"/>
  <c r="N8" i="9"/>
  <c r="N31" i="9" s="1"/>
  <c r="M8" i="9"/>
  <c r="L8" i="9"/>
  <c r="K8" i="9"/>
  <c r="J8" i="9"/>
  <c r="I8" i="9"/>
  <c r="I31" i="9" s="1"/>
  <c r="H8" i="9"/>
  <c r="H31" i="9" s="1"/>
  <c r="N7" i="9"/>
  <c r="N30" i="9" s="1"/>
  <c r="M7" i="9"/>
  <c r="L7" i="9"/>
  <c r="K7" i="9"/>
  <c r="J7" i="9"/>
  <c r="I7" i="9"/>
  <c r="I30" i="9" s="1"/>
  <c r="H7" i="9"/>
  <c r="H30" i="9" s="1"/>
  <c r="N6" i="9"/>
  <c r="N29" i="9" s="1"/>
  <c r="M6" i="9"/>
  <c r="M29" i="9" s="1"/>
  <c r="L6" i="9"/>
  <c r="L29" i="9" s="1"/>
  <c r="K6" i="9"/>
  <c r="J6" i="9"/>
  <c r="J29" i="9" s="1"/>
  <c r="I6" i="9"/>
  <c r="I29" i="9" s="1"/>
  <c r="H6" i="9"/>
  <c r="A19" i="9"/>
  <c r="A42" i="9" s="1"/>
  <c r="A20" i="9"/>
  <c r="A21" i="9"/>
  <c r="A16" i="9"/>
  <c r="A39" i="9" s="1"/>
  <c r="A17" i="9"/>
  <c r="A40" i="9" s="1"/>
  <c r="A18" i="9"/>
  <c r="A41" i="9" s="1"/>
  <c r="F294" i="28" l="1"/>
  <c r="I42" i="9"/>
  <c r="I59" i="9" s="1"/>
  <c r="O20" i="11"/>
  <c r="H47" i="9"/>
  <c r="I48" i="9"/>
  <c r="N49" i="9"/>
  <c r="H51" i="9"/>
  <c r="I52" i="9"/>
  <c r="N53" i="9"/>
  <c r="O39" i="11"/>
  <c r="G64" i="28" s="1"/>
  <c r="M42" i="9"/>
  <c r="M59" i="9" s="1"/>
  <c r="V381" i="28"/>
  <c r="J42" i="9"/>
  <c r="J59" i="9" s="1"/>
  <c r="O34" i="11"/>
  <c r="V391" i="28" s="1"/>
  <c r="L42" i="9"/>
  <c r="L59" i="9" s="1"/>
  <c r="C218" i="28"/>
  <c r="K32" i="9"/>
  <c r="E29" i="11"/>
  <c r="E54" i="28" s="1"/>
  <c r="C23" i="18"/>
  <c r="K36" i="9"/>
  <c r="I29" i="11"/>
  <c r="E58" i="28" s="1"/>
  <c r="C27" i="18"/>
  <c r="K39" i="9"/>
  <c r="L29" i="11"/>
  <c r="C30" i="18"/>
  <c r="H40" i="9"/>
  <c r="M16" i="11"/>
  <c r="T391" i="28"/>
  <c r="F62" i="28"/>
  <c r="I41" i="9"/>
  <c r="I58" i="9" s="1"/>
  <c r="U396" i="28"/>
  <c r="G63" i="28"/>
  <c r="O44" i="11"/>
  <c r="AF585" i="28"/>
  <c r="AF581" i="28"/>
  <c r="AM581" i="28" s="1"/>
  <c r="AF551" i="28"/>
  <c r="AN520" i="28"/>
  <c r="AG489" i="28"/>
  <c r="AN458" i="28"/>
  <c r="AF458" i="28"/>
  <c r="AM458" i="28" s="1"/>
  <c r="AF436" i="28"/>
  <c r="AN427" i="28"/>
  <c r="AM436" i="28" s="1"/>
  <c r="K31" i="9"/>
  <c r="D29" i="11"/>
  <c r="E53" i="28" s="1"/>
  <c r="C22" i="18"/>
  <c r="H29" i="11"/>
  <c r="E57" i="28" s="1"/>
  <c r="C26" i="18"/>
  <c r="R373" i="28"/>
  <c r="B61" i="28"/>
  <c r="R391" i="28"/>
  <c r="F61" i="28"/>
  <c r="T377" i="28"/>
  <c r="AJ456" i="28" s="1"/>
  <c r="C62" i="28"/>
  <c r="T396" i="28"/>
  <c r="G62" i="28"/>
  <c r="B32" i="18"/>
  <c r="B345" i="28" s="1"/>
  <c r="N41" i="9"/>
  <c r="N58" i="9" s="1"/>
  <c r="N44" i="11"/>
  <c r="O29" i="11"/>
  <c r="C33" i="18"/>
  <c r="AF552" i="28"/>
  <c r="AM552" i="28" s="1"/>
  <c r="AN521" i="28"/>
  <c r="W400" i="28"/>
  <c r="AG585" i="28" s="1"/>
  <c r="AF616" i="28" s="1"/>
  <c r="H103" i="28"/>
  <c r="H120" i="28" s="1"/>
  <c r="H242" i="28" s="1"/>
  <c r="AK624" i="28"/>
  <c r="W395" i="28"/>
  <c r="AG584" i="28" s="1"/>
  <c r="G103" i="28"/>
  <c r="G120" i="28" s="1"/>
  <c r="G242" i="28" s="1"/>
  <c r="D18" i="17"/>
  <c r="P23" i="11"/>
  <c r="I102" i="28"/>
  <c r="AF553" i="28"/>
  <c r="AM553" i="28" s="1"/>
  <c r="AN522" i="28"/>
  <c r="K34" i="9"/>
  <c r="G29" i="11"/>
  <c r="E56" i="28" s="1"/>
  <c r="C25" i="18"/>
  <c r="K38" i="9"/>
  <c r="K29" i="11"/>
  <c r="C29" i="18"/>
  <c r="I39" i="9"/>
  <c r="I55" i="9" s="1"/>
  <c r="L20" i="11"/>
  <c r="R396" i="28"/>
  <c r="G61" i="28"/>
  <c r="T381" i="28"/>
  <c r="D62" i="28"/>
  <c r="N40" i="9"/>
  <c r="M44" i="11"/>
  <c r="K41" i="9"/>
  <c r="N29" i="11"/>
  <c r="C32" i="18"/>
  <c r="H42" i="9"/>
  <c r="H59" i="9" s="1"/>
  <c r="AF583" i="28"/>
  <c r="AM583" i="28" s="1"/>
  <c r="AN552" i="28"/>
  <c r="AF584" i="28"/>
  <c r="AM584" i="28" s="1"/>
  <c r="AN553" i="28"/>
  <c r="AI519" i="28"/>
  <c r="AI497" i="28"/>
  <c r="AF550" i="28"/>
  <c r="AF559" i="28" s="1"/>
  <c r="I101" i="28"/>
  <c r="V404" i="28"/>
  <c r="AG548" i="28"/>
  <c r="K30" i="9"/>
  <c r="C29" i="11"/>
  <c r="E52" i="28" s="1"/>
  <c r="C21" i="18"/>
  <c r="K29" i="9"/>
  <c r="B29" i="11"/>
  <c r="E51" i="28" s="1"/>
  <c r="C20" i="18"/>
  <c r="K33" i="9"/>
  <c r="F29" i="11"/>
  <c r="E55" i="28" s="1"/>
  <c r="C24" i="18"/>
  <c r="K37" i="9"/>
  <c r="J29" i="11"/>
  <c r="E59" i="28" s="1"/>
  <c r="C28" i="18"/>
  <c r="R381" i="28"/>
  <c r="D61" i="28"/>
  <c r="N39" i="9"/>
  <c r="N55" i="9" s="1"/>
  <c r="L44" i="11"/>
  <c r="K40" i="9"/>
  <c r="M29" i="11"/>
  <c r="C31" i="18"/>
  <c r="H41" i="9"/>
  <c r="U391" i="28"/>
  <c r="F63" i="28"/>
  <c r="AF554" i="28"/>
  <c r="AF563" i="28" s="1"/>
  <c r="H223" i="28"/>
  <c r="Q43" i="11"/>
  <c r="G223" i="28"/>
  <c r="Q38" i="11"/>
  <c r="AF580" i="28"/>
  <c r="AF558" i="28"/>
  <c r="U404" i="28"/>
  <c r="AG517" i="28"/>
  <c r="C18" i="17"/>
  <c r="P19" i="11"/>
  <c r="M37" i="9"/>
  <c r="E28" i="18"/>
  <c r="D341" i="28" s="1"/>
  <c r="L39" i="9"/>
  <c r="D30" i="18"/>
  <c r="C343" i="28" s="1"/>
  <c r="M40" i="9"/>
  <c r="E31" i="18"/>
  <c r="D344" i="28" s="1"/>
  <c r="L31" i="9"/>
  <c r="D22" i="18"/>
  <c r="C335" i="28" s="1"/>
  <c r="M32" i="9"/>
  <c r="E23" i="18"/>
  <c r="D336" i="28" s="1"/>
  <c r="J33" i="9"/>
  <c r="B24" i="18"/>
  <c r="B337" i="28" s="1"/>
  <c r="L35" i="9"/>
  <c r="D26" i="18"/>
  <c r="C339" i="28" s="1"/>
  <c r="M36" i="9"/>
  <c r="E27" i="18"/>
  <c r="D340" i="28" s="1"/>
  <c r="J37" i="9"/>
  <c r="B28" i="18"/>
  <c r="B341" i="28" s="1"/>
  <c r="M39" i="9"/>
  <c r="E30" i="18"/>
  <c r="D343" i="28" s="1"/>
  <c r="J40" i="9"/>
  <c r="B31" i="18"/>
  <c r="B344" i="28" s="1"/>
  <c r="D33" i="18"/>
  <c r="C346" i="28" s="1"/>
  <c r="L30" i="9"/>
  <c r="L46" i="9" s="1"/>
  <c r="D21" i="18"/>
  <c r="C334" i="28" s="1"/>
  <c r="M31" i="9"/>
  <c r="E22" i="18"/>
  <c r="D335" i="28" s="1"/>
  <c r="J32" i="9"/>
  <c r="B23" i="18"/>
  <c r="B336" i="28" s="1"/>
  <c r="L34" i="9"/>
  <c r="D25" i="18"/>
  <c r="C338" i="28" s="1"/>
  <c r="M35" i="9"/>
  <c r="E26" i="18"/>
  <c r="D339" i="28" s="1"/>
  <c r="J36" i="9"/>
  <c r="B27" i="18"/>
  <c r="B340" i="28" s="1"/>
  <c r="M38" i="9"/>
  <c r="E29" i="18"/>
  <c r="J39" i="9"/>
  <c r="B30" i="18"/>
  <c r="B343" i="28" s="1"/>
  <c r="L41" i="9"/>
  <c r="D32" i="18"/>
  <c r="C345" i="28" s="1"/>
  <c r="E33" i="18"/>
  <c r="D346" i="28" s="1"/>
  <c r="J30" i="9"/>
  <c r="B21" i="18"/>
  <c r="B334" i="28" s="1"/>
  <c r="L32" i="9"/>
  <c r="D23" i="18"/>
  <c r="C336" i="28" s="1"/>
  <c r="M33" i="9"/>
  <c r="E24" i="18"/>
  <c r="D337" i="28" s="1"/>
  <c r="J34" i="9"/>
  <c r="B25" i="18"/>
  <c r="B338" i="28" s="1"/>
  <c r="L36" i="9"/>
  <c r="D27" i="18"/>
  <c r="C340" i="28" s="1"/>
  <c r="J38" i="9"/>
  <c r="B29" i="18"/>
  <c r="B342" i="28" s="1"/>
  <c r="M30" i="9"/>
  <c r="M46" i="9" s="1"/>
  <c r="E21" i="18"/>
  <c r="D334" i="28" s="1"/>
  <c r="J31" i="9"/>
  <c r="B22" i="18"/>
  <c r="B335" i="28" s="1"/>
  <c r="L33" i="9"/>
  <c r="D24" i="18"/>
  <c r="C337" i="28" s="1"/>
  <c r="M34" i="9"/>
  <c r="E25" i="18"/>
  <c r="D338" i="28" s="1"/>
  <c r="J35" i="9"/>
  <c r="B26" i="18"/>
  <c r="B339" i="28" s="1"/>
  <c r="L37" i="9"/>
  <c r="D28" i="18"/>
  <c r="C341" i="28" s="1"/>
  <c r="L40" i="9"/>
  <c r="D31" i="18"/>
  <c r="C344" i="28" s="1"/>
  <c r="M41" i="9"/>
  <c r="E32" i="18"/>
  <c r="D345" i="28" s="1"/>
  <c r="B33" i="18"/>
  <c r="B346" i="28" s="1"/>
  <c r="I47" i="9"/>
  <c r="N48" i="9"/>
  <c r="H50" i="9"/>
  <c r="I51" i="9"/>
  <c r="N52" i="9"/>
  <c r="H54" i="9"/>
  <c r="N46" i="9"/>
  <c r="H48" i="9"/>
  <c r="I49" i="9"/>
  <c r="N50" i="9"/>
  <c r="H52" i="9"/>
  <c r="I53" i="9"/>
  <c r="I46" i="9"/>
  <c r="N47" i="9"/>
  <c r="H49" i="9"/>
  <c r="I50" i="9"/>
  <c r="N51" i="9"/>
  <c r="H53" i="9"/>
  <c r="I54" i="9"/>
  <c r="N54" i="9"/>
  <c r="G12" i="9"/>
  <c r="K35" i="9"/>
  <c r="G16" i="9"/>
  <c r="H39" i="9"/>
  <c r="H55" i="9" s="1"/>
  <c r="G17" i="9"/>
  <c r="I40" i="9"/>
  <c r="G18" i="9"/>
  <c r="N11" i="11" s="1"/>
  <c r="J41" i="9"/>
  <c r="G19" i="9"/>
  <c r="O11" i="11" s="1"/>
  <c r="G8" i="9"/>
  <c r="G7" i="9"/>
  <c r="G10" i="9"/>
  <c r="G11" i="9"/>
  <c r="G13" i="9"/>
  <c r="G9" i="9"/>
  <c r="G14" i="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O48" i="11" l="1"/>
  <c r="M54" i="9"/>
  <c r="G119" i="28"/>
  <c r="G241" i="28" s="1"/>
  <c r="G261" i="28" s="1"/>
  <c r="C36" i="18"/>
  <c r="K47" i="9"/>
  <c r="AF561" i="28"/>
  <c r="K57" i="9"/>
  <c r="L48" i="9"/>
  <c r="V396" i="28"/>
  <c r="AF562" i="28"/>
  <c r="L52" i="9"/>
  <c r="M49" i="9"/>
  <c r="AM562" i="28"/>
  <c r="I56" i="9"/>
  <c r="L50" i="9"/>
  <c r="M47" i="9"/>
  <c r="M56" i="9"/>
  <c r="H57" i="9"/>
  <c r="F64" i="28"/>
  <c r="M57" i="9"/>
  <c r="L53" i="9"/>
  <c r="M50" i="9"/>
  <c r="J48" i="9"/>
  <c r="J51" i="9"/>
  <c r="M53" i="9"/>
  <c r="AM550" i="28"/>
  <c r="AM559" i="28" s="1"/>
  <c r="K53" i="9"/>
  <c r="K49" i="9"/>
  <c r="K48" i="9"/>
  <c r="K55" i="9"/>
  <c r="K56" i="9"/>
  <c r="D64" i="28"/>
  <c r="N57" i="9"/>
  <c r="AF467" i="28"/>
  <c r="M58" i="9"/>
  <c r="K51" i="9"/>
  <c r="J52" i="9"/>
  <c r="L49" i="9"/>
  <c r="L58" i="9"/>
  <c r="J55" i="9"/>
  <c r="K46" i="9"/>
  <c r="AM467" i="28"/>
  <c r="AF594" i="28"/>
  <c r="O53" i="11"/>
  <c r="O58" i="11" s="1"/>
  <c r="M53" i="11"/>
  <c r="M11" i="11"/>
  <c r="D342" i="28"/>
  <c r="M52" i="9"/>
  <c r="J49" i="9"/>
  <c r="L47" i="9"/>
  <c r="L56" i="9"/>
  <c r="C223" i="28"/>
  <c r="Q19" i="11"/>
  <c r="T386" i="28"/>
  <c r="E62" i="28"/>
  <c r="E107" i="28"/>
  <c r="E229" i="28" s="1"/>
  <c r="AI528" i="28"/>
  <c r="AM561" i="28"/>
  <c r="U386" i="28"/>
  <c r="E63" i="28"/>
  <c r="R377" i="28"/>
  <c r="AJ425" i="28" s="1"/>
  <c r="C61" i="28"/>
  <c r="K54" i="9"/>
  <c r="D223" i="28"/>
  <c r="Q23" i="11"/>
  <c r="V386" i="28"/>
  <c r="E64" i="28"/>
  <c r="U381" i="28"/>
  <c r="D63" i="28"/>
  <c r="L48" i="11"/>
  <c r="E112" i="28"/>
  <c r="E234" i="28" s="1"/>
  <c r="AM551" i="28"/>
  <c r="AM560" i="28" s="1"/>
  <c r="AF560" i="28"/>
  <c r="U377" i="28"/>
  <c r="AJ518" i="28" s="1"/>
  <c r="C63" i="28"/>
  <c r="T373" i="28"/>
  <c r="B62" i="28"/>
  <c r="M48" i="11"/>
  <c r="J47" i="9"/>
  <c r="M51" i="9"/>
  <c r="J56" i="9"/>
  <c r="AG524" i="28"/>
  <c r="AF548" i="28"/>
  <c r="AF555" i="28" s="1"/>
  <c r="X395" i="28"/>
  <c r="AG615" i="28" s="1"/>
  <c r="G104" i="28"/>
  <c r="V377" i="28"/>
  <c r="AJ549" i="28" s="1"/>
  <c r="C64" i="28"/>
  <c r="U373" i="28"/>
  <c r="B63" i="28"/>
  <c r="N48" i="11"/>
  <c r="E106" i="28"/>
  <c r="E228" i="28" s="1"/>
  <c r="V373" i="28"/>
  <c r="B64" i="28"/>
  <c r="AJ487" i="28"/>
  <c r="AF520" i="28"/>
  <c r="AF498" i="28"/>
  <c r="AN489" i="28"/>
  <c r="AM498" i="28" s="1"/>
  <c r="E109" i="28"/>
  <c r="E231" i="28" s="1"/>
  <c r="N53" i="11"/>
  <c r="L53" i="11"/>
  <c r="L11" i="11"/>
  <c r="J46" i="9"/>
  <c r="L57" i="9"/>
  <c r="J53" i="9"/>
  <c r="L51" i="9"/>
  <c r="M48" i="9"/>
  <c r="W376" i="28"/>
  <c r="AG580" i="28" s="1"/>
  <c r="C103" i="28"/>
  <c r="C120" i="28" s="1"/>
  <c r="C242" i="28" s="1"/>
  <c r="R401" i="28"/>
  <c r="AJ430" i="28" s="1"/>
  <c r="H61" i="28"/>
  <c r="E110" i="28"/>
  <c r="E232" i="28" s="1"/>
  <c r="AG555" i="28"/>
  <c r="AF579" i="28"/>
  <c r="AF586" i="28" s="1"/>
  <c r="H58" i="9"/>
  <c r="T401" i="28"/>
  <c r="AJ461" i="28" s="1"/>
  <c r="H62" i="28"/>
  <c r="E111" i="28"/>
  <c r="E233" i="28" s="1"/>
  <c r="W380" i="28"/>
  <c r="AG581" i="28" s="1"/>
  <c r="D103" i="28"/>
  <c r="D120" i="28" s="1"/>
  <c r="D242" i="28" s="1"/>
  <c r="AF615" i="28"/>
  <c r="AF593" i="28"/>
  <c r="AN584" i="28"/>
  <c r="AM593" i="28" s="1"/>
  <c r="AP584" i="28"/>
  <c r="U401" i="28"/>
  <c r="AJ523" i="28" s="1"/>
  <c r="H63" i="28"/>
  <c r="AJ424" i="28"/>
  <c r="E108" i="28"/>
  <c r="E230" i="28" s="1"/>
  <c r="V401" i="28"/>
  <c r="AJ554" i="28" s="1"/>
  <c r="H64" i="28"/>
  <c r="G118" i="28"/>
  <c r="G240" i="28" s="1"/>
  <c r="E113" i="28"/>
  <c r="E235" i="28" s="1"/>
  <c r="X400" i="28"/>
  <c r="AG616" i="28" s="1"/>
  <c r="AF625" i="28" s="1"/>
  <c r="H104" i="28"/>
  <c r="F118" i="28"/>
  <c r="F240" i="28" s="1"/>
  <c r="E114" i="28"/>
  <c r="E236" i="28" s="1"/>
  <c r="N56" i="9"/>
  <c r="Q386" i="28"/>
  <c r="E60" i="28"/>
  <c r="K50" i="9"/>
  <c r="R386" i="28"/>
  <c r="E61" i="28"/>
  <c r="J50" i="9"/>
  <c r="J54" i="9"/>
  <c r="M55" i="9"/>
  <c r="J57" i="9"/>
  <c r="K52" i="9"/>
  <c r="I57" i="9"/>
  <c r="H56" i="9"/>
  <c r="J44" i="9"/>
  <c r="L44" i="9"/>
  <c r="F267" i="28" s="1"/>
  <c r="M44" i="9"/>
  <c r="K58" i="9"/>
  <c r="J58" i="9"/>
  <c r="K149" i="24"/>
  <c r="J149" i="24"/>
  <c r="J161" i="24"/>
  <c r="K161" i="24"/>
  <c r="K173" i="24"/>
  <c r="J173" i="24"/>
  <c r="J185" i="24"/>
  <c r="K185" i="24"/>
  <c r="K197" i="24"/>
  <c r="J197" i="24"/>
  <c r="J209" i="24"/>
  <c r="K209" i="24"/>
  <c r="K221" i="24"/>
  <c r="J221" i="24"/>
  <c r="J233" i="24"/>
  <c r="K233" i="24"/>
  <c r="K245" i="24"/>
  <c r="J245" i="24"/>
  <c r="J257" i="24"/>
  <c r="K257" i="24"/>
  <c r="K269" i="24"/>
  <c r="J269" i="24"/>
  <c r="J160" i="19"/>
  <c r="J161" i="19"/>
  <c r="J162" i="19"/>
  <c r="J163" i="19"/>
  <c r="J164" i="19"/>
  <c r="J165" i="19"/>
  <c r="J166" i="19"/>
  <c r="J167" i="19"/>
  <c r="J168" i="19"/>
  <c r="J169" i="19"/>
  <c r="J170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47" i="19"/>
  <c r="J136" i="19"/>
  <c r="J137" i="19"/>
  <c r="J138" i="19"/>
  <c r="J139" i="19"/>
  <c r="J140" i="19"/>
  <c r="J141" i="19"/>
  <c r="J142" i="19"/>
  <c r="J143" i="19"/>
  <c r="J144" i="19"/>
  <c r="J145" i="19"/>
  <c r="J146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23" i="19"/>
  <c r="J100" i="19"/>
  <c r="J101" i="19"/>
  <c r="J102" i="19"/>
  <c r="J103" i="19"/>
  <c r="J104" i="19"/>
  <c r="J105" i="19"/>
  <c r="J106" i="19"/>
  <c r="J107" i="19"/>
  <c r="J108" i="19"/>
  <c r="J109" i="19"/>
  <c r="J110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87" i="19"/>
  <c r="AD19" i="23"/>
  <c r="G260" i="28" l="1"/>
  <c r="C119" i="28"/>
  <c r="C241" i="28" s="1"/>
  <c r="C261" i="28" s="1"/>
  <c r="E119" i="28"/>
  <c r="E241" i="28" s="1"/>
  <c r="E261" i="28" s="1"/>
  <c r="D119" i="28"/>
  <c r="D241" i="28" s="1"/>
  <c r="D261" i="28" s="1"/>
  <c r="F119" i="28"/>
  <c r="F241" i="28" s="1"/>
  <c r="F260" i="28" s="1"/>
  <c r="H119" i="28"/>
  <c r="H241" i="28" s="1"/>
  <c r="H261" i="28" s="1"/>
  <c r="I64" i="28"/>
  <c r="O64" i="28" s="1"/>
  <c r="M63" i="9"/>
  <c r="G262" i="28" s="1"/>
  <c r="N63" i="9"/>
  <c r="H262" i="28" s="1"/>
  <c r="E252" i="28"/>
  <c r="AF557" i="28"/>
  <c r="J63" i="9"/>
  <c r="D262" i="28" s="1"/>
  <c r="I63" i="9"/>
  <c r="C262" i="28" s="1"/>
  <c r="E249" i="28"/>
  <c r="M58" i="11"/>
  <c r="R405" i="28"/>
  <c r="E254" i="28"/>
  <c r="J66" i="9"/>
  <c r="D267" i="28"/>
  <c r="D272" i="28" s="1"/>
  <c r="D302" i="28" s="1"/>
  <c r="AI455" i="28"/>
  <c r="AJ492" i="28"/>
  <c r="AI461" i="28"/>
  <c r="R368" i="28"/>
  <c r="B41" i="28"/>
  <c r="AM520" i="28"/>
  <c r="AM529" i="28" s="1"/>
  <c r="AF529" i="28"/>
  <c r="I62" i="28"/>
  <c r="E253" i="28"/>
  <c r="D118" i="28"/>
  <c r="D240" i="28" s="1"/>
  <c r="X380" i="28"/>
  <c r="AG612" i="28" s="1"/>
  <c r="D104" i="28"/>
  <c r="AI456" i="28"/>
  <c r="X376" i="28"/>
  <c r="AG611" i="28" s="1"/>
  <c r="C104" i="28"/>
  <c r="T368" i="28"/>
  <c r="B42" i="28"/>
  <c r="E116" i="28"/>
  <c r="E238" i="28" s="1"/>
  <c r="E115" i="28"/>
  <c r="E237" i="28" s="1"/>
  <c r="E256" i="28" s="1"/>
  <c r="H118" i="28"/>
  <c r="H240" i="28" s="1"/>
  <c r="AF612" i="28"/>
  <c r="AF590" i="28"/>
  <c r="E250" i="28"/>
  <c r="B119" i="28"/>
  <c r="B241" i="28" s="1"/>
  <c r="N58" i="11"/>
  <c r="AI580" i="28"/>
  <c r="AM580" i="28" s="1"/>
  <c r="AN549" i="28"/>
  <c r="T405" i="28"/>
  <c r="AJ455" i="28"/>
  <c r="L58" i="11"/>
  <c r="E248" i="28"/>
  <c r="E117" i="28"/>
  <c r="E239" i="28" s="1"/>
  <c r="M66" i="9"/>
  <c r="G267" i="28"/>
  <c r="G272" i="28" s="1"/>
  <c r="G302" i="28" s="1"/>
  <c r="E255" i="28"/>
  <c r="AI554" i="28"/>
  <c r="AN523" i="28"/>
  <c r="E251" i="28"/>
  <c r="AF589" i="28"/>
  <c r="AF611" i="28"/>
  <c r="U368" i="28"/>
  <c r="B43" i="28"/>
  <c r="I61" i="28"/>
  <c r="V405" i="28"/>
  <c r="AJ548" i="28"/>
  <c r="B118" i="28"/>
  <c r="B240" i="28" s="1"/>
  <c r="I63" i="28"/>
  <c r="C118" i="28"/>
  <c r="C240" i="28" s="1"/>
  <c r="V368" i="28"/>
  <c r="B44" i="28"/>
  <c r="C45" i="28" s="1"/>
  <c r="AI585" i="28"/>
  <c r="AM585" i="28" s="1"/>
  <c r="AN554" i="28"/>
  <c r="AI562" i="28"/>
  <c r="AM615" i="28"/>
  <c r="AO615" i="28"/>
  <c r="AI518" i="28"/>
  <c r="AI496" i="28"/>
  <c r="U405" i="28"/>
  <c r="AJ517" i="28"/>
  <c r="AF624" i="28"/>
  <c r="AN615" i="28"/>
  <c r="AP615" i="28"/>
  <c r="AI549" i="28"/>
  <c r="AN518" i="28"/>
  <c r="E118" i="28"/>
  <c r="E240" i="28" s="1"/>
  <c r="J236" i="19"/>
  <c r="J237" i="19" s="1"/>
  <c r="J238" i="19" s="1"/>
  <c r="J239" i="19" s="1"/>
  <c r="J240" i="19" s="1"/>
  <c r="J242" i="19"/>
  <c r="J243" i="19" s="1"/>
  <c r="J244" i="19" s="1"/>
  <c r="J245" i="19" s="1"/>
  <c r="J246" i="19" s="1"/>
  <c r="J247" i="19" s="1"/>
  <c r="E262" i="28"/>
  <c r="K66" i="9"/>
  <c r="C260" i="28" l="1"/>
  <c r="H260" i="28"/>
  <c r="E260" i="28"/>
  <c r="N61" i="9"/>
  <c r="E258" i="28"/>
  <c r="AF620" i="28"/>
  <c r="E257" i="28"/>
  <c r="AF621" i="28"/>
  <c r="AO624" i="28"/>
  <c r="AM549" i="28"/>
  <c r="AM558" i="28" s="1"/>
  <c r="AI548" i="28"/>
  <c r="AI557" i="28" s="1"/>
  <c r="AN517" i="28"/>
  <c r="AI558" i="28"/>
  <c r="C42" i="28"/>
  <c r="AI470" i="28"/>
  <c r="B260" i="28"/>
  <c r="C43" i="28"/>
  <c r="AM554" i="28"/>
  <c r="AM563" i="28" s="1"/>
  <c r="AI563" i="28"/>
  <c r="E259" i="28"/>
  <c r="AI527" i="28"/>
  <c r="AM624" i="28"/>
  <c r="C44" i="28"/>
  <c r="AN548" i="28"/>
  <c r="AI579" i="28"/>
  <c r="AM579" i="28" s="1"/>
  <c r="AJ486" i="28"/>
  <c r="AI464" i="28"/>
  <c r="AI465" i="28"/>
  <c r="D260" i="28"/>
  <c r="AI523" i="28"/>
  <c r="AI501" i="28"/>
  <c r="AC19" i="23"/>
  <c r="AB19" i="23"/>
  <c r="AA19" i="23"/>
  <c r="Z19" i="23"/>
  <c r="N44" i="9" l="1"/>
  <c r="N66" i="9" s="1"/>
  <c r="AI532" i="28"/>
  <c r="AI517" i="28"/>
  <c r="AI495" i="28"/>
  <c r="AM548" i="28"/>
  <c r="AM557" i="28" s="1"/>
  <c r="U8" i="23"/>
  <c r="V8" i="23"/>
  <c r="V19" i="23" s="1"/>
  <c r="W8" i="23"/>
  <c r="V24" i="23" s="1"/>
  <c r="X8" i="23"/>
  <c r="Y8" i="23"/>
  <c r="Z8" i="23"/>
  <c r="AA8" i="23"/>
  <c r="AB8" i="23"/>
  <c r="AC8" i="23"/>
  <c r="AD8" i="23"/>
  <c r="AE8" i="23"/>
  <c r="AF8" i="23"/>
  <c r="U9" i="23"/>
  <c r="V9" i="23"/>
  <c r="W9" i="23"/>
  <c r="W19" i="23" s="1"/>
  <c r="X9" i="23"/>
  <c r="Y9" i="23"/>
  <c r="Z9" i="23"/>
  <c r="AA9" i="23"/>
  <c r="AB9" i="23"/>
  <c r="AC9" i="23"/>
  <c r="AD9" i="23"/>
  <c r="AE9" i="23"/>
  <c r="AF9" i="23"/>
  <c r="U10" i="23"/>
  <c r="V10" i="23"/>
  <c r="W10" i="23"/>
  <c r="X10" i="23"/>
  <c r="X19" i="23" s="1"/>
  <c r="Y10" i="23"/>
  <c r="Z10" i="23"/>
  <c r="AA10" i="23"/>
  <c r="AB10" i="23"/>
  <c r="AC10" i="23"/>
  <c r="AD10" i="23"/>
  <c r="AE10" i="23"/>
  <c r="AF10" i="23"/>
  <c r="U11" i="23"/>
  <c r="V11" i="23"/>
  <c r="W11" i="23"/>
  <c r="X11" i="23"/>
  <c r="Y11" i="23"/>
  <c r="Y19" i="23" s="1"/>
  <c r="Z11" i="23"/>
  <c r="V27" i="23" s="1"/>
  <c r="AA11" i="23"/>
  <c r="W27" i="23" s="1"/>
  <c r="AB11" i="23"/>
  <c r="AC11" i="23"/>
  <c r="AD11" i="23"/>
  <c r="AE11" i="23"/>
  <c r="AF11" i="23"/>
  <c r="V7" i="23"/>
  <c r="W7" i="23"/>
  <c r="X7" i="23"/>
  <c r="X18" i="23" s="1"/>
  <c r="Y7" i="23"/>
  <c r="Z7" i="23"/>
  <c r="AA7" i="23"/>
  <c r="AB7" i="23"/>
  <c r="AB18" i="23" s="1"/>
  <c r="AC7" i="23"/>
  <c r="AD7" i="23"/>
  <c r="AE7" i="23"/>
  <c r="AF7" i="23"/>
  <c r="U7" i="23"/>
  <c r="W26" i="23" l="1"/>
  <c r="U18" i="23"/>
  <c r="AC18" i="23"/>
  <c r="AC20" i="23" s="1"/>
  <c r="B11" i="23" s="1"/>
  <c r="Y18" i="23"/>
  <c r="Y20" i="23" s="1"/>
  <c r="B7" i="23" s="1"/>
  <c r="W23" i="23"/>
  <c r="W18" i="23"/>
  <c r="AD18" i="23"/>
  <c r="AD20" i="23" s="1"/>
  <c r="B12" i="23" s="1"/>
  <c r="Z18" i="23"/>
  <c r="Z20" i="23" s="1"/>
  <c r="B8" i="23" s="1"/>
  <c r="V23" i="23"/>
  <c r="V18" i="23"/>
  <c r="V26" i="23"/>
  <c r="W25" i="23"/>
  <c r="AA18" i="23"/>
  <c r="AA20" i="23" s="1"/>
  <c r="B9" i="23" s="1"/>
  <c r="V25" i="23"/>
  <c r="W24" i="23"/>
  <c r="H267" i="28"/>
  <c r="H272" i="28" s="1"/>
  <c r="H302" i="28" s="1"/>
  <c r="AI526" i="28"/>
  <c r="AB20" i="23"/>
  <c r="B10" i="23" s="1"/>
  <c r="X20" i="23"/>
  <c r="B6" i="23" s="1"/>
  <c r="U19" i="23"/>
  <c r="W20" i="23"/>
  <c r="B5" i="23" s="1"/>
  <c r="V20" i="23"/>
  <c r="B4" i="23" s="1"/>
  <c r="B100" i="19"/>
  <c r="B101" i="19"/>
  <c r="B102" i="19"/>
  <c r="B103" i="19"/>
  <c r="B104" i="19"/>
  <c r="B105" i="19"/>
  <c r="B106" i="19"/>
  <c r="B107" i="19"/>
  <c r="B108" i="19"/>
  <c r="B109" i="19"/>
  <c r="B110" i="19"/>
  <c r="B99" i="19"/>
  <c r="B89" i="19"/>
  <c r="B90" i="19"/>
  <c r="B91" i="19"/>
  <c r="B92" i="19"/>
  <c r="B93" i="19"/>
  <c r="B94" i="19"/>
  <c r="B95" i="19"/>
  <c r="B96" i="19"/>
  <c r="B97" i="19"/>
  <c r="B98" i="19"/>
  <c r="B88" i="19"/>
  <c r="B87" i="19"/>
  <c r="B76" i="19"/>
  <c r="B77" i="19"/>
  <c r="B78" i="19"/>
  <c r="B79" i="19"/>
  <c r="B80" i="19"/>
  <c r="B81" i="19"/>
  <c r="B82" i="19"/>
  <c r="B83" i="19"/>
  <c r="B84" i="19"/>
  <c r="B85" i="19"/>
  <c r="B86" i="19"/>
  <c r="B75" i="19"/>
  <c r="B64" i="19"/>
  <c r="B65" i="19"/>
  <c r="B66" i="19"/>
  <c r="B67" i="19"/>
  <c r="B68" i="19"/>
  <c r="B69" i="19"/>
  <c r="B70" i="19"/>
  <c r="B71" i="19"/>
  <c r="B72" i="19"/>
  <c r="B73" i="19"/>
  <c r="B74" i="19"/>
  <c r="B63" i="19"/>
  <c r="B52" i="19"/>
  <c r="B53" i="19"/>
  <c r="B54" i="19"/>
  <c r="B55" i="19"/>
  <c r="B56" i="19"/>
  <c r="B57" i="19"/>
  <c r="B58" i="19"/>
  <c r="B59" i="19"/>
  <c r="B60" i="19"/>
  <c r="B61" i="19"/>
  <c r="B62" i="19"/>
  <c r="B51" i="19"/>
  <c r="B40" i="19"/>
  <c r="B41" i="19"/>
  <c r="B42" i="19"/>
  <c r="B43" i="19"/>
  <c r="B44" i="19"/>
  <c r="B45" i="19"/>
  <c r="B46" i="19"/>
  <c r="B47" i="19"/>
  <c r="B48" i="19"/>
  <c r="B49" i="19"/>
  <c r="B50" i="19"/>
  <c r="B39" i="19"/>
  <c r="B28" i="19"/>
  <c r="B29" i="19"/>
  <c r="B30" i="19"/>
  <c r="B31" i="19"/>
  <c r="B32" i="19"/>
  <c r="B33" i="19"/>
  <c r="B34" i="19"/>
  <c r="B35" i="19"/>
  <c r="B36" i="19"/>
  <c r="B37" i="19"/>
  <c r="B38" i="19"/>
  <c r="B27" i="19"/>
  <c r="B16" i="19"/>
  <c r="B17" i="19"/>
  <c r="B18" i="19"/>
  <c r="B19" i="19"/>
  <c r="B20" i="19"/>
  <c r="B21" i="19"/>
  <c r="B22" i="19"/>
  <c r="B23" i="19"/>
  <c r="B24" i="19"/>
  <c r="B25" i="19"/>
  <c r="B26" i="19"/>
  <c r="B15" i="19"/>
  <c r="B4" i="19"/>
  <c r="B5" i="19"/>
  <c r="B6" i="19"/>
  <c r="B7" i="19"/>
  <c r="B8" i="19"/>
  <c r="B9" i="19"/>
  <c r="B10" i="19"/>
  <c r="B11" i="19"/>
  <c r="B12" i="19"/>
  <c r="B13" i="19"/>
  <c r="B14" i="19"/>
  <c r="B3" i="19"/>
  <c r="J227" i="19"/>
  <c r="L44" i="24"/>
  <c r="M44" i="24"/>
  <c r="N44" i="24"/>
  <c r="O44" i="24"/>
  <c r="P44" i="24"/>
  <c r="Q44" i="24"/>
  <c r="R44" i="24"/>
  <c r="S44" i="24"/>
  <c r="T44" i="24"/>
  <c r="L45" i="24"/>
  <c r="M45" i="24"/>
  <c r="N45" i="24"/>
  <c r="O45" i="24"/>
  <c r="P45" i="24"/>
  <c r="Q45" i="24"/>
  <c r="R45" i="24"/>
  <c r="S45" i="24"/>
  <c r="T45" i="24"/>
  <c r="L46" i="24"/>
  <c r="M46" i="24"/>
  <c r="N46" i="24"/>
  <c r="O46" i="24"/>
  <c r="P46" i="24"/>
  <c r="Q46" i="24"/>
  <c r="R46" i="24"/>
  <c r="S46" i="24"/>
  <c r="T46" i="24"/>
  <c r="L47" i="24"/>
  <c r="M47" i="24"/>
  <c r="N47" i="24"/>
  <c r="O47" i="24"/>
  <c r="P47" i="24"/>
  <c r="Q47" i="24"/>
  <c r="R47" i="24"/>
  <c r="S47" i="24"/>
  <c r="T47" i="24"/>
  <c r="L48" i="24"/>
  <c r="M48" i="24"/>
  <c r="N48" i="24"/>
  <c r="O48" i="24"/>
  <c r="P48" i="24"/>
  <c r="Q48" i="24"/>
  <c r="R48" i="24"/>
  <c r="S48" i="24"/>
  <c r="T48" i="24"/>
  <c r="L49" i="24"/>
  <c r="M49" i="24"/>
  <c r="N49" i="24"/>
  <c r="O49" i="24"/>
  <c r="P49" i="24"/>
  <c r="Q49" i="24"/>
  <c r="R49" i="24"/>
  <c r="S49" i="24"/>
  <c r="T49" i="24"/>
  <c r="L50" i="24"/>
  <c r="M50" i="24"/>
  <c r="N50" i="24"/>
  <c r="O50" i="24"/>
  <c r="P50" i="24"/>
  <c r="Q50" i="24"/>
  <c r="R50" i="24"/>
  <c r="S50" i="24"/>
  <c r="T50" i="24"/>
  <c r="L51" i="24"/>
  <c r="M51" i="24"/>
  <c r="N51" i="24"/>
  <c r="O51" i="24"/>
  <c r="P51" i="24"/>
  <c r="Q51" i="24"/>
  <c r="R51" i="24"/>
  <c r="S51" i="24"/>
  <c r="T51" i="24"/>
  <c r="L52" i="24"/>
  <c r="M52" i="24"/>
  <c r="N52" i="24"/>
  <c r="O52" i="24"/>
  <c r="P52" i="24"/>
  <c r="Q52" i="24"/>
  <c r="R52" i="24"/>
  <c r="S52" i="24"/>
  <c r="T52" i="24"/>
  <c r="L53" i="24"/>
  <c r="M53" i="24"/>
  <c r="N53" i="24"/>
  <c r="O53" i="24"/>
  <c r="P53" i="24"/>
  <c r="Q53" i="24"/>
  <c r="R53" i="24"/>
  <c r="S53" i="24"/>
  <c r="T53" i="24"/>
  <c r="L54" i="24"/>
  <c r="M54" i="24"/>
  <c r="N54" i="24"/>
  <c r="O54" i="24"/>
  <c r="P54" i="24"/>
  <c r="Q54" i="24"/>
  <c r="R54" i="24"/>
  <c r="S54" i="24"/>
  <c r="T54" i="24"/>
  <c r="L31" i="24"/>
  <c r="M31" i="24"/>
  <c r="N31" i="24"/>
  <c r="O31" i="24"/>
  <c r="P31" i="24"/>
  <c r="Q31" i="24"/>
  <c r="R31" i="24"/>
  <c r="S31" i="24"/>
  <c r="T31" i="24"/>
  <c r="L32" i="24"/>
  <c r="M32" i="24"/>
  <c r="N32" i="24"/>
  <c r="N42" i="24" s="1"/>
  <c r="O32" i="24"/>
  <c r="P32" i="24"/>
  <c r="Q32" i="24"/>
  <c r="R32" i="24"/>
  <c r="S32" i="24"/>
  <c r="T32" i="24"/>
  <c r="L33" i="24"/>
  <c r="M33" i="24"/>
  <c r="N33" i="24"/>
  <c r="O33" i="24"/>
  <c r="P33" i="24"/>
  <c r="Q33" i="24"/>
  <c r="R33" i="24"/>
  <c r="S33" i="24"/>
  <c r="T33" i="24"/>
  <c r="L34" i="24"/>
  <c r="M34" i="24"/>
  <c r="N34" i="24"/>
  <c r="O34" i="24"/>
  <c r="P34" i="24"/>
  <c r="Q34" i="24"/>
  <c r="R34" i="24"/>
  <c r="S34" i="24"/>
  <c r="T34" i="24"/>
  <c r="L35" i="24"/>
  <c r="M35" i="24"/>
  <c r="N35" i="24"/>
  <c r="O35" i="24"/>
  <c r="P35" i="24"/>
  <c r="Q35" i="24"/>
  <c r="R35" i="24"/>
  <c r="S35" i="24"/>
  <c r="T35" i="24"/>
  <c r="L36" i="24"/>
  <c r="M36" i="24"/>
  <c r="N36" i="24"/>
  <c r="O36" i="24"/>
  <c r="P36" i="24"/>
  <c r="Q36" i="24"/>
  <c r="R36" i="24"/>
  <c r="S36" i="24"/>
  <c r="T36" i="24"/>
  <c r="L37" i="24"/>
  <c r="M37" i="24"/>
  <c r="N37" i="24"/>
  <c r="O37" i="24"/>
  <c r="P37" i="24"/>
  <c r="Q37" i="24"/>
  <c r="R37" i="24"/>
  <c r="S37" i="24"/>
  <c r="T37" i="24"/>
  <c r="L38" i="24"/>
  <c r="M38" i="24"/>
  <c r="N38" i="24"/>
  <c r="O38" i="24"/>
  <c r="P38" i="24"/>
  <c r="Q38" i="24"/>
  <c r="R38" i="24"/>
  <c r="S38" i="24"/>
  <c r="T38" i="24"/>
  <c r="L39" i="24"/>
  <c r="M39" i="24"/>
  <c r="N39" i="24"/>
  <c r="O39" i="24"/>
  <c r="P39" i="24"/>
  <c r="Q39" i="24"/>
  <c r="R39" i="24"/>
  <c r="S39" i="24"/>
  <c r="T39" i="24"/>
  <c r="L40" i="24"/>
  <c r="M40" i="24"/>
  <c r="N40" i="24"/>
  <c r="O40" i="24"/>
  <c r="P40" i="24"/>
  <c r="Q40" i="24"/>
  <c r="R40" i="24"/>
  <c r="S40" i="24"/>
  <c r="T40" i="24"/>
  <c r="L41" i="24"/>
  <c r="M41" i="24"/>
  <c r="N41" i="24"/>
  <c r="O41" i="24"/>
  <c r="P41" i="24"/>
  <c r="Q41" i="24"/>
  <c r="R41" i="24"/>
  <c r="S41" i="24"/>
  <c r="T41" i="24"/>
  <c r="T43" i="24"/>
  <c r="T30" i="24"/>
  <c r="S43" i="24"/>
  <c r="S30" i="24"/>
  <c r="R43" i="24"/>
  <c r="R30" i="24"/>
  <c r="Q43" i="24"/>
  <c r="Q30" i="24"/>
  <c r="P43" i="24"/>
  <c r="P30" i="24"/>
  <c r="O43" i="24"/>
  <c r="N43" i="24"/>
  <c r="M43" i="24"/>
  <c r="L43" i="24"/>
  <c r="L55" i="24" s="1"/>
  <c r="O30" i="24"/>
  <c r="N30" i="24"/>
  <c r="M30" i="24"/>
  <c r="L30" i="24"/>
  <c r="Z50" i="24"/>
  <c r="D61" i="19"/>
  <c r="D62" i="19"/>
  <c r="C57" i="19"/>
  <c r="Z40" i="24"/>
  <c r="AA49" i="24"/>
  <c r="D73" i="19"/>
  <c r="D74" i="19"/>
  <c r="AB46" i="24"/>
  <c r="AB50" i="24"/>
  <c r="D82" i="19"/>
  <c r="AB36" i="24"/>
  <c r="AC45" i="24"/>
  <c r="D89" i="19"/>
  <c r="AC48" i="24"/>
  <c r="AC49" i="24"/>
  <c r="AC53" i="24"/>
  <c r="C88" i="19"/>
  <c r="AC34" i="24"/>
  <c r="C92" i="19"/>
  <c r="C95" i="19"/>
  <c r="AD46" i="24"/>
  <c r="AD50" i="24"/>
  <c r="AD32" i="24"/>
  <c r="D12" i="19"/>
  <c r="D13" i="19"/>
  <c r="C12" i="19"/>
  <c r="J57" i="23"/>
  <c r="J56" i="23"/>
  <c r="J55" i="23"/>
  <c r="J54" i="23"/>
  <c r="J53" i="23"/>
  <c r="J52" i="23"/>
  <c r="J51" i="23"/>
  <c r="J50" i="23"/>
  <c r="D16" i="11"/>
  <c r="G15" i="11"/>
  <c r="H16" i="11"/>
  <c r="I16" i="11"/>
  <c r="I15" i="11"/>
  <c r="J16" i="11"/>
  <c r="K20" i="11"/>
  <c r="C20" i="11"/>
  <c r="C52" i="28" s="1"/>
  <c r="D20" i="11"/>
  <c r="C53" i="28" s="1"/>
  <c r="E19" i="11"/>
  <c r="C91" i="28" s="1"/>
  <c r="F20" i="11"/>
  <c r="C55" i="28" s="1"/>
  <c r="J20" i="11"/>
  <c r="C59" i="28" s="1"/>
  <c r="J19" i="11"/>
  <c r="C96" i="28" s="1"/>
  <c r="K24" i="11"/>
  <c r="B34" i="11"/>
  <c r="F51" i="28" s="1"/>
  <c r="D35" i="11"/>
  <c r="D34" i="11"/>
  <c r="F53" i="28" s="1"/>
  <c r="F34" i="11"/>
  <c r="F55" i="28" s="1"/>
  <c r="I35" i="11"/>
  <c r="F43" i="11"/>
  <c r="H92" i="28" s="1"/>
  <c r="H43" i="11"/>
  <c r="H94" i="28" s="1"/>
  <c r="V30" i="24"/>
  <c r="W30" i="24"/>
  <c r="X30" i="24"/>
  <c r="Y30" i="24"/>
  <c r="AA30" i="24"/>
  <c r="C75" i="19"/>
  <c r="C111" i="19"/>
  <c r="D3" i="19"/>
  <c r="D15" i="19"/>
  <c r="D51" i="19"/>
  <c r="D75" i="19"/>
  <c r="AC43" i="24"/>
  <c r="AE43" i="24"/>
  <c r="X31" i="24"/>
  <c r="C28" i="19"/>
  <c r="Z31" i="24"/>
  <c r="AE31" i="24"/>
  <c r="V44" i="24"/>
  <c r="W44" i="24"/>
  <c r="Z44" i="24"/>
  <c r="D76" i="19"/>
  <c r="D100" i="19"/>
  <c r="D112" i="19"/>
  <c r="C17" i="19"/>
  <c r="C29" i="19"/>
  <c r="X32" i="24"/>
  <c r="AB32" i="24"/>
  <c r="C113" i="19"/>
  <c r="D17" i="19"/>
  <c r="X45" i="24"/>
  <c r="AA45" i="24"/>
  <c r="D77" i="19"/>
  <c r="AD45" i="24"/>
  <c r="D101" i="19"/>
  <c r="AE45" i="24"/>
  <c r="C6" i="19"/>
  <c r="C18" i="19"/>
  <c r="C42" i="19"/>
  <c r="C54" i="19"/>
  <c r="C78" i="19"/>
  <c r="AC33" i="24"/>
  <c r="AD33" i="24"/>
  <c r="C114" i="19"/>
  <c r="W46" i="24"/>
  <c r="D30" i="19"/>
  <c r="Z46" i="24"/>
  <c r="D90" i="19"/>
  <c r="C55" i="19"/>
  <c r="C67" i="19"/>
  <c r="AB34" i="24"/>
  <c r="AD34" i="24"/>
  <c r="AE34" i="24"/>
  <c r="X47" i="24"/>
  <c r="AA47" i="24"/>
  <c r="AB47" i="24"/>
  <c r="AE47" i="24"/>
  <c r="C8" i="19"/>
  <c r="V35" i="24"/>
  <c r="C20" i="19"/>
  <c r="X35" i="24"/>
  <c r="Y35" i="24"/>
  <c r="C56" i="19"/>
  <c r="AD35" i="24"/>
  <c r="D8" i="19"/>
  <c r="W48" i="24"/>
  <c r="D44" i="19"/>
  <c r="D56" i="19"/>
  <c r="AB48" i="24"/>
  <c r="AD48" i="24"/>
  <c r="D116" i="19"/>
  <c r="V36" i="24"/>
  <c r="C9" i="19"/>
  <c r="C21" i="19"/>
  <c r="X36" i="24"/>
  <c r="C45" i="19"/>
  <c r="AA36" i="24"/>
  <c r="C69" i="19"/>
  <c r="AE36" i="24"/>
  <c r="W49" i="24"/>
  <c r="D33" i="19"/>
  <c r="Y49" i="24"/>
  <c r="AD49" i="24"/>
  <c r="W37" i="24"/>
  <c r="C70" i="19"/>
  <c r="C106" i="19"/>
  <c r="D46" i="19"/>
  <c r="D94" i="19"/>
  <c r="AE50" i="24"/>
  <c r="C11" i="19"/>
  <c r="X38" i="24"/>
  <c r="Y38" i="24"/>
  <c r="Z38" i="24"/>
  <c r="AA38" i="24"/>
  <c r="AE38" i="24"/>
  <c r="D11" i="19"/>
  <c r="X51" i="24"/>
  <c r="Y51" i="24"/>
  <c r="D59" i="19"/>
  <c r="D83" i="19"/>
  <c r="D107" i="19"/>
  <c r="W39" i="24"/>
  <c r="C36" i="19"/>
  <c r="Y39" i="24"/>
  <c r="AA39" i="24"/>
  <c r="AB39" i="24"/>
  <c r="AD39" i="24"/>
  <c r="AE39" i="24"/>
  <c r="W52" i="24"/>
  <c r="X52" i="24"/>
  <c r="D48" i="19"/>
  <c r="D60" i="19"/>
  <c r="D72" i="19"/>
  <c r="D84" i="19"/>
  <c r="AD52" i="24"/>
  <c r="D120" i="19"/>
  <c r="V40" i="24"/>
  <c r="C37" i="19"/>
  <c r="C49" i="19"/>
  <c r="AC40" i="24"/>
  <c r="AD40" i="24"/>
  <c r="C121" i="19"/>
  <c r="W53" i="24"/>
  <c r="X53" i="24"/>
  <c r="D49" i="19"/>
  <c r="D109" i="19"/>
  <c r="AE53" i="24"/>
  <c r="C14" i="19"/>
  <c r="C62" i="19"/>
  <c r="C74" i="19"/>
  <c r="AB41" i="24"/>
  <c r="C98" i="19"/>
  <c r="D14" i="19"/>
  <c r="X54" i="24"/>
  <c r="Y54" i="24"/>
  <c r="C24" i="11"/>
  <c r="D52" i="28" s="1"/>
  <c r="C39" i="11"/>
  <c r="G52" i="28" s="1"/>
  <c r="D39" i="11"/>
  <c r="G53" i="28" s="1"/>
  <c r="E39" i="11"/>
  <c r="G54" i="28" s="1"/>
  <c r="E44" i="11"/>
  <c r="H54" i="28" s="1"/>
  <c r="F24" i="11"/>
  <c r="D55" i="28" s="1"/>
  <c r="F39" i="11"/>
  <c r="G55" i="28" s="1"/>
  <c r="G24" i="11"/>
  <c r="D56" i="28" s="1"/>
  <c r="G39" i="11"/>
  <c r="G56" i="28" s="1"/>
  <c r="G44" i="11"/>
  <c r="H56" i="28" s="1"/>
  <c r="H24" i="11"/>
  <c r="D57" i="28" s="1"/>
  <c r="H44" i="11"/>
  <c r="H57" i="28" s="1"/>
  <c r="I24" i="11"/>
  <c r="D58" i="28" s="1"/>
  <c r="J44" i="11"/>
  <c r="H59" i="28" s="1"/>
  <c r="C23" i="11"/>
  <c r="D89" i="28" s="1"/>
  <c r="D23" i="11"/>
  <c r="D90" i="28" s="1"/>
  <c r="C33" i="11"/>
  <c r="F89" i="28" s="1"/>
  <c r="B33" i="11"/>
  <c r="F88" i="28" s="1"/>
  <c r="D33" i="11"/>
  <c r="F90" i="28" s="1"/>
  <c r="H33" i="11"/>
  <c r="F94" i="28" s="1"/>
  <c r="B38" i="11"/>
  <c r="G88" i="28" s="1"/>
  <c r="J38" i="11"/>
  <c r="G96" i="28" s="1"/>
  <c r="C25" i="11"/>
  <c r="G25" i="11"/>
  <c r="I40" i="11"/>
  <c r="K35" i="11"/>
  <c r="Q392" i="28" s="1"/>
  <c r="AI428" i="28" s="1"/>
  <c r="L15" i="11"/>
  <c r="L23" i="11"/>
  <c r="L38" i="11"/>
  <c r="M23" i="11"/>
  <c r="M38" i="11"/>
  <c r="U43" i="24"/>
  <c r="U45" i="24"/>
  <c r="U46" i="24"/>
  <c r="U47" i="24"/>
  <c r="U48" i="24"/>
  <c r="U50" i="24"/>
  <c r="U51" i="24"/>
  <c r="U53" i="24"/>
  <c r="U54" i="24"/>
  <c r="U32" i="24"/>
  <c r="U33" i="24"/>
  <c r="U34" i="24"/>
  <c r="U36" i="24"/>
  <c r="U37" i="24"/>
  <c r="U38" i="24"/>
  <c r="U40" i="24"/>
  <c r="U41" i="24"/>
  <c r="U30" i="24"/>
  <c r="A42" i="11"/>
  <c r="G2" i="17"/>
  <c r="E1" i="18" s="1"/>
  <c r="H2" i="17"/>
  <c r="J14" i="23"/>
  <c r="A44" i="9"/>
  <c r="A43" i="9"/>
  <c r="A6" i="9"/>
  <c r="A29" i="9" s="1"/>
  <c r="A7" i="9"/>
  <c r="A30" i="9" s="1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A14" i="9"/>
  <c r="A37" i="9" s="1"/>
  <c r="A15" i="9"/>
  <c r="A38" i="9" s="1"/>
  <c r="E2" i="17"/>
  <c r="C1" i="18" s="1"/>
  <c r="A18" i="11"/>
  <c r="C49" i="28" s="1"/>
  <c r="C87" i="28" s="1"/>
  <c r="C182" i="28" s="1"/>
  <c r="A14" i="11"/>
  <c r="B49" i="28" s="1"/>
  <c r="B87" i="28" s="1"/>
  <c r="B182" i="28" s="1"/>
  <c r="C2" i="17"/>
  <c r="D2" i="17"/>
  <c r="B1" i="18" s="1"/>
  <c r="F2" i="17"/>
  <c r="D1" i="18" s="1"/>
  <c r="B2" i="17"/>
  <c r="N5" i="28" s="1"/>
  <c r="Z411" i="28" s="1"/>
  <c r="A37" i="11"/>
  <c r="A32" i="11"/>
  <c r="F49" i="28" s="1"/>
  <c r="A22" i="11"/>
  <c r="D44" i="11"/>
  <c r="H53" i="28" s="1"/>
  <c r="C44" i="11"/>
  <c r="H52" i="28" s="1"/>
  <c r="E35" i="11"/>
  <c r="Z45" i="24"/>
  <c r="AB51" i="24"/>
  <c r="AD30" i="24"/>
  <c r="V49" i="24"/>
  <c r="D9" i="19"/>
  <c r="D43" i="19"/>
  <c r="Y47" i="24"/>
  <c r="AE40" i="24"/>
  <c r="D29" i="19"/>
  <c r="H38" i="11"/>
  <c r="G94" i="28" s="1"/>
  <c r="Y46" i="24"/>
  <c r="D42" i="19"/>
  <c r="AE33" i="24"/>
  <c r="C86" i="19"/>
  <c r="C5" i="19"/>
  <c r="AD53" i="24"/>
  <c r="D24" i="19"/>
  <c r="D104" i="19"/>
  <c r="W35" i="24"/>
  <c r="Z52" i="24"/>
  <c r="C105" i="19"/>
  <c r="AD36" i="24"/>
  <c r="AC31" i="24"/>
  <c r="C50" i="19"/>
  <c r="C3" i="19"/>
  <c r="D92" i="19"/>
  <c r="AB49" i="24"/>
  <c r="D81" i="19"/>
  <c r="D119" i="19"/>
  <c r="C31" i="19"/>
  <c r="V33" i="24"/>
  <c r="AB45" i="24"/>
  <c r="C76" i="19"/>
  <c r="C16" i="19"/>
  <c r="I38" i="11"/>
  <c r="G95" i="28" s="1"/>
  <c r="C107" i="19"/>
  <c r="AD38" i="24"/>
  <c r="C33" i="19"/>
  <c r="Y41" i="24"/>
  <c r="W33" i="24"/>
  <c r="V51" i="24"/>
  <c r="D105" i="19"/>
  <c r="AE48" i="24"/>
  <c r="C7" i="19"/>
  <c r="V34" i="24"/>
  <c r="Z33" i="24"/>
  <c r="D39" i="19"/>
  <c r="Y43" i="24"/>
  <c r="C73" i="19"/>
  <c r="AA40" i="24"/>
  <c r="D70" i="19"/>
  <c r="AA50" i="24"/>
  <c r="V32" i="24"/>
  <c r="F40" i="11"/>
  <c r="C35" i="19"/>
  <c r="Y33" i="24"/>
  <c r="C101" i="19"/>
  <c r="C103" i="19"/>
  <c r="C122" i="19"/>
  <c r="D21" i="19"/>
  <c r="C30" i="19"/>
  <c r="X33" i="24"/>
  <c r="C81" i="19"/>
  <c r="D78" i="19"/>
  <c r="Z35" i="24"/>
  <c r="W45" i="24"/>
  <c r="C102" i="19"/>
  <c r="C53" i="19"/>
  <c r="AA44" i="24"/>
  <c r="D64" i="19"/>
  <c r="H35" i="11"/>
  <c r="C63" i="19"/>
  <c r="Y45" i="24"/>
  <c r="C91" i="19"/>
  <c r="D97" i="19"/>
  <c r="D115" i="19"/>
  <c r="D113" i="19"/>
  <c r="AD44" i="24"/>
  <c r="Z43" i="24"/>
  <c r="I43" i="11"/>
  <c r="H95" i="28" s="1"/>
  <c r="C32" i="19"/>
  <c r="D54" i="19"/>
  <c r="W32" i="24"/>
  <c r="D67" i="19"/>
  <c r="C35" i="11"/>
  <c r="V52" i="24"/>
  <c r="D63" i="19"/>
  <c r="AA41" i="24"/>
  <c r="D118" i="19"/>
  <c r="AC38" i="24"/>
  <c r="AA54" i="24"/>
  <c r="AD54" i="24"/>
  <c r="D57" i="19"/>
  <c r="D5" i="19"/>
  <c r="D53" i="19"/>
  <c r="C90" i="19"/>
  <c r="C77" i="19"/>
  <c r="AD41" i="24"/>
  <c r="AC51" i="24"/>
  <c r="C93" i="19"/>
  <c r="C44" i="19"/>
  <c r="V31" i="24"/>
  <c r="C52" i="19"/>
  <c r="J34" i="11"/>
  <c r="F59" i="28" s="1"/>
  <c r="AB31" i="24"/>
  <c r="D18" i="19"/>
  <c r="X49" i="24"/>
  <c r="D111" i="19"/>
  <c r="D20" i="19"/>
  <c r="C41" i="19"/>
  <c r="Y32" i="24"/>
  <c r="AC47" i="24"/>
  <c r="D91" i="19"/>
  <c r="U52" i="24"/>
  <c r="W43" i="24"/>
  <c r="AB44" i="24"/>
  <c r="U31" i="24"/>
  <c r="AA33" i="24"/>
  <c r="C66" i="19"/>
  <c r="AA43" i="24"/>
  <c r="D110" i="19"/>
  <c r="C27" i="19"/>
  <c r="D95" i="19"/>
  <c r="I23" i="11"/>
  <c r="D95" i="28" s="1"/>
  <c r="D41" i="19"/>
  <c r="AE30" i="24"/>
  <c r="AE49" i="24"/>
  <c r="D117" i="19"/>
  <c r="D66" i="19"/>
  <c r="D106" i="19"/>
  <c r="C60" i="19"/>
  <c r="Z39" i="24"/>
  <c r="Z32" i="24"/>
  <c r="C108" i="19"/>
  <c r="Z54" i="24"/>
  <c r="K43" i="11"/>
  <c r="C47" i="19"/>
  <c r="D38" i="19"/>
  <c r="I25" i="11"/>
  <c r="J33" i="11"/>
  <c r="F96" i="28" s="1"/>
  <c r="D25" i="19"/>
  <c r="W40" i="24"/>
  <c r="C25" i="19"/>
  <c r="AC52" i="24"/>
  <c r="D96" i="19"/>
  <c r="AA52" i="24"/>
  <c r="Y52" i="24"/>
  <c r="D71" i="19"/>
  <c r="AA51" i="24"/>
  <c r="D47" i="19"/>
  <c r="AC32" i="24"/>
  <c r="C89" i="19"/>
  <c r="D80" i="19"/>
  <c r="V48" i="24"/>
  <c r="C79" i="19"/>
  <c r="AA32" i="24"/>
  <c r="D45" i="19"/>
  <c r="E34" i="11"/>
  <c r="F54" i="28" s="1"/>
  <c r="W36" i="24"/>
  <c r="D50" i="19"/>
  <c r="X39" i="24"/>
  <c r="C72" i="19"/>
  <c r="AC35" i="24"/>
  <c r="D87" i="19"/>
  <c r="AB37" i="24"/>
  <c r="C82" i="19"/>
  <c r="C46" i="19"/>
  <c r="Y37" i="24"/>
  <c r="C68" i="19"/>
  <c r="AA35" i="24"/>
  <c r="U49" i="24"/>
  <c r="D98" i="19"/>
  <c r="C26" i="19"/>
  <c r="W41" i="24"/>
  <c r="D121" i="19"/>
  <c r="AB53" i="24"/>
  <c r="D85" i="19"/>
  <c r="D37" i="19"/>
  <c r="C85" i="19"/>
  <c r="AB40" i="24"/>
  <c r="AB52" i="24"/>
  <c r="D36" i="19"/>
  <c r="AD47" i="24"/>
  <c r="Y34" i="24"/>
  <c r="V46" i="24"/>
  <c r="C40" i="19"/>
  <c r="Y31" i="24"/>
  <c r="U39" i="24"/>
  <c r="U35" i="24"/>
  <c r="X40" i="24"/>
  <c r="D35" i="19"/>
  <c r="X48" i="24"/>
  <c r="D32" i="19"/>
  <c r="D28" i="19"/>
  <c r="X44" i="24"/>
  <c r="C100" i="19"/>
  <c r="D27" i="19"/>
  <c r="D7" i="19"/>
  <c r="V47" i="24"/>
  <c r="C64" i="19"/>
  <c r="AA31" i="24"/>
  <c r="W31" i="24"/>
  <c r="AC44" i="24"/>
  <c r="D88" i="19"/>
  <c r="AE52" i="24"/>
  <c r="D23" i="19"/>
  <c r="W51" i="24"/>
  <c r="C119" i="19"/>
  <c r="D4" i="19"/>
  <c r="Y36" i="24"/>
  <c r="C117" i="19"/>
  <c r="D58" i="19"/>
  <c r="C15" i="19"/>
  <c r="D86" i="19"/>
  <c r="AB54" i="24"/>
  <c r="J24" i="11"/>
  <c r="D59" i="28" s="1"/>
  <c r="AA46" i="24"/>
  <c r="C83" i="19"/>
  <c r="AB38" i="24"/>
  <c r="C34" i="19"/>
  <c r="X37" i="24"/>
  <c r="C87" i="19"/>
  <c r="AC30" i="24"/>
  <c r="W33" i="23" l="1"/>
  <c r="I49" i="11"/>
  <c r="D193" i="19"/>
  <c r="D13" i="29" s="1"/>
  <c r="D187" i="19"/>
  <c r="D7" i="29" s="1"/>
  <c r="C189" i="19"/>
  <c r="C9" i="29" s="1"/>
  <c r="D188" i="19"/>
  <c r="D8" i="29" s="1"/>
  <c r="C186" i="19"/>
  <c r="C6" i="29" s="1"/>
  <c r="D191" i="19"/>
  <c r="D11" i="29" s="1"/>
  <c r="M42" i="24"/>
  <c r="S42" i="24"/>
  <c r="M55" i="24"/>
  <c r="K8" i="19"/>
  <c r="L8" i="19" s="1"/>
  <c r="M8" i="19" s="1"/>
  <c r="O55" i="24"/>
  <c r="AE424" i="28"/>
  <c r="Z442" i="28"/>
  <c r="Z473" i="28" s="1"/>
  <c r="Z504" i="28" s="1"/>
  <c r="Z535" i="28" s="1"/>
  <c r="Z566" i="28" s="1"/>
  <c r="Z597" i="28" s="1"/>
  <c r="B221" i="28"/>
  <c r="B226" i="28" s="1"/>
  <c r="B245" i="28" s="1"/>
  <c r="B201" i="28"/>
  <c r="R380" i="28"/>
  <c r="AG426" i="28" s="1"/>
  <c r="D98" i="28"/>
  <c r="D116" i="28" s="1"/>
  <c r="D238" i="28" s="1"/>
  <c r="F108" i="28"/>
  <c r="F230" i="28" s="1"/>
  <c r="B95" i="28"/>
  <c r="B53" i="28"/>
  <c r="L42" i="24"/>
  <c r="P42" i="24"/>
  <c r="Q400" i="28"/>
  <c r="AF430" i="28" s="1"/>
  <c r="H97" i="28"/>
  <c r="F114" i="28"/>
  <c r="F236" i="28" s="1"/>
  <c r="T395" i="28"/>
  <c r="AG460" i="28" s="1"/>
  <c r="G100" i="28"/>
  <c r="G117" i="28" s="1"/>
  <c r="G239" i="28" s="1"/>
  <c r="R372" i="28"/>
  <c r="B98" i="28"/>
  <c r="D113" i="28"/>
  <c r="D235" i="28" s="1"/>
  <c r="D107" i="28"/>
  <c r="D229" i="28" s="1"/>
  <c r="C114" i="28"/>
  <c r="C236" i="28" s="1"/>
  <c r="B58" i="28"/>
  <c r="H49" i="28"/>
  <c r="H87" i="28" s="1"/>
  <c r="H182" i="28" s="1"/>
  <c r="H221" i="28" s="1"/>
  <c r="H226" i="28" s="1"/>
  <c r="H245" i="28" s="1"/>
  <c r="H265" i="28" s="1"/>
  <c r="H270" i="28" s="1"/>
  <c r="H275" i="28" s="1"/>
  <c r="H300" i="28" s="1"/>
  <c r="P399" i="28"/>
  <c r="T380" i="28"/>
  <c r="AG457" i="28" s="1"/>
  <c r="D100" i="28"/>
  <c r="D117" i="28" s="1"/>
  <c r="D239" i="28" s="1"/>
  <c r="AI437" i="28"/>
  <c r="H112" i="28"/>
  <c r="H234" i="28" s="1"/>
  <c r="F106" i="28"/>
  <c r="F228" i="28" s="1"/>
  <c r="Q377" i="28"/>
  <c r="AI425" i="28" s="1"/>
  <c r="C60" i="28"/>
  <c r="B57" i="28"/>
  <c r="Q42" i="24"/>
  <c r="T55" i="24"/>
  <c r="T42" i="24"/>
  <c r="O42" i="24"/>
  <c r="P55" i="24"/>
  <c r="Q55" i="24"/>
  <c r="R55" i="24"/>
  <c r="N55" i="24"/>
  <c r="P394" i="28"/>
  <c r="G49" i="28"/>
  <c r="G87" i="28" s="1"/>
  <c r="G182" i="28" s="1"/>
  <c r="R395" i="28"/>
  <c r="AG429" i="28" s="1"/>
  <c r="G98" i="28"/>
  <c r="G116" i="28" s="1"/>
  <c r="G238" i="28" s="1"/>
  <c r="Q381" i="28"/>
  <c r="D60" i="28"/>
  <c r="B59" i="28"/>
  <c r="B93" i="28"/>
  <c r="R42" i="24"/>
  <c r="S55" i="24"/>
  <c r="C201" i="28"/>
  <c r="C221" i="28"/>
  <c r="C226" i="28" s="1"/>
  <c r="C245" i="28" s="1"/>
  <c r="F87" i="28"/>
  <c r="D49" i="28"/>
  <c r="P379" i="28"/>
  <c r="K11" i="19"/>
  <c r="L11" i="19" s="1"/>
  <c r="M11" i="19" s="1"/>
  <c r="K21" i="19"/>
  <c r="L21" i="19" s="1"/>
  <c r="M21" i="19" s="1"/>
  <c r="K37" i="19"/>
  <c r="L37" i="19" s="1"/>
  <c r="M37" i="19" s="1"/>
  <c r="K41" i="19"/>
  <c r="L41" i="19" s="1"/>
  <c r="M41" i="19" s="1"/>
  <c r="K32" i="19"/>
  <c r="L32" i="19" s="1"/>
  <c r="M32" i="19" s="1"/>
  <c r="K46" i="19"/>
  <c r="L46" i="19" s="1"/>
  <c r="M46" i="19" s="1"/>
  <c r="K9" i="19"/>
  <c r="L9" i="19" s="1"/>
  <c r="M9" i="19" s="1"/>
  <c r="K44" i="19"/>
  <c r="L44" i="19" s="1"/>
  <c r="M44" i="19" s="1"/>
  <c r="K29" i="19"/>
  <c r="L29" i="19" s="1"/>
  <c r="M29" i="19" s="1"/>
  <c r="K15" i="19"/>
  <c r="L15" i="19" s="1"/>
  <c r="M15" i="19" s="1"/>
  <c r="K3" i="19"/>
  <c r="L3" i="19" s="1"/>
  <c r="M3" i="19" s="1"/>
  <c r="K50" i="19"/>
  <c r="L50" i="19" s="1"/>
  <c r="M50" i="19" s="1"/>
  <c r="K25" i="19"/>
  <c r="L25" i="19" s="1"/>
  <c r="M25" i="19" s="1"/>
  <c r="K7" i="19"/>
  <c r="L7" i="19" s="1"/>
  <c r="M7" i="19" s="1"/>
  <c r="K5" i="19"/>
  <c r="L5" i="19" s="1"/>
  <c r="M5" i="19" s="1"/>
  <c r="K49" i="19"/>
  <c r="L49" i="19" s="1"/>
  <c r="M49" i="19" s="1"/>
  <c r="K36" i="19"/>
  <c r="L36" i="19" s="1"/>
  <c r="M36" i="19" s="1"/>
  <c r="K42" i="19"/>
  <c r="L42" i="19" s="1"/>
  <c r="M42" i="19" s="1"/>
  <c r="K18" i="19"/>
  <c r="L18" i="19" s="1"/>
  <c r="M18" i="19" s="1"/>
  <c r="K17" i="19"/>
  <c r="L17" i="19" s="1"/>
  <c r="M17" i="19" s="1"/>
  <c r="K47" i="19"/>
  <c r="L47" i="19" s="1"/>
  <c r="M47" i="19" s="1"/>
  <c r="K27" i="19"/>
  <c r="L27" i="19" s="1"/>
  <c r="M27" i="19" s="1"/>
  <c r="K30" i="19"/>
  <c r="L30" i="19" s="1"/>
  <c r="M30" i="19" s="1"/>
  <c r="K35" i="19"/>
  <c r="L35" i="19" s="1"/>
  <c r="M35" i="19" s="1"/>
  <c r="K33" i="19"/>
  <c r="L33" i="19" s="1"/>
  <c r="M33" i="19" s="1"/>
  <c r="K14" i="19"/>
  <c r="L14" i="19" s="1"/>
  <c r="M14" i="19" s="1"/>
  <c r="K45" i="19"/>
  <c r="L45" i="19" s="1"/>
  <c r="M45" i="19" s="1"/>
  <c r="K20" i="19"/>
  <c r="L20" i="19" s="1"/>
  <c r="M20" i="19" s="1"/>
  <c r="K28" i="19"/>
  <c r="L28" i="19" s="1"/>
  <c r="M28" i="19" s="1"/>
  <c r="K12" i="19"/>
  <c r="L12" i="19" s="1"/>
  <c r="M12" i="19" s="1"/>
  <c r="E40" i="11"/>
  <c r="H40" i="11"/>
  <c r="J35" i="11"/>
  <c r="G40" i="11"/>
  <c r="B40" i="11"/>
  <c r="B35" i="11"/>
  <c r="J54" i="11"/>
  <c r="D40" i="11"/>
  <c r="G35" i="11"/>
  <c r="I54" i="11"/>
  <c r="F25" i="11"/>
  <c r="K54" i="11"/>
  <c r="C40" i="11"/>
  <c r="C49" i="11" s="1"/>
  <c r="K25" i="11"/>
  <c r="H54" i="11"/>
  <c r="F4" i="18"/>
  <c r="D54" i="11" s="1"/>
  <c r="F54" i="11"/>
  <c r="F5" i="18"/>
  <c r="E54" i="11" s="1"/>
  <c r="J40" i="11"/>
  <c r="D25" i="11"/>
  <c r="D49" i="11" s="1"/>
  <c r="D59" i="11" s="1"/>
  <c r="H25" i="11"/>
  <c r="J25" i="11"/>
  <c r="B25" i="11"/>
  <c r="F2" i="18"/>
  <c r="B54" i="11" s="1"/>
  <c r="E25" i="11"/>
  <c r="E49" i="11" s="1"/>
  <c r="G54" i="11"/>
  <c r="F3" i="18"/>
  <c r="C54" i="11" s="1"/>
  <c r="K40" i="11"/>
  <c r="Q397" i="28" s="1"/>
  <c r="AI429" i="28" s="1"/>
  <c r="F35" i="11"/>
  <c r="K33" i="11"/>
  <c r="G33" i="11"/>
  <c r="F93" i="28" s="1"/>
  <c r="E38" i="11"/>
  <c r="G91" i="28" s="1"/>
  <c r="G109" i="28" s="1"/>
  <c r="G231" i="28" s="1"/>
  <c r="G52" i="11"/>
  <c r="F36" i="28" s="1"/>
  <c r="C15" i="11"/>
  <c r="J15" i="11"/>
  <c r="F38" i="11"/>
  <c r="G92" i="28" s="1"/>
  <c r="G110" i="28" s="1"/>
  <c r="G232" i="28" s="1"/>
  <c r="G251" i="28" s="1"/>
  <c r="L33" i="11"/>
  <c r="M33" i="11"/>
  <c r="H19" i="11"/>
  <c r="C94" i="28" s="1"/>
  <c r="D15" i="11"/>
  <c r="C19" i="11"/>
  <c r="C89" i="28" s="1"/>
  <c r="C107" i="28" s="1"/>
  <c r="C229" i="28" s="1"/>
  <c r="K19" i="11"/>
  <c r="F23" i="11"/>
  <c r="D92" i="28" s="1"/>
  <c r="D110" i="28" s="1"/>
  <c r="D232" i="28" s="1"/>
  <c r="K15" i="11"/>
  <c r="G19" i="11"/>
  <c r="C93" i="28" s="1"/>
  <c r="G43" i="11"/>
  <c r="H93" i="28" s="1"/>
  <c r="H111" i="28" s="1"/>
  <c r="H233" i="28" s="1"/>
  <c r="D19" i="11"/>
  <c r="C90" i="28" s="1"/>
  <c r="C108" i="28" s="1"/>
  <c r="C230" i="28" s="1"/>
  <c r="G23" i="11"/>
  <c r="D93" i="28" s="1"/>
  <c r="D111" i="28" s="1"/>
  <c r="D233" i="28" s="1"/>
  <c r="F19" i="11"/>
  <c r="C92" i="28" s="1"/>
  <c r="C110" i="28" s="1"/>
  <c r="C232" i="28" s="1"/>
  <c r="B23" i="11"/>
  <c r="D88" i="28" s="1"/>
  <c r="M15" i="11"/>
  <c r="E52" i="11"/>
  <c r="F34" i="28" s="1"/>
  <c r="I33" i="11"/>
  <c r="F95" i="28" s="1"/>
  <c r="B43" i="11"/>
  <c r="H88" i="28" s="1"/>
  <c r="F33" i="11"/>
  <c r="F92" i="28" s="1"/>
  <c r="F110" i="28" s="1"/>
  <c r="F232" i="28" s="1"/>
  <c r="F15" i="11"/>
  <c r="C43" i="11"/>
  <c r="H89" i="28" s="1"/>
  <c r="H107" i="28" s="1"/>
  <c r="H229" i="28" s="1"/>
  <c r="D38" i="11"/>
  <c r="G90" i="28" s="1"/>
  <c r="G108" i="28" s="1"/>
  <c r="G230" i="28" s="1"/>
  <c r="I19" i="11"/>
  <c r="C95" i="28" s="1"/>
  <c r="H15" i="11"/>
  <c r="D43" i="11"/>
  <c r="H90" i="28" s="1"/>
  <c r="H108" i="28" s="1"/>
  <c r="H230" i="28" s="1"/>
  <c r="H249" i="28" s="1"/>
  <c r="E23" i="11"/>
  <c r="D91" i="28" s="1"/>
  <c r="E43" i="11"/>
  <c r="H91" i="28" s="1"/>
  <c r="H109" i="28" s="1"/>
  <c r="H231" i="28" s="1"/>
  <c r="B15" i="11"/>
  <c r="B88" i="28" s="1"/>
  <c r="B21" i="17"/>
  <c r="B38" i="17" s="1"/>
  <c r="I3" i="17"/>
  <c r="J43" i="11"/>
  <c r="H96" i="28" s="1"/>
  <c r="H114" i="28" s="1"/>
  <c r="H236" i="28" s="1"/>
  <c r="K38" i="11"/>
  <c r="G38" i="11"/>
  <c r="G93" i="28" s="1"/>
  <c r="G111" i="28" s="1"/>
  <c r="G233" i="28" s="1"/>
  <c r="E33" i="11"/>
  <c r="F91" i="28" s="1"/>
  <c r="F109" i="28" s="1"/>
  <c r="F231" i="28" s="1"/>
  <c r="J23" i="11"/>
  <c r="D96" i="28" s="1"/>
  <c r="D114" i="28" s="1"/>
  <c r="D236" i="28" s="1"/>
  <c r="H23" i="11"/>
  <c r="D94" i="28" s="1"/>
  <c r="D112" i="28" s="1"/>
  <c r="D234" i="28" s="1"/>
  <c r="D253" i="28" s="1"/>
  <c r="E15" i="11"/>
  <c r="K23" i="11"/>
  <c r="C38" i="11"/>
  <c r="G89" i="28" s="1"/>
  <c r="G107" i="28" s="1"/>
  <c r="G229" i="28" s="1"/>
  <c r="B19" i="11"/>
  <c r="C88" i="28" s="1"/>
  <c r="G16" i="11"/>
  <c r="K16" i="11"/>
  <c r="H20" i="11"/>
  <c r="C57" i="28" s="1"/>
  <c r="G34" i="11"/>
  <c r="F56" i="28" s="1"/>
  <c r="M72" i="9"/>
  <c r="D53" i="11"/>
  <c r="C16" i="11"/>
  <c r="D20" i="18"/>
  <c r="C11" i="11"/>
  <c r="B32" i="28" s="1"/>
  <c r="E24" i="11"/>
  <c r="D54" i="28" s="1"/>
  <c r="D24" i="11"/>
  <c r="D53" i="28" s="1"/>
  <c r="C34" i="11"/>
  <c r="F52" i="28" s="1"/>
  <c r="B16" i="11"/>
  <c r="H29" i="9"/>
  <c r="H34" i="11"/>
  <c r="F57" i="28" s="1"/>
  <c r="J39" i="11"/>
  <c r="G59" i="28" s="1"/>
  <c r="E20" i="18"/>
  <c r="B39" i="11"/>
  <c r="G51" i="28" s="1"/>
  <c r="I34" i="11"/>
  <c r="F58" i="28" s="1"/>
  <c r="B44" i="11"/>
  <c r="H51" i="28" s="1"/>
  <c r="G6" i="9"/>
  <c r="K44" i="11"/>
  <c r="I20" i="11"/>
  <c r="C58" i="28" s="1"/>
  <c r="G20" i="11"/>
  <c r="C56" i="28" s="1"/>
  <c r="E20" i="11"/>
  <c r="C54" i="28" s="1"/>
  <c r="I44" i="11"/>
  <c r="H58" i="28" s="1"/>
  <c r="I39" i="11"/>
  <c r="G58" i="28" s="1"/>
  <c r="F44" i="11"/>
  <c r="H55" i="28" s="1"/>
  <c r="F16" i="11"/>
  <c r="H39" i="11"/>
  <c r="G57" i="28" s="1"/>
  <c r="B20" i="11"/>
  <c r="C51" i="28" s="1"/>
  <c r="K39" i="11"/>
  <c r="B24" i="11"/>
  <c r="D51" i="28" s="1"/>
  <c r="B20" i="18"/>
  <c r="B36" i="18" s="1"/>
  <c r="E16" i="11"/>
  <c r="AD31" i="24"/>
  <c r="AC54" i="24"/>
  <c r="AC46" i="24"/>
  <c r="D69" i="19"/>
  <c r="D189" i="19" s="1"/>
  <c r="D9" i="29" s="1"/>
  <c r="C84" i="19"/>
  <c r="D103" i="19"/>
  <c r="D6" i="19"/>
  <c r="C65" i="19"/>
  <c r="C185" i="19" s="1"/>
  <c r="C5" i="29" s="1"/>
  <c r="Z48" i="24"/>
  <c r="C109" i="19"/>
  <c r="C104" i="19"/>
  <c r="V39" i="24"/>
  <c r="D93" i="19"/>
  <c r="AA34" i="24"/>
  <c r="C71" i="19"/>
  <c r="C110" i="19"/>
  <c r="Z41" i="24"/>
  <c r="C24" i="19"/>
  <c r="K24" i="19" s="1"/>
  <c r="L24" i="19" s="1"/>
  <c r="M24" i="19" s="1"/>
  <c r="V43" i="24"/>
  <c r="AE44" i="24"/>
  <c r="C48" i="19"/>
  <c r="K48" i="19" s="1"/>
  <c r="L48" i="19" s="1"/>
  <c r="M48" i="19" s="1"/>
  <c r="C112" i="19"/>
  <c r="Z36" i="24"/>
  <c r="D79" i="19"/>
  <c r="Y40" i="24"/>
  <c r="Z53" i="24"/>
  <c r="AB43" i="24"/>
  <c r="AB55" i="24" s="1"/>
  <c r="D31" i="19"/>
  <c r="K31" i="19" s="1"/>
  <c r="L31" i="19" s="1"/>
  <c r="M31" i="19" s="1"/>
  <c r="Z51" i="24"/>
  <c r="Y53" i="24"/>
  <c r="Y50" i="24"/>
  <c r="AB30" i="24"/>
  <c r="AD37" i="24"/>
  <c r="AA37" i="24"/>
  <c r="D65" i="19"/>
  <c r="D185" i="19" s="1"/>
  <c r="D5" i="29" s="1"/>
  <c r="C115" i="19"/>
  <c r="V41" i="24"/>
  <c r="AE32" i="24"/>
  <c r="AB33" i="24"/>
  <c r="AC41" i="24"/>
  <c r="C120" i="19"/>
  <c r="X46" i="24"/>
  <c r="D52" i="19"/>
  <c r="Y48" i="24"/>
  <c r="U42" i="24"/>
  <c r="C4" i="19"/>
  <c r="AE46" i="24"/>
  <c r="D114" i="19"/>
  <c r="C22" i="19"/>
  <c r="D26" i="19"/>
  <c r="K26" i="19" s="1"/>
  <c r="L26" i="19" s="1"/>
  <c r="M26" i="19" s="1"/>
  <c r="W54" i="24"/>
  <c r="X41" i="24"/>
  <c r="C38" i="19"/>
  <c r="K38" i="19" s="1"/>
  <c r="L38" i="19" s="1"/>
  <c r="M38" i="19" s="1"/>
  <c r="D34" i="19"/>
  <c r="K34" i="19" s="1"/>
  <c r="L34" i="19" s="1"/>
  <c r="M34" i="19" s="1"/>
  <c r="X50" i="24"/>
  <c r="Z37" i="24"/>
  <c r="C58" i="19"/>
  <c r="D19" i="19"/>
  <c r="W47" i="24"/>
  <c r="D40" i="19"/>
  <c r="K40" i="19" s="1"/>
  <c r="L40" i="19" s="1"/>
  <c r="M40" i="19" s="1"/>
  <c r="Y44" i="24"/>
  <c r="AA42" i="24"/>
  <c r="X43" i="24"/>
  <c r="C43" i="19"/>
  <c r="K43" i="19" s="1"/>
  <c r="L43" i="19" s="1"/>
  <c r="M43" i="19" s="1"/>
  <c r="D108" i="19"/>
  <c r="D192" i="19" s="1"/>
  <c r="D12" i="29" s="1"/>
  <c r="C13" i="19"/>
  <c r="AA53" i="24"/>
  <c r="X34" i="24"/>
  <c r="X42" i="24" s="1"/>
  <c r="AD51" i="24"/>
  <c r="AE51" i="24"/>
  <c r="C99" i="19"/>
  <c r="Z49" i="24"/>
  <c r="V45" i="24"/>
  <c r="C61" i="19"/>
  <c r="V38" i="24"/>
  <c r="D22" i="19"/>
  <c r="W50" i="24"/>
  <c r="C94" i="19"/>
  <c r="AC37" i="24"/>
  <c r="AB35" i="24"/>
  <c r="C80" i="19"/>
  <c r="C188" i="19" s="1"/>
  <c r="C8" i="29" s="1"/>
  <c r="D55" i="19"/>
  <c r="Z47" i="24"/>
  <c r="C19" i="19"/>
  <c r="C187" i="19" s="1"/>
  <c r="C7" i="29" s="1"/>
  <c r="W34" i="24"/>
  <c r="D99" i="19"/>
  <c r="D183" i="19" s="1"/>
  <c r="D3" i="29" s="1"/>
  <c r="AD43" i="24"/>
  <c r="U44" i="24"/>
  <c r="V50" i="24"/>
  <c r="D10" i="19"/>
  <c r="AA48" i="24"/>
  <c r="D68" i="19"/>
  <c r="AC50" i="24"/>
  <c r="C116" i="19"/>
  <c r="AE35" i="24"/>
  <c r="Z30" i="24"/>
  <c r="C51" i="19"/>
  <c r="C183" i="19" s="1"/>
  <c r="C3" i="29" s="1"/>
  <c r="V54" i="24"/>
  <c r="AC36" i="24"/>
  <c r="D16" i="19"/>
  <c r="K16" i="19" s="1"/>
  <c r="L16" i="19" s="1"/>
  <c r="M16" i="19" s="1"/>
  <c r="C97" i="19"/>
  <c r="V53" i="24"/>
  <c r="C39" i="19"/>
  <c r="K39" i="19" s="1"/>
  <c r="L39" i="19" s="1"/>
  <c r="M39" i="19" s="1"/>
  <c r="Z34" i="24"/>
  <c r="D102" i="19"/>
  <c r="C59" i="19"/>
  <c r="C23" i="19"/>
  <c r="K23" i="19" s="1"/>
  <c r="L23" i="19" s="1"/>
  <c r="M23" i="19" s="1"/>
  <c r="W38" i="24"/>
  <c r="AE37" i="24"/>
  <c r="C118" i="19"/>
  <c r="V37" i="24"/>
  <c r="C10" i="19"/>
  <c r="AC39" i="24"/>
  <c r="C96" i="19"/>
  <c r="U20" i="23"/>
  <c r="B3" i="23" s="1"/>
  <c r="J228" i="19"/>
  <c r="J229" i="19" s="1"/>
  <c r="J230" i="19" s="1"/>
  <c r="J231" i="19" s="1"/>
  <c r="J232" i="19" s="1"/>
  <c r="J233" i="19" s="1"/>
  <c r="J222" i="19"/>
  <c r="J223" i="19" s="1"/>
  <c r="J224" i="19" s="1"/>
  <c r="J225" i="19" s="1"/>
  <c r="J226" i="19" s="1"/>
  <c r="B204" i="19"/>
  <c r="B167" i="28" s="1"/>
  <c r="B202" i="19"/>
  <c r="B206" i="19"/>
  <c r="B199" i="19"/>
  <c r="B200" i="19"/>
  <c r="B198" i="19"/>
  <c r="B205" i="19"/>
  <c r="B203" i="19"/>
  <c r="B201" i="19"/>
  <c r="I59" i="11" l="1"/>
  <c r="D333" i="28"/>
  <c r="D348" i="28" s="1"/>
  <c r="D349" i="28" s="1"/>
  <c r="E36" i="18"/>
  <c r="B161" i="28"/>
  <c r="E59" i="11"/>
  <c r="C59" i="11"/>
  <c r="G49" i="11"/>
  <c r="G59" i="11" s="1"/>
  <c r="H49" i="11"/>
  <c r="H59" i="11" s="1"/>
  <c r="D255" i="28"/>
  <c r="G252" i="28"/>
  <c r="F250" i="28"/>
  <c r="H201" i="28"/>
  <c r="G250" i="28"/>
  <c r="H250" i="28"/>
  <c r="F251" i="28"/>
  <c r="C249" i="28"/>
  <c r="C194" i="19"/>
  <c r="C14" i="29" s="1"/>
  <c r="C190" i="19"/>
  <c r="C10" i="29" s="1"/>
  <c r="D190" i="19"/>
  <c r="D10" i="29" s="1"/>
  <c r="K13" i="19"/>
  <c r="L13" i="19" s="1"/>
  <c r="M13" i="19" s="1"/>
  <c r="C193" i="19"/>
  <c r="C13" i="29" s="1"/>
  <c r="K4" i="19"/>
  <c r="L4" i="19" s="1"/>
  <c r="M4" i="19" s="1"/>
  <c r="C184" i="19"/>
  <c r="C4" i="29" s="1"/>
  <c r="C192" i="19"/>
  <c r="C12" i="29" s="1"/>
  <c r="K6" i="19"/>
  <c r="L6" i="19" s="1"/>
  <c r="M6" i="19" s="1"/>
  <c r="D186" i="19"/>
  <c r="D6" i="29" s="1"/>
  <c r="C191" i="19"/>
  <c r="C11" i="29" s="1"/>
  <c r="D194" i="19"/>
  <c r="D14" i="29" s="1"/>
  <c r="D184" i="19"/>
  <c r="D4" i="29" s="1"/>
  <c r="C224" i="19"/>
  <c r="D236" i="19"/>
  <c r="K19" i="19"/>
  <c r="L19" i="19" s="1"/>
  <c r="M19" i="19" s="1"/>
  <c r="D225" i="19"/>
  <c r="C238" i="19"/>
  <c r="G249" i="28"/>
  <c r="H253" i="28"/>
  <c r="C240" i="19"/>
  <c r="D252" i="28"/>
  <c r="C244" i="19"/>
  <c r="C226" i="19"/>
  <c r="C222" i="19"/>
  <c r="D246" i="19"/>
  <c r="D247" i="19"/>
  <c r="D15" i="29"/>
  <c r="B10" i="9"/>
  <c r="F10" i="9" s="1"/>
  <c r="B165" i="28"/>
  <c r="D229" i="19"/>
  <c r="C223" i="19"/>
  <c r="C21" i="29"/>
  <c r="Q396" i="28"/>
  <c r="G60" i="28"/>
  <c r="H110" i="28"/>
  <c r="H232" i="28" s="1"/>
  <c r="H251" i="28" s="1"/>
  <c r="C111" i="28"/>
  <c r="C233" i="28" s="1"/>
  <c r="C252" i="28" s="1"/>
  <c r="H106" i="28"/>
  <c r="H228" i="28" s="1"/>
  <c r="H248" i="28" s="1"/>
  <c r="G114" i="28"/>
  <c r="G236" i="28" s="1"/>
  <c r="F107" i="28"/>
  <c r="F229" i="28" s="1"/>
  <c r="F248" i="28" s="1"/>
  <c r="C333" i="28"/>
  <c r="B56" i="28"/>
  <c r="G48" i="11"/>
  <c r="B91" i="28"/>
  <c r="I91" i="28" s="1"/>
  <c r="E47" i="11"/>
  <c r="E57" i="11" s="1"/>
  <c r="B36" i="17"/>
  <c r="B218" i="28"/>
  <c r="R390" i="28"/>
  <c r="AG428" i="28" s="1"/>
  <c r="F98" i="28"/>
  <c r="F116" i="28" s="1"/>
  <c r="F238" i="28" s="1"/>
  <c r="J49" i="11"/>
  <c r="J59" i="11" s="1"/>
  <c r="Q382" i="28"/>
  <c r="K49" i="11"/>
  <c r="K59" i="11" s="1"/>
  <c r="C230" i="19"/>
  <c r="G47" i="11"/>
  <c r="G57" i="11" s="1"/>
  <c r="AF460" i="28"/>
  <c r="AM460" i="28" s="1"/>
  <c r="AN429" i="28"/>
  <c r="I57" i="28"/>
  <c r="D258" i="28"/>
  <c r="D259" i="28"/>
  <c r="D231" i="19"/>
  <c r="B113" i="28"/>
  <c r="B235" i="28" s="1"/>
  <c r="I58" i="28"/>
  <c r="D254" i="28"/>
  <c r="AG424" i="28"/>
  <c r="I53" i="28"/>
  <c r="D237" i="19"/>
  <c r="D223" i="19"/>
  <c r="D245" i="19"/>
  <c r="D224" i="19"/>
  <c r="I93" i="28"/>
  <c r="G221" i="28"/>
  <c r="G226" i="28" s="1"/>
  <c r="G245" i="28" s="1"/>
  <c r="G265" i="28" s="1"/>
  <c r="G270" i="28" s="1"/>
  <c r="G275" i="28" s="1"/>
  <c r="G300" i="28" s="1"/>
  <c r="D311" i="28" s="1"/>
  <c r="G201" i="28"/>
  <c r="AG488" i="28"/>
  <c r="AN457" i="28"/>
  <c r="G258" i="28"/>
  <c r="G259" i="28"/>
  <c r="I47" i="11"/>
  <c r="AF457" i="28"/>
  <c r="AM457" i="28" s="1"/>
  <c r="AN426" i="28"/>
  <c r="AE455" i="28"/>
  <c r="AE433" i="28"/>
  <c r="B9" i="9"/>
  <c r="F9" i="9" s="1"/>
  <c r="B164" i="28"/>
  <c r="B8" i="9"/>
  <c r="F8" i="9" s="1"/>
  <c r="B163" i="28"/>
  <c r="D241" i="19"/>
  <c r="C245" i="19"/>
  <c r="D23" i="29"/>
  <c r="B54" i="28"/>
  <c r="E48" i="11"/>
  <c r="C106" i="28"/>
  <c r="C228" i="28" s="1"/>
  <c r="C248" i="28" s="1"/>
  <c r="G113" i="28"/>
  <c r="G235" i="28" s="1"/>
  <c r="C113" i="28"/>
  <c r="C235" i="28" s="1"/>
  <c r="F113" i="28"/>
  <c r="F235" i="28" s="1"/>
  <c r="F255" i="28" s="1"/>
  <c r="F112" i="28"/>
  <c r="F234" i="28" s="1"/>
  <c r="D108" i="28"/>
  <c r="D230" i="28" s="1"/>
  <c r="D249" i="28" s="1"/>
  <c r="B52" i="28"/>
  <c r="C48" i="11"/>
  <c r="F111" i="28"/>
  <c r="F233" i="28" s="1"/>
  <c r="F252" i="28" s="1"/>
  <c r="Q395" i="28"/>
  <c r="AF429" i="28" s="1"/>
  <c r="AF438" i="28" s="1"/>
  <c r="G97" i="28"/>
  <c r="I88" i="28"/>
  <c r="B94" i="28"/>
  <c r="I94" i="28" s="1"/>
  <c r="H47" i="11"/>
  <c r="B92" i="28"/>
  <c r="I92" i="28" s="1"/>
  <c r="F47" i="11"/>
  <c r="Q372" i="28"/>
  <c r="B97" i="28"/>
  <c r="K47" i="11"/>
  <c r="B90" i="28"/>
  <c r="I90" i="28" s="1"/>
  <c r="D47" i="11"/>
  <c r="B11" i="9"/>
  <c r="F11" i="9" s="1"/>
  <c r="B166" i="28"/>
  <c r="B7" i="9"/>
  <c r="F7" i="9" s="1"/>
  <c r="B162" i="28"/>
  <c r="D226" i="19"/>
  <c r="D25" i="29"/>
  <c r="B333" i="28"/>
  <c r="B348" i="28" s="1"/>
  <c r="B349" i="28" s="1"/>
  <c r="G112" i="28"/>
  <c r="G234" i="28" s="1"/>
  <c r="G253" i="28" s="1"/>
  <c r="H113" i="28"/>
  <c r="H235" i="28" s="1"/>
  <c r="H254" i="28" s="1"/>
  <c r="Q401" i="28"/>
  <c r="AI430" i="28" s="1"/>
  <c r="H60" i="28"/>
  <c r="G106" i="28"/>
  <c r="G228" i="28" s="1"/>
  <c r="G248" i="28" s="1"/>
  <c r="D109" i="28"/>
  <c r="D231" i="28" s="1"/>
  <c r="C112" i="28"/>
  <c r="C234" i="28" s="1"/>
  <c r="T372" i="28"/>
  <c r="B100" i="28"/>
  <c r="B96" i="28"/>
  <c r="I96" i="28" s="1"/>
  <c r="J47" i="11"/>
  <c r="AI438" i="28"/>
  <c r="C232" i="19"/>
  <c r="J48" i="11"/>
  <c r="AI434" i="28"/>
  <c r="AG491" i="28"/>
  <c r="AN460" i="28"/>
  <c r="I95" i="28"/>
  <c r="C241" i="19"/>
  <c r="B13" i="9"/>
  <c r="F13" i="9" s="1"/>
  <c r="B168" i="28"/>
  <c r="B14" i="9"/>
  <c r="F14" i="9" s="1"/>
  <c r="B169" i="28"/>
  <c r="D239" i="19"/>
  <c r="D233" i="19"/>
  <c r="C18" i="29"/>
  <c r="D106" i="28"/>
  <c r="D228" i="28" s="1"/>
  <c r="D248" i="28" s="1"/>
  <c r="B55" i="28"/>
  <c r="F48" i="11"/>
  <c r="C109" i="28"/>
  <c r="C231" i="28" s="1"/>
  <c r="C250" i="28" s="1"/>
  <c r="B51" i="28"/>
  <c r="B48" i="11"/>
  <c r="Q373" i="28"/>
  <c r="B60" i="28"/>
  <c r="Q380" i="28"/>
  <c r="AF426" i="28" s="1"/>
  <c r="AF435" i="28" s="1"/>
  <c r="D97" i="28"/>
  <c r="D115" i="28" s="1"/>
  <c r="D237" i="28" s="1"/>
  <c r="Q376" i="28"/>
  <c r="AF425" i="28" s="1"/>
  <c r="AM425" i="28" s="1"/>
  <c r="C97" i="28"/>
  <c r="C115" i="28" s="1"/>
  <c r="C237" i="28" s="1"/>
  <c r="C256" i="28" s="1"/>
  <c r="T390" i="28"/>
  <c r="AG459" i="28" s="1"/>
  <c r="F100" i="28"/>
  <c r="F117" i="28" s="1"/>
  <c r="F239" i="28" s="1"/>
  <c r="B89" i="28"/>
  <c r="I89" i="28" s="1"/>
  <c r="C47" i="11"/>
  <c r="Q390" i="28"/>
  <c r="AF428" i="28" s="1"/>
  <c r="AM428" i="28" s="1"/>
  <c r="F97" i="28"/>
  <c r="B49" i="11"/>
  <c r="B59" i="11" s="1"/>
  <c r="F49" i="11"/>
  <c r="F59" i="11" s="1"/>
  <c r="I59" i="28"/>
  <c r="H48" i="11"/>
  <c r="I48" i="11"/>
  <c r="B116" i="28"/>
  <c r="B238" i="28" s="1"/>
  <c r="D48" i="11"/>
  <c r="D58" i="11" s="1"/>
  <c r="B265" i="28"/>
  <c r="B270" i="28" s="1"/>
  <c r="B275" i="28" s="1"/>
  <c r="B300" i="28" s="1"/>
  <c r="B286" i="28"/>
  <c r="B293" i="28" s="1"/>
  <c r="C286" i="28"/>
  <c r="C293" i="28" s="1"/>
  <c r="C265" i="28"/>
  <c r="C270" i="28" s="1"/>
  <c r="C275" i="28" s="1"/>
  <c r="C300" i="28" s="1"/>
  <c r="P375" i="28" s="1"/>
  <c r="F182" i="28"/>
  <c r="D87" i="28"/>
  <c r="D182" i="28" s="1"/>
  <c r="AC42" i="24"/>
  <c r="AE42" i="24"/>
  <c r="K10" i="19"/>
  <c r="L10" i="19" s="1"/>
  <c r="M10" i="19" s="1"/>
  <c r="K22" i="19"/>
  <c r="H4" i="11"/>
  <c r="B12" i="9"/>
  <c r="F12" i="9" s="1"/>
  <c r="H46" i="9"/>
  <c r="D52" i="11"/>
  <c r="F33" i="28" s="1"/>
  <c r="C52" i="11"/>
  <c r="F32" i="28" s="1"/>
  <c r="B47" i="11"/>
  <c r="K52" i="11"/>
  <c r="F40" i="28" s="1"/>
  <c r="B52" i="11"/>
  <c r="F31" i="28" s="1"/>
  <c r="F52" i="11"/>
  <c r="F35" i="28" s="1"/>
  <c r="G35" i="28" s="1"/>
  <c r="H52" i="11"/>
  <c r="F37" i="28" s="1"/>
  <c r="G37" i="28" s="1"/>
  <c r="I52" i="11"/>
  <c r="F38" i="28" s="1"/>
  <c r="J52" i="11"/>
  <c r="F39" i="28" s="1"/>
  <c r="D11" i="11"/>
  <c r="B33" i="28" s="1"/>
  <c r="C53" i="11"/>
  <c r="F53" i="11"/>
  <c r="F11" i="11"/>
  <c r="B35" i="28" s="1"/>
  <c r="J72" i="9"/>
  <c r="G53" i="11"/>
  <c r="G11" i="11"/>
  <c r="B36" i="28" s="1"/>
  <c r="J53" i="11"/>
  <c r="J11" i="11"/>
  <c r="B39" i="28" s="1"/>
  <c r="H11" i="11"/>
  <c r="B37" i="28" s="1"/>
  <c r="H53" i="11"/>
  <c r="B11" i="11"/>
  <c r="B31" i="28" s="1"/>
  <c r="B53" i="11"/>
  <c r="I11" i="11"/>
  <c r="B38" i="28" s="1"/>
  <c r="I53" i="11"/>
  <c r="E11" i="11"/>
  <c r="B34" i="28" s="1"/>
  <c r="E53" i="11"/>
  <c r="C3" i="23"/>
  <c r="D3" i="23" s="1"/>
  <c r="B19" i="23" s="1"/>
  <c r="K201" i="19"/>
  <c r="C164" i="28" s="1"/>
  <c r="K200" i="19"/>
  <c r="Z55" i="24"/>
  <c r="Y55" i="24"/>
  <c r="AC55" i="24"/>
  <c r="AB42" i="24"/>
  <c r="AE55" i="24"/>
  <c r="AD42" i="24"/>
  <c r="AD55" i="24"/>
  <c r="Y42" i="24"/>
  <c r="W42" i="24"/>
  <c r="U55" i="24"/>
  <c r="V55" i="24"/>
  <c r="X55" i="24"/>
  <c r="W55" i="24"/>
  <c r="V42" i="24"/>
  <c r="AA55" i="24"/>
  <c r="Z42" i="24"/>
  <c r="I4" i="11"/>
  <c r="F4" i="11"/>
  <c r="E4" i="11"/>
  <c r="B4" i="11"/>
  <c r="B6" i="9"/>
  <c r="C4" i="11"/>
  <c r="G4" i="11"/>
  <c r="D4" i="11"/>
  <c r="J4" i="11"/>
  <c r="G40" i="28" l="1"/>
  <c r="G32" i="28"/>
  <c r="C253" i="28"/>
  <c r="D250" i="28"/>
  <c r="AM429" i="28"/>
  <c r="AM438" i="28" s="1"/>
  <c r="H63" i="9"/>
  <c r="B262" i="28" s="1"/>
  <c r="AM469" i="28"/>
  <c r="AF469" i="28"/>
  <c r="F249" i="28"/>
  <c r="G38" i="28"/>
  <c r="F253" i="28"/>
  <c r="B112" i="28"/>
  <c r="B234" i="28" s="1"/>
  <c r="B254" i="28" s="1"/>
  <c r="D35" i="29"/>
  <c r="D47" i="29" s="1"/>
  <c r="D59" i="29" s="1"/>
  <c r="D71" i="29" s="1"/>
  <c r="D83" i="29" s="1"/>
  <c r="D95" i="29" s="1"/>
  <c r="D107" i="29" s="1"/>
  <c r="D119" i="29" s="1"/>
  <c r="D131" i="29" s="1"/>
  <c r="D143" i="29" s="1"/>
  <c r="D155" i="29" s="1"/>
  <c r="D167" i="29" s="1"/>
  <c r="D179" i="29" s="1"/>
  <c r="D27" i="29"/>
  <c r="D39" i="29" s="1"/>
  <c r="D51" i="29" s="1"/>
  <c r="D63" i="29" s="1"/>
  <c r="D75" i="29" s="1"/>
  <c r="D87" i="29" s="1"/>
  <c r="D99" i="29" s="1"/>
  <c r="D111" i="29" s="1"/>
  <c r="D123" i="29" s="1"/>
  <c r="D135" i="29" s="1"/>
  <c r="D147" i="29" s="1"/>
  <c r="D159" i="29" s="1"/>
  <c r="D171" i="29" s="1"/>
  <c r="D37" i="29"/>
  <c r="D49" i="29" s="1"/>
  <c r="D61" i="29" s="1"/>
  <c r="D73" i="29" s="1"/>
  <c r="D85" i="29" s="1"/>
  <c r="D97" i="29" s="1"/>
  <c r="D109" i="29" s="1"/>
  <c r="D121" i="29" s="1"/>
  <c r="D133" i="29" s="1"/>
  <c r="D145" i="29" s="1"/>
  <c r="D157" i="29" s="1"/>
  <c r="D169" i="29" s="1"/>
  <c r="D181" i="29" s="1"/>
  <c r="D164" i="28"/>
  <c r="D256" i="28"/>
  <c r="D257" i="28"/>
  <c r="C19" i="29"/>
  <c r="C25" i="29"/>
  <c r="K13" i="29"/>
  <c r="C33" i="28"/>
  <c r="B20" i="23"/>
  <c r="F52" i="29" s="1"/>
  <c r="F51" i="29"/>
  <c r="C36" i="28"/>
  <c r="K11" i="29"/>
  <c r="C23" i="29"/>
  <c r="C16" i="29"/>
  <c r="C38" i="28"/>
  <c r="C37" i="28"/>
  <c r="D19" i="29"/>
  <c r="C17" i="29"/>
  <c r="C231" i="19"/>
  <c r="D232" i="19"/>
  <c r="C225" i="19"/>
  <c r="C237" i="19"/>
  <c r="B115" i="28"/>
  <c r="B237" i="28" s="1"/>
  <c r="B257" i="28" s="1"/>
  <c r="F58" i="11"/>
  <c r="C227" i="19"/>
  <c r="D240" i="19"/>
  <c r="K57" i="11"/>
  <c r="F57" i="11"/>
  <c r="F254" i="28"/>
  <c r="G254" i="28"/>
  <c r="I54" i="28"/>
  <c r="B109" i="28"/>
  <c r="B231" i="28" s="1"/>
  <c r="AF519" i="28"/>
  <c r="AF497" i="28"/>
  <c r="AN488" i="28"/>
  <c r="AM497" i="28" s="1"/>
  <c r="D352" i="28"/>
  <c r="H311" i="28"/>
  <c r="D331" i="28"/>
  <c r="AI426" i="28"/>
  <c r="Q406" i="28"/>
  <c r="AF459" i="28"/>
  <c r="AM459" i="28" s="1"/>
  <c r="AF437" i="28"/>
  <c r="AN428" i="28"/>
  <c r="AM437" i="28" s="1"/>
  <c r="G255" i="28"/>
  <c r="C233" i="19"/>
  <c r="D251" i="28"/>
  <c r="D238" i="19"/>
  <c r="C229" i="19"/>
  <c r="I58" i="11"/>
  <c r="F258" i="28"/>
  <c r="F259" i="28"/>
  <c r="AI424" i="28"/>
  <c r="B106" i="28"/>
  <c r="B228" i="28" s="1"/>
  <c r="I51" i="28"/>
  <c r="B110" i="28"/>
  <c r="B232" i="28" s="1"/>
  <c r="I55" i="28"/>
  <c r="C30" i="29"/>
  <c r="B117" i="28"/>
  <c r="B239" i="28" s="1"/>
  <c r="H115" i="28"/>
  <c r="H237" i="28" s="1"/>
  <c r="H256" i="28" s="1"/>
  <c r="D17" i="29"/>
  <c r="C243" i="19"/>
  <c r="I97" i="28"/>
  <c r="C58" i="11"/>
  <c r="AF455" i="28"/>
  <c r="AN424" i="28"/>
  <c r="G58" i="11"/>
  <c r="C247" i="19"/>
  <c r="D243" i="19"/>
  <c r="H255" i="28"/>
  <c r="D242" i="19"/>
  <c r="C8" i="9"/>
  <c r="D8" i="9" s="1"/>
  <c r="E8" i="9" s="1"/>
  <c r="C163" i="28"/>
  <c r="D163" i="28" s="1"/>
  <c r="C24" i="29"/>
  <c r="C20" i="29"/>
  <c r="C26" i="29"/>
  <c r="D24" i="29"/>
  <c r="C34" i="28"/>
  <c r="C35" i="28"/>
  <c r="G39" i="28"/>
  <c r="G33" i="28"/>
  <c r="D22" i="29"/>
  <c r="D26" i="29"/>
  <c r="C246" i="19"/>
  <c r="C242" i="19"/>
  <c r="D228" i="19"/>
  <c r="H58" i="11"/>
  <c r="B114" i="28"/>
  <c r="B236" i="28" s="1"/>
  <c r="B255" i="28" s="1"/>
  <c r="AG490" i="28"/>
  <c r="AF468" i="28"/>
  <c r="AN459" i="28"/>
  <c r="AF522" i="28"/>
  <c r="AF500" i="28"/>
  <c r="AN491" i="28"/>
  <c r="AM500" i="28" s="1"/>
  <c r="J57" i="11"/>
  <c r="AG455" i="28"/>
  <c r="AM430" i="28"/>
  <c r="AI439" i="28"/>
  <c r="D57" i="11"/>
  <c r="AF424" i="28"/>
  <c r="AF431" i="28" s="1"/>
  <c r="Q404" i="28"/>
  <c r="H57" i="11"/>
  <c r="I52" i="28"/>
  <c r="B107" i="28"/>
  <c r="B229" i="28" s="1"/>
  <c r="C254" i="28"/>
  <c r="AE486" i="28"/>
  <c r="AE495" i="28" s="1"/>
  <c r="AE517" i="28"/>
  <c r="AE464" i="28"/>
  <c r="I57" i="11"/>
  <c r="AM466" i="28"/>
  <c r="C15" i="29"/>
  <c r="K3" i="29"/>
  <c r="B108" i="28"/>
  <c r="B230" i="28" s="1"/>
  <c r="D222" i="19"/>
  <c r="G36" i="28"/>
  <c r="B18" i="17"/>
  <c r="P15" i="11"/>
  <c r="B111" i="28"/>
  <c r="B233" i="28" s="1"/>
  <c r="I56" i="28"/>
  <c r="C33" i="29"/>
  <c r="D227" i="19"/>
  <c r="D20" i="29"/>
  <c r="D16" i="29"/>
  <c r="C39" i="28"/>
  <c r="K199" i="19"/>
  <c r="C162" i="28" s="1"/>
  <c r="D162" i="28" s="1"/>
  <c r="L22" i="19"/>
  <c r="M22" i="19" s="1"/>
  <c r="C22" i="29"/>
  <c r="C239" i="19"/>
  <c r="D244" i="19"/>
  <c r="C228" i="19"/>
  <c r="D230" i="19"/>
  <c r="C57" i="11"/>
  <c r="C32" i="28"/>
  <c r="J58" i="11"/>
  <c r="D295" i="28"/>
  <c r="G34" i="28"/>
  <c r="E58" i="11"/>
  <c r="AF466" i="28"/>
  <c r="C236" i="19"/>
  <c r="C255" i="28"/>
  <c r="G115" i="28"/>
  <c r="G237" i="28" s="1"/>
  <c r="C251" i="28"/>
  <c r="H252" i="28"/>
  <c r="D201" i="28"/>
  <c r="D221" i="28"/>
  <c r="D226" i="28" s="1"/>
  <c r="D245" i="28" s="1"/>
  <c r="F201" i="28"/>
  <c r="E265" i="28" s="1"/>
  <c r="F221" i="28"/>
  <c r="F226" i="28" s="1"/>
  <c r="F245" i="28" s="1"/>
  <c r="F265" i="28" s="1"/>
  <c r="F270" i="28" s="1"/>
  <c r="E5" i="11"/>
  <c r="C9" i="9"/>
  <c r="D9" i="9" s="1"/>
  <c r="E9" i="9" s="1"/>
  <c r="F36" i="17"/>
  <c r="B57" i="11"/>
  <c r="B58" i="11"/>
  <c r="F51" i="19"/>
  <c r="K51" i="19" s="1"/>
  <c r="L51" i="19" s="1"/>
  <c r="M51" i="19" s="1"/>
  <c r="K198" i="19"/>
  <c r="C161" i="28" s="1"/>
  <c r="D5" i="11"/>
  <c r="L200" i="19"/>
  <c r="M200" i="19" s="1"/>
  <c r="L201" i="19"/>
  <c r="M201" i="19" s="1"/>
  <c r="F6" i="9"/>
  <c r="B21" i="23" l="1"/>
  <c r="F53" i="29" s="1"/>
  <c r="F52" i="19"/>
  <c r="K52" i="19" s="1"/>
  <c r="L52" i="19" s="1"/>
  <c r="M52" i="19" s="1"/>
  <c r="B252" i="28"/>
  <c r="AM468" i="28"/>
  <c r="B251" i="28"/>
  <c r="B248" i="28"/>
  <c r="D183" i="29"/>
  <c r="D36" i="29"/>
  <c r="D48" i="29" s="1"/>
  <c r="D60" i="29" s="1"/>
  <c r="D72" i="29" s="1"/>
  <c r="D84" i="29" s="1"/>
  <c r="D96" i="29" s="1"/>
  <c r="D108" i="29" s="1"/>
  <c r="D120" i="29" s="1"/>
  <c r="D132" i="29" s="1"/>
  <c r="D144" i="29" s="1"/>
  <c r="D156" i="29" s="1"/>
  <c r="D168" i="29" s="1"/>
  <c r="D180" i="29" s="1"/>
  <c r="D29" i="29"/>
  <c r="D41" i="29" s="1"/>
  <c r="D53" i="29" s="1"/>
  <c r="D65" i="29" s="1"/>
  <c r="D77" i="29" s="1"/>
  <c r="D89" i="29" s="1"/>
  <c r="D101" i="29" s="1"/>
  <c r="D113" i="29" s="1"/>
  <c r="D125" i="29" s="1"/>
  <c r="D137" i="29" s="1"/>
  <c r="D149" i="29" s="1"/>
  <c r="D161" i="29" s="1"/>
  <c r="D173" i="29" s="1"/>
  <c r="D31" i="29"/>
  <c r="D43" i="29" s="1"/>
  <c r="D55" i="29" s="1"/>
  <c r="D67" i="29" s="1"/>
  <c r="D79" i="29" s="1"/>
  <c r="D91" i="29" s="1"/>
  <c r="D103" i="29" s="1"/>
  <c r="D115" i="29" s="1"/>
  <c r="D127" i="29" s="1"/>
  <c r="D139" i="29" s="1"/>
  <c r="D151" i="29" s="1"/>
  <c r="D163" i="29" s="1"/>
  <c r="D175" i="29" s="1"/>
  <c r="D28" i="29"/>
  <c r="D40" i="29" s="1"/>
  <c r="D52" i="29" s="1"/>
  <c r="D64" i="29" s="1"/>
  <c r="D76" i="29" s="1"/>
  <c r="D88" i="29" s="1"/>
  <c r="D100" i="29" s="1"/>
  <c r="D112" i="29" s="1"/>
  <c r="D124" i="29" s="1"/>
  <c r="D136" i="29" s="1"/>
  <c r="D148" i="29" s="1"/>
  <c r="D160" i="29" s="1"/>
  <c r="D172" i="29" s="1"/>
  <c r="D38" i="29"/>
  <c r="D50" i="29" s="1"/>
  <c r="D62" i="29" s="1"/>
  <c r="D74" i="29" s="1"/>
  <c r="D86" i="29" s="1"/>
  <c r="D98" i="29" s="1"/>
  <c r="D110" i="29" s="1"/>
  <c r="D122" i="29" s="1"/>
  <c r="D134" i="29" s="1"/>
  <c r="D146" i="29" s="1"/>
  <c r="D158" i="29" s="1"/>
  <c r="D170" i="29" s="1"/>
  <c r="D182" i="29" s="1"/>
  <c r="D193" i="29"/>
  <c r="D191" i="29"/>
  <c r="D32" i="29"/>
  <c r="D44" i="29" s="1"/>
  <c r="D56" i="29" s="1"/>
  <c r="D68" i="29" s="1"/>
  <c r="D80" i="29" s="1"/>
  <c r="D92" i="29" s="1"/>
  <c r="D104" i="29" s="1"/>
  <c r="D116" i="29" s="1"/>
  <c r="D128" i="29" s="1"/>
  <c r="D140" i="29" s="1"/>
  <c r="D152" i="29" s="1"/>
  <c r="D164" i="29" s="1"/>
  <c r="D176" i="29" s="1"/>
  <c r="D34" i="29"/>
  <c r="D46" i="29" s="1"/>
  <c r="D58" i="29" s="1"/>
  <c r="D70" i="29" s="1"/>
  <c r="D82" i="29" s="1"/>
  <c r="D94" i="29" s="1"/>
  <c r="D106" i="29" s="1"/>
  <c r="D118" i="29" s="1"/>
  <c r="D130" i="29" s="1"/>
  <c r="D142" i="29" s="1"/>
  <c r="D154" i="29" s="1"/>
  <c r="D166" i="29" s="1"/>
  <c r="D178" i="29" s="1"/>
  <c r="L199" i="19"/>
  <c r="M199" i="19" s="1"/>
  <c r="K10" i="29"/>
  <c r="C5" i="11"/>
  <c r="C6" i="11" s="1"/>
  <c r="K5" i="29"/>
  <c r="C7" i="9"/>
  <c r="D7" i="9" s="1"/>
  <c r="E7" i="9" s="1"/>
  <c r="B223" i="28"/>
  <c r="Q15" i="11"/>
  <c r="C27" i="29"/>
  <c r="K15" i="29"/>
  <c r="AE548" i="28"/>
  <c r="AE526" i="28"/>
  <c r="C32" i="29"/>
  <c r="K20" i="29"/>
  <c r="AM519" i="28"/>
  <c r="AM528" i="28" s="1"/>
  <c r="AF528" i="28"/>
  <c r="B256" i="28"/>
  <c r="K23" i="29"/>
  <c r="C35" i="29"/>
  <c r="K7" i="29"/>
  <c r="P33" i="11"/>
  <c r="P47" i="11" s="1"/>
  <c r="D296" i="28"/>
  <c r="F296" i="28" s="1"/>
  <c r="F295" i="28"/>
  <c r="C45" i="29"/>
  <c r="K14" i="29"/>
  <c r="K12" i="29"/>
  <c r="B253" i="28"/>
  <c r="AM455" i="28"/>
  <c r="K19" i="29"/>
  <c r="C31" i="29"/>
  <c r="G256" i="28"/>
  <c r="G257" i="28"/>
  <c r="C34" i="29"/>
  <c r="K22" i="29"/>
  <c r="W372" i="28"/>
  <c r="B103" i="28"/>
  <c r="B120" i="28" s="1"/>
  <c r="B242" i="28" s="1"/>
  <c r="B261" i="28" s="1"/>
  <c r="B249" i="28"/>
  <c r="AG486" i="28"/>
  <c r="AF464" i="28"/>
  <c r="AN455" i="28"/>
  <c r="C38" i="29"/>
  <c r="K26" i="29"/>
  <c r="C36" i="29"/>
  <c r="K24" i="29"/>
  <c r="C42" i="29"/>
  <c r="AM424" i="28"/>
  <c r="AM433" i="28" s="1"/>
  <c r="AI433" i="28"/>
  <c r="AM426" i="28"/>
  <c r="AM435" i="28" s="1"/>
  <c r="AI435" i="28"/>
  <c r="B250" i="28"/>
  <c r="C29" i="29"/>
  <c r="K17" i="29"/>
  <c r="K4" i="29"/>
  <c r="D21" i="29"/>
  <c r="K9" i="29"/>
  <c r="D18" i="29"/>
  <c r="K6" i="29"/>
  <c r="AM522" i="28"/>
  <c r="AM531" i="28" s="1"/>
  <c r="AF531" i="28"/>
  <c r="AF521" i="28"/>
  <c r="AF499" i="28"/>
  <c r="AN490" i="28"/>
  <c r="AM499" i="28" s="1"/>
  <c r="K8" i="29"/>
  <c r="AF433" i="28"/>
  <c r="B258" i="28"/>
  <c r="B259" i="28"/>
  <c r="C28" i="29"/>
  <c r="K16" i="29"/>
  <c r="C37" i="29"/>
  <c r="K25" i="29"/>
  <c r="D265" i="28"/>
  <c r="D270" i="28" s="1"/>
  <c r="D275" i="28" s="1"/>
  <c r="D286" i="28"/>
  <c r="D293" i="28" s="1"/>
  <c r="F275" i="28"/>
  <c r="F300" i="28" s="1"/>
  <c r="C311" i="28" s="1"/>
  <c r="C352" i="28" s="1"/>
  <c r="E286" i="28"/>
  <c r="E293" i="28" s="1"/>
  <c r="E270" i="28"/>
  <c r="E275" i="28" s="1"/>
  <c r="E6" i="11"/>
  <c r="D6" i="11"/>
  <c r="H44" i="9"/>
  <c r="F18" i="17"/>
  <c r="I17" i="17"/>
  <c r="P52" i="11" s="1"/>
  <c r="F45" i="28" s="1"/>
  <c r="G45" i="28" s="1"/>
  <c r="L52" i="11"/>
  <c r="F41" i="28" s="1"/>
  <c r="G41" i="28" s="1"/>
  <c r="L19" i="11"/>
  <c r="M43" i="11"/>
  <c r="L43" i="11"/>
  <c r="K72" i="9"/>
  <c r="B22" i="23"/>
  <c r="F54" i="29" s="1"/>
  <c r="C6" i="9"/>
  <c r="D6" i="9" s="1"/>
  <c r="E6" i="9" s="1"/>
  <c r="L198" i="19"/>
  <c r="M198" i="19" s="1"/>
  <c r="B5" i="11"/>
  <c r="F53" i="19" l="1"/>
  <c r="K53" i="19" s="1"/>
  <c r="L53" i="19" s="1"/>
  <c r="M53" i="19" s="1"/>
  <c r="P57" i="11"/>
  <c r="D185" i="29"/>
  <c r="D184" i="29"/>
  <c r="D190" i="29"/>
  <c r="D188" i="29"/>
  <c r="D194" i="29"/>
  <c r="D187" i="29"/>
  <c r="D192" i="29"/>
  <c r="K198" i="29"/>
  <c r="R376" i="28"/>
  <c r="C98" i="28"/>
  <c r="L47" i="11"/>
  <c r="L57" i="11" s="1"/>
  <c r="H66" i="9"/>
  <c r="H72" i="9" s="1"/>
  <c r="B267" i="28"/>
  <c r="B272" i="28" s="1"/>
  <c r="C40" i="29"/>
  <c r="K28" i="29"/>
  <c r="C50" i="29"/>
  <c r="K38" i="29"/>
  <c r="C46" i="29"/>
  <c r="K34" i="29"/>
  <c r="K31" i="29"/>
  <c r="C43" i="29"/>
  <c r="C57" i="29"/>
  <c r="R400" i="28"/>
  <c r="AG430" i="28" s="1"/>
  <c r="H98" i="28"/>
  <c r="H116" i="28" s="1"/>
  <c r="H238" i="28" s="1"/>
  <c r="H257" i="28" s="1"/>
  <c r="C44" i="29"/>
  <c r="K32" i="29"/>
  <c r="C39" i="29"/>
  <c r="K27" i="29"/>
  <c r="D30" i="29"/>
  <c r="K18" i="29"/>
  <c r="T400" i="28"/>
  <c r="AG461" i="28" s="1"/>
  <c r="H100" i="28"/>
  <c r="H117" i="28" s="1"/>
  <c r="H239" i="28" s="1"/>
  <c r="F223" i="28"/>
  <c r="F272" i="28" s="1"/>
  <c r="F302" i="28" s="1"/>
  <c r="Q33" i="11"/>
  <c r="Q47" i="11" s="1"/>
  <c r="C49" i="29"/>
  <c r="K37" i="29"/>
  <c r="K29" i="29"/>
  <c r="C41" i="29"/>
  <c r="C48" i="29"/>
  <c r="K36" i="29"/>
  <c r="AF517" i="28"/>
  <c r="AF495" i="28"/>
  <c r="AN486" i="28"/>
  <c r="AM495" i="28" s="1"/>
  <c r="AG579" i="28"/>
  <c r="AM464" i="28"/>
  <c r="X372" i="28"/>
  <c r="B104" i="28"/>
  <c r="AM521" i="28"/>
  <c r="AM530" i="28" s="1"/>
  <c r="AF530" i="28"/>
  <c r="D33" i="29"/>
  <c r="K21" i="29"/>
  <c r="C54" i="29"/>
  <c r="W390" i="28"/>
  <c r="AG583" i="28" s="1"/>
  <c r="F103" i="28"/>
  <c r="K35" i="29"/>
  <c r="C47" i="29"/>
  <c r="AE557" i="28"/>
  <c r="AE579" i="28"/>
  <c r="C331" i="28"/>
  <c r="G311" i="28"/>
  <c r="E300" i="28"/>
  <c r="D300" i="28"/>
  <c r="B311" i="28" s="1"/>
  <c r="I18" i="17"/>
  <c r="Q52" i="11" s="1"/>
  <c r="F46" i="28" s="1"/>
  <c r="G46" i="28" s="1"/>
  <c r="L66" i="9"/>
  <c r="B6" i="11"/>
  <c r="I44" i="9"/>
  <c r="N72" i="9"/>
  <c r="M19" i="11"/>
  <c r="M52" i="11"/>
  <c r="F42" i="28" s="1"/>
  <c r="F54" i="19"/>
  <c r="K54" i="19" s="1"/>
  <c r="L54" i="19" s="1"/>
  <c r="M54" i="19" s="1"/>
  <c r="B23" i="23"/>
  <c r="F55" i="29" s="1"/>
  <c r="I103" i="28" l="1"/>
  <c r="F120" i="28"/>
  <c r="F242" i="28" s="1"/>
  <c r="F261" i="28" s="1"/>
  <c r="N198" i="19"/>
  <c r="E161" i="28" s="1"/>
  <c r="F161" i="28" s="1"/>
  <c r="Q57" i="11"/>
  <c r="I223" i="28"/>
  <c r="L198" i="29"/>
  <c r="M198" i="29" s="1"/>
  <c r="K199" i="29"/>
  <c r="L199" i="29" s="1"/>
  <c r="M199" i="29" s="1"/>
  <c r="K47" i="29"/>
  <c r="C59" i="29"/>
  <c r="AG610" i="28"/>
  <c r="H258" i="28"/>
  <c r="H259" i="28"/>
  <c r="K43" i="29"/>
  <c r="C55" i="29"/>
  <c r="C116" i="28"/>
  <c r="C238" i="28" s="1"/>
  <c r="C257" i="28" s="1"/>
  <c r="I98" i="28"/>
  <c r="G42" i="28"/>
  <c r="G43" i="28"/>
  <c r="I66" i="9"/>
  <c r="I72" i="9" s="1"/>
  <c r="C267" i="28"/>
  <c r="C272" i="28" s="1"/>
  <c r="C302" i="28" s="1"/>
  <c r="C66" i="29"/>
  <c r="C60" i="29"/>
  <c r="K48" i="29"/>
  <c r="C61" i="29"/>
  <c r="K49" i="29"/>
  <c r="AG492" i="28"/>
  <c r="AN461" i="28"/>
  <c r="K39" i="29"/>
  <c r="C51" i="29"/>
  <c r="AF461" i="28"/>
  <c r="AM461" i="28" s="1"/>
  <c r="AF439" i="28"/>
  <c r="AN430" i="28"/>
  <c r="AM439" i="28" s="1"/>
  <c r="C62" i="29"/>
  <c r="K50" i="29"/>
  <c r="B302" i="28"/>
  <c r="AG425" i="28"/>
  <c r="R404" i="28"/>
  <c r="T376" i="28"/>
  <c r="C100" i="28"/>
  <c r="M47" i="11"/>
  <c r="M57" i="11" s="1"/>
  <c r="AE610" i="28"/>
  <c r="AE619" i="28" s="1"/>
  <c r="AE588" i="28"/>
  <c r="AF610" i="28"/>
  <c r="AG586" i="28"/>
  <c r="AF588" i="28"/>
  <c r="C53" i="29"/>
  <c r="K41" i="29"/>
  <c r="X390" i="28"/>
  <c r="AG614" i="28" s="1"/>
  <c r="F104" i="28"/>
  <c r="I104" i="28" s="1"/>
  <c r="C69" i="29"/>
  <c r="AF614" i="28"/>
  <c r="AF592" i="28"/>
  <c r="D45" i="29"/>
  <c r="K33" i="29"/>
  <c r="W404" i="28"/>
  <c r="AF526" i="28"/>
  <c r="AM517" i="28"/>
  <c r="AM526" i="28" s="1"/>
  <c r="D42" i="29"/>
  <c r="K30" i="29"/>
  <c r="C56" i="29"/>
  <c r="K44" i="29"/>
  <c r="C58" i="29"/>
  <c r="K46" i="29"/>
  <c r="C52" i="29"/>
  <c r="K40" i="29"/>
  <c r="B331" i="28"/>
  <c r="F311" i="28"/>
  <c r="B352" i="28"/>
  <c r="B24" i="23"/>
  <c r="F56" i="29" s="1"/>
  <c r="F55" i="19"/>
  <c r="K55" i="19" s="1"/>
  <c r="L55" i="19" s="1"/>
  <c r="M55" i="19" s="1"/>
  <c r="O198" i="19" l="1"/>
  <c r="I302" i="28"/>
  <c r="I272" i="28"/>
  <c r="AM470" i="28"/>
  <c r="AF623" i="28"/>
  <c r="N199" i="19"/>
  <c r="E162" i="28" s="1"/>
  <c r="F162" i="28" s="1"/>
  <c r="K200" i="29"/>
  <c r="N200" i="19" s="1"/>
  <c r="D57" i="29"/>
  <c r="K45" i="29"/>
  <c r="K53" i="29"/>
  <c r="C65" i="29"/>
  <c r="C117" i="28"/>
  <c r="C239" i="28" s="1"/>
  <c r="I100" i="28"/>
  <c r="K51" i="29"/>
  <c r="C63" i="29"/>
  <c r="AF523" i="28"/>
  <c r="AF501" i="28"/>
  <c r="AN492" i="28"/>
  <c r="AM501" i="28" s="1"/>
  <c r="C72" i="29"/>
  <c r="C71" i="29"/>
  <c r="G314" i="28"/>
  <c r="H314" i="28"/>
  <c r="F314" i="28"/>
  <c r="E67" i="28"/>
  <c r="E122" i="28" s="1"/>
  <c r="F67" i="28"/>
  <c r="F122" i="28" s="1"/>
  <c r="G67" i="28"/>
  <c r="G122" i="28" s="1"/>
  <c r="D67" i="28"/>
  <c r="D122" i="28" s="1"/>
  <c r="G161" i="28"/>
  <c r="H67" i="28"/>
  <c r="H122" i="28" s="1"/>
  <c r="C67" i="28"/>
  <c r="C122" i="28" s="1"/>
  <c r="B67" i="28"/>
  <c r="D31" i="28"/>
  <c r="D54" i="29"/>
  <c r="K42" i="29"/>
  <c r="AG456" i="28"/>
  <c r="T404" i="28"/>
  <c r="C70" i="29"/>
  <c r="C73" i="29"/>
  <c r="C78" i="29"/>
  <c r="K55" i="29"/>
  <c r="C67" i="29"/>
  <c r="AG617" i="28"/>
  <c r="AF619" i="28"/>
  <c r="C64" i="29"/>
  <c r="K52" i="29"/>
  <c r="C68" i="29"/>
  <c r="K56" i="29"/>
  <c r="C81" i="29"/>
  <c r="AF617" i="28"/>
  <c r="AF456" i="28"/>
  <c r="AF434" i="28"/>
  <c r="AN425" i="28"/>
  <c r="AM434" i="28" s="1"/>
  <c r="AG431" i="28"/>
  <c r="C74" i="29"/>
  <c r="AF470" i="28"/>
  <c r="X404" i="28"/>
  <c r="F56" i="19"/>
  <c r="K56" i="19" s="1"/>
  <c r="L56" i="19" s="1"/>
  <c r="M56" i="19" s="1"/>
  <c r="B25" i="23"/>
  <c r="F57" i="29" s="1"/>
  <c r="K201" i="29" l="1"/>
  <c r="L200" i="29"/>
  <c r="M200" i="29" s="1"/>
  <c r="O199" i="19"/>
  <c r="H315" i="28"/>
  <c r="F315" i="28"/>
  <c r="G315" i="28"/>
  <c r="E68" i="28"/>
  <c r="E123" i="28" s="1"/>
  <c r="G68" i="28"/>
  <c r="G123" i="28" s="1"/>
  <c r="H68" i="28"/>
  <c r="H123" i="28" s="1"/>
  <c r="D68" i="28"/>
  <c r="D123" i="28" s="1"/>
  <c r="C68" i="28"/>
  <c r="C123" i="28" s="1"/>
  <c r="D32" i="28"/>
  <c r="E32" i="28" s="1"/>
  <c r="F68" i="28"/>
  <c r="F123" i="28" s="1"/>
  <c r="B68" i="28"/>
  <c r="G162" i="28"/>
  <c r="C93" i="29"/>
  <c r="AG487" i="28"/>
  <c r="AF465" i="28"/>
  <c r="AN456" i="28"/>
  <c r="AG462" i="28"/>
  <c r="B122" i="28"/>
  <c r="I67" i="28"/>
  <c r="I314" i="28"/>
  <c r="C76" i="29"/>
  <c r="C90" i="29"/>
  <c r="C82" i="29"/>
  <c r="AF532" i="28"/>
  <c r="AM523" i="28"/>
  <c r="AM532" i="28" s="1"/>
  <c r="C258" i="28"/>
  <c r="C259" i="28"/>
  <c r="D69" i="29"/>
  <c r="K57" i="29"/>
  <c r="C86" i="29"/>
  <c r="AM456" i="28"/>
  <c r="AF462" i="28"/>
  <c r="C79" i="29"/>
  <c r="C85" i="29"/>
  <c r="D66" i="29"/>
  <c r="K54" i="29"/>
  <c r="C84" i="29"/>
  <c r="C75" i="29"/>
  <c r="C77" i="29"/>
  <c r="C80" i="29"/>
  <c r="C83" i="29"/>
  <c r="E163" i="28"/>
  <c r="F163" i="28" s="1"/>
  <c r="O200" i="19"/>
  <c r="F57" i="19"/>
  <c r="K57" i="19" s="1"/>
  <c r="L57" i="19" s="1"/>
  <c r="M57" i="19" s="1"/>
  <c r="B26" i="23"/>
  <c r="F58" i="29" s="1"/>
  <c r="K58" i="29" s="1"/>
  <c r="L201" i="29" l="1"/>
  <c r="M201" i="29" s="1"/>
  <c r="AM465" i="28"/>
  <c r="N201" i="19"/>
  <c r="O201" i="19" s="1"/>
  <c r="AF496" i="28"/>
  <c r="AF518" i="28"/>
  <c r="AN487" i="28"/>
  <c r="AM496" i="28" s="1"/>
  <c r="AG493" i="28"/>
  <c r="B123" i="28"/>
  <c r="I68" i="28"/>
  <c r="C95" i="29"/>
  <c r="C92" i="29"/>
  <c r="D78" i="29"/>
  <c r="C98" i="29"/>
  <c r="C94" i="29"/>
  <c r="C88" i="29"/>
  <c r="C105" i="29"/>
  <c r="I315" i="28"/>
  <c r="C89" i="29"/>
  <c r="C97" i="29"/>
  <c r="H316" i="28"/>
  <c r="G316" i="28"/>
  <c r="F316" i="28"/>
  <c r="E69" i="28"/>
  <c r="E124" i="28" s="1"/>
  <c r="C69" i="28"/>
  <c r="C124" i="28" s="1"/>
  <c r="H69" i="28"/>
  <c r="H124" i="28" s="1"/>
  <c r="F69" i="28"/>
  <c r="F124" i="28" s="1"/>
  <c r="G69" i="28"/>
  <c r="G124" i="28" s="1"/>
  <c r="D69" i="28"/>
  <c r="D124" i="28" s="1"/>
  <c r="B69" i="28"/>
  <c r="G163" i="28"/>
  <c r="D33" i="28"/>
  <c r="E33" i="28" s="1"/>
  <c r="C96" i="29"/>
  <c r="D81" i="29"/>
  <c r="C102" i="29"/>
  <c r="E164" i="28"/>
  <c r="F164" i="28" s="1"/>
  <c r="C87" i="29"/>
  <c r="C91" i="29"/>
  <c r="F58" i="19"/>
  <c r="K58" i="19" s="1"/>
  <c r="L58" i="19" s="1"/>
  <c r="M58" i="19" s="1"/>
  <c r="B27" i="23"/>
  <c r="F59" i="29" s="1"/>
  <c r="K59" i="29" s="1"/>
  <c r="I316" i="28" l="1"/>
  <c r="C99" i="29"/>
  <c r="B124" i="28"/>
  <c r="I69" i="28"/>
  <c r="C101" i="29"/>
  <c r="C106" i="29"/>
  <c r="D90" i="29"/>
  <c r="C114" i="29"/>
  <c r="C108" i="29"/>
  <c r="C100" i="29"/>
  <c r="AF527" i="28"/>
  <c r="AM518" i="28"/>
  <c r="AM527" i="28" s="1"/>
  <c r="AF524" i="28"/>
  <c r="C103" i="29"/>
  <c r="C109" i="29"/>
  <c r="C110" i="29"/>
  <c r="C104" i="29"/>
  <c r="H317" i="28"/>
  <c r="F317" i="28"/>
  <c r="G317" i="28"/>
  <c r="E70" i="28"/>
  <c r="E125" i="28" s="1"/>
  <c r="H70" i="28"/>
  <c r="H125" i="28" s="1"/>
  <c r="G70" i="28"/>
  <c r="G125" i="28" s="1"/>
  <c r="F70" i="28"/>
  <c r="F125" i="28" s="1"/>
  <c r="C70" i="28"/>
  <c r="C125" i="28" s="1"/>
  <c r="D70" i="28"/>
  <c r="D125" i="28" s="1"/>
  <c r="G164" i="28"/>
  <c r="B70" i="28"/>
  <c r="D34" i="28"/>
  <c r="E34" i="28" s="1"/>
  <c r="D93" i="29"/>
  <c r="C117" i="29"/>
  <c r="C107" i="29"/>
  <c r="F59" i="19"/>
  <c r="K59" i="19" s="1"/>
  <c r="L59" i="19" s="1"/>
  <c r="M59" i="19" s="1"/>
  <c r="B28" i="23"/>
  <c r="F60" i="29" s="1"/>
  <c r="K60" i="29" s="1"/>
  <c r="C129" i="29" l="1"/>
  <c r="C112" i="29"/>
  <c r="C126" i="29"/>
  <c r="C118" i="29"/>
  <c r="D105" i="29"/>
  <c r="C116" i="29"/>
  <c r="C121" i="29"/>
  <c r="C113" i="29"/>
  <c r="C111" i="29"/>
  <c r="C122" i="29"/>
  <c r="B125" i="28"/>
  <c r="I70" i="28"/>
  <c r="C119" i="29"/>
  <c r="I317" i="28"/>
  <c r="C115" i="29"/>
  <c r="C120" i="29"/>
  <c r="D102" i="29"/>
  <c r="F60" i="19"/>
  <c r="K60" i="19" s="1"/>
  <c r="L60" i="19" s="1"/>
  <c r="M60" i="19" s="1"/>
  <c r="B29" i="23"/>
  <c r="F61" i="29" s="1"/>
  <c r="K61" i="29" s="1"/>
  <c r="B124" i="19"/>
  <c r="B125" i="19"/>
  <c r="B126" i="19"/>
  <c r="B127" i="19"/>
  <c r="B128" i="19"/>
  <c r="B129" i="19"/>
  <c r="B130" i="19"/>
  <c r="B131" i="19"/>
  <c r="B132" i="19"/>
  <c r="B133" i="19"/>
  <c r="B134" i="19"/>
  <c r="B123" i="19"/>
  <c r="B112" i="19"/>
  <c r="B113" i="19"/>
  <c r="B114" i="19"/>
  <c r="B115" i="19"/>
  <c r="B116" i="19"/>
  <c r="B117" i="19"/>
  <c r="B118" i="19"/>
  <c r="B119" i="19"/>
  <c r="B120" i="19"/>
  <c r="B121" i="19"/>
  <c r="B122" i="19"/>
  <c r="B111" i="19"/>
  <c r="C132" i="29" l="1"/>
  <c r="C131" i="29"/>
  <c r="C125" i="29"/>
  <c r="C127" i="29"/>
  <c r="C134" i="29"/>
  <c r="C128" i="29"/>
  <c r="C130" i="29"/>
  <c r="C124" i="29"/>
  <c r="D114" i="29"/>
  <c r="C133" i="29"/>
  <c r="C141" i="29"/>
  <c r="C123" i="29"/>
  <c r="D117" i="29"/>
  <c r="C138" i="29"/>
  <c r="F61" i="19"/>
  <c r="K61" i="19" s="1"/>
  <c r="L61" i="19" s="1"/>
  <c r="M61" i="19" s="1"/>
  <c r="B30" i="23"/>
  <c r="F62" i="29" s="1"/>
  <c r="K62" i="29" s="1"/>
  <c r="K202" i="29" s="1"/>
  <c r="B208" i="19"/>
  <c r="B207" i="19"/>
  <c r="C30" i="23" l="1"/>
  <c r="F3" i="23" s="1"/>
  <c r="G3" i="23" s="1"/>
  <c r="B15" i="9"/>
  <c r="B170" i="28"/>
  <c r="B16" i="9"/>
  <c r="F16" i="9" s="1"/>
  <c r="B171" i="28"/>
  <c r="L4" i="11"/>
  <c r="R360" i="28" s="1"/>
  <c r="C139" i="29"/>
  <c r="C150" i="29"/>
  <c r="C135" i="29"/>
  <c r="C145" i="29"/>
  <c r="C136" i="29"/>
  <c r="C140" i="29"/>
  <c r="C143" i="29"/>
  <c r="L202" i="29"/>
  <c r="M202" i="29" s="1"/>
  <c r="N202" i="19"/>
  <c r="D129" i="29"/>
  <c r="C153" i="29"/>
  <c r="D126" i="29"/>
  <c r="C142" i="29"/>
  <c r="C146" i="29"/>
  <c r="C137" i="29"/>
  <c r="C144" i="29"/>
  <c r="F62" i="19"/>
  <c r="D30" i="23"/>
  <c r="C4" i="23" s="1"/>
  <c r="D4" i="23" s="1"/>
  <c r="B31" i="23" s="1"/>
  <c r="F63" i="29" s="1"/>
  <c r="K63" i="29" s="1"/>
  <c r="K4" i="11"/>
  <c r="Q360" i="28" s="1"/>
  <c r="C154" i="29" l="1"/>
  <c r="K62" i="19"/>
  <c r="L62" i="19" s="1"/>
  <c r="M62" i="19" s="1"/>
  <c r="C157" i="29"/>
  <c r="C155" i="29"/>
  <c r="C147" i="29"/>
  <c r="C152" i="29"/>
  <c r="C162" i="29"/>
  <c r="C174" i="29" s="1"/>
  <c r="C156" i="29"/>
  <c r="C158" i="29"/>
  <c r="D138" i="29"/>
  <c r="D141" i="29"/>
  <c r="C148" i="29"/>
  <c r="C151" i="29"/>
  <c r="C149" i="29"/>
  <c r="C165" i="29"/>
  <c r="E165" i="28"/>
  <c r="F63" i="19"/>
  <c r="K63" i="19" s="1"/>
  <c r="L63" i="19" s="1"/>
  <c r="M63" i="19" s="1"/>
  <c r="B32" i="23"/>
  <c r="F64" i="29" s="1"/>
  <c r="K64" i="29" s="1"/>
  <c r="C177" i="29" l="1"/>
  <c r="C189" i="29" s="1"/>
  <c r="C186" i="29"/>
  <c r="K202" i="19"/>
  <c r="C10" i="9" s="1"/>
  <c r="D10" i="9" s="1"/>
  <c r="E10" i="9" s="1"/>
  <c r="C160" i="29"/>
  <c r="D150" i="29"/>
  <c r="C168" i="29"/>
  <c r="C164" i="29"/>
  <c r="C167" i="29"/>
  <c r="C179" i="29" s="1"/>
  <c r="C161" i="29"/>
  <c r="C163" i="29"/>
  <c r="C175" i="29" s="1"/>
  <c r="C159" i="29"/>
  <c r="D153" i="29"/>
  <c r="C170" i="29"/>
  <c r="C169" i="29"/>
  <c r="C166" i="29"/>
  <c r="C178" i="29" s="1"/>
  <c r="F64" i="19"/>
  <c r="K64" i="19" s="1"/>
  <c r="L64" i="19" s="1"/>
  <c r="M64" i="19" s="1"/>
  <c r="B33" i="23"/>
  <c r="F65" i="29" s="1"/>
  <c r="K65" i="29" s="1"/>
  <c r="C190" i="29" l="1"/>
  <c r="C181" i="29"/>
  <c r="C193" i="29" s="1"/>
  <c r="C182" i="29"/>
  <c r="C194" i="29" s="1"/>
  <c r="C173" i="29"/>
  <c r="C185" i="29" s="1"/>
  <c r="C187" i="29"/>
  <c r="C172" i="29"/>
  <c r="C184" i="29" s="1"/>
  <c r="C191" i="29"/>
  <c r="C171" i="29"/>
  <c r="C183" i="29" s="1"/>
  <c r="C176" i="29"/>
  <c r="C188" i="29" s="1"/>
  <c r="C180" i="29"/>
  <c r="C192" i="29" s="1"/>
  <c r="C165" i="28"/>
  <c r="D165" i="28" s="1"/>
  <c r="L202" i="19"/>
  <c r="M202" i="19" s="1"/>
  <c r="O202" i="19"/>
  <c r="F5" i="11"/>
  <c r="F6" i="11" s="1"/>
  <c r="D162" i="29"/>
  <c r="D174" i="29" s="1"/>
  <c r="D165" i="29"/>
  <c r="F65" i="19"/>
  <c r="K65" i="19" s="1"/>
  <c r="L65" i="19" s="1"/>
  <c r="M65" i="19" s="1"/>
  <c r="B34" i="23"/>
  <c r="F66" i="29" s="1"/>
  <c r="K66" i="29" s="1"/>
  <c r="F165" i="28" l="1"/>
  <c r="H318" i="28" s="1"/>
  <c r="D186" i="29"/>
  <c r="D177" i="29"/>
  <c r="D189" i="29" s="1"/>
  <c r="F66" i="19"/>
  <c r="K66" i="19" s="1"/>
  <c r="L66" i="19" s="1"/>
  <c r="M66" i="19" s="1"/>
  <c r="B35" i="23"/>
  <c r="F67" i="29" s="1"/>
  <c r="K67" i="29" s="1"/>
  <c r="B137" i="19"/>
  <c r="B170" i="19"/>
  <c r="B169" i="19"/>
  <c r="B168" i="19"/>
  <c r="B167" i="19"/>
  <c r="B166" i="19"/>
  <c r="B165" i="19"/>
  <c r="B164" i="19"/>
  <c r="B163" i="19"/>
  <c r="B162" i="19"/>
  <c r="B161" i="19"/>
  <c r="B160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6" i="19"/>
  <c r="B135" i="19"/>
  <c r="B71" i="28" l="1"/>
  <c r="B126" i="28" s="1"/>
  <c r="G71" i="28"/>
  <c r="G126" i="28" s="1"/>
  <c r="G318" i="28"/>
  <c r="H71" i="28"/>
  <c r="H126" i="28" s="1"/>
  <c r="C71" i="28"/>
  <c r="C126" i="28" s="1"/>
  <c r="F318" i="28"/>
  <c r="D35" i="28"/>
  <c r="E35" i="28" s="1"/>
  <c r="D71" i="28"/>
  <c r="D126" i="28" s="1"/>
  <c r="E71" i="28"/>
  <c r="E126" i="28" s="1"/>
  <c r="G165" i="28"/>
  <c r="F71" i="28"/>
  <c r="F126" i="28" s="1"/>
  <c r="F67" i="19"/>
  <c r="K67" i="19" s="1"/>
  <c r="L67" i="19" s="1"/>
  <c r="M67" i="19" s="1"/>
  <c r="B36" i="23"/>
  <c r="F68" i="29" s="1"/>
  <c r="K68" i="29" s="1"/>
  <c r="B210" i="19"/>
  <c r="N4" i="11" s="1"/>
  <c r="B209" i="19"/>
  <c r="I318" i="28" l="1"/>
  <c r="I71" i="28"/>
  <c r="B17" i="9"/>
  <c r="F17" i="9" s="1"/>
  <c r="B172" i="28"/>
  <c r="M4" i="11"/>
  <c r="T360" i="28" s="1"/>
  <c r="B18" i="9"/>
  <c r="F18" i="9" s="1"/>
  <c r="B173" i="28"/>
  <c r="U360" i="28"/>
  <c r="F68" i="19"/>
  <c r="K68" i="19" s="1"/>
  <c r="L68" i="19" s="1"/>
  <c r="M68" i="19" s="1"/>
  <c r="B37" i="23"/>
  <c r="F69" i="29" s="1"/>
  <c r="K69" i="29" s="1"/>
  <c r="B159" i="19"/>
  <c r="B211" i="19" s="1"/>
  <c r="O4" i="11" s="1"/>
  <c r="B215" i="19" l="1"/>
  <c r="B19" i="9"/>
  <c r="F19" i="9" s="1"/>
  <c r="B174" i="28"/>
  <c r="V360" i="28"/>
  <c r="F69" i="19"/>
  <c r="K69" i="19" s="1"/>
  <c r="L69" i="19" s="1"/>
  <c r="M69" i="19" s="1"/>
  <c r="B38" i="23"/>
  <c r="F70" i="29" s="1"/>
  <c r="K70" i="29" s="1"/>
  <c r="F70" i="19" l="1"/>
  <c r="K70" i="19" s="1"/>
  <c r="L70" i="19" s="1"/>
  <c r="M70" i="19" s="1"/>
  <c r="B39" i="23"/>
  <c r="F71" i="29" s="1"/>
  <c r="K71" i="29" s="1"/>
  <c r="F71" i="19" l="1"/>
  <c r="K71" i="19" s="1"/>
  <c r="L71" i="19" s="1"/>
  <c r="M71" i="19" s="1"/>
  <c r="B40" i="23"/>
  <c r="F72" i="29" s="1"/>
  <c r="K72" i="29" s="1"/>
  <c r="F72" i="19" l="1"/>
  <c r="K72" i="19" s="1"/>
  <c r="L72" i="19" s="1"/>
  <c r="M72" i="19" s="1"/>
  <c r="B41" i="23"/>
  <c r="F73" i="29" s="1"/>
  <c r="K73" i="29" s="1"/>
  <c r="F73" i="19" l="1"/>
  <c r="K73" i="19" s="1"/>
  <c r="L73" i="19" s="1"/>
  <c r="M73" i="19" s="1"/>
  <c r="B42" i="23"/>
  <c r="F74" i="29" s="1"/>
  <c r="K74" i="29" s="1"/>
  <c r="K203" i="29" s="1"/>
  <c r="L203" i="29" l="1"/>
  <c r="M203" i="29" s="1"/>
  <c r="N203" i="19"/>
  <c r="C42" i="23"/>
  <c r="F4" i="23" s="1"/>
  <c r="G4" i="23" s="1"/>
  <c r="F74" i="19"/>
  <c r="D42" i="23"/>
  <c r="C5" i="23" s="1"/>
  <c r="D5" i="23" s="1"/>
  <c r="B43" i="23" s="1"/>
  <c r="F75" i="29" s="1"/>
  <c r="K75" i="29" s="1"/>
  <c r="K74" i="19" l="1"/>
  <c r="L74" i="19" s="1"/>
  <c r="M74" i="19" s="1"/>
  <c r="E166" i="28"/>
  <c r="B44" i="23"/>
  <c r="F76" i="29" s="1"/>
  <c r="K76" i="29" s="1"/>
  <c r="F75" i="19"/>
  <c r="K75" i="19" s="1"/>
  <c r="L75" i="19" s="1"/>
  <c r="M75" i="19" s="1"/>
  <c r="K203" i="19" l="1"/>
  <c r="F76" i="19"/>
  <c r="K76" i="19" s="1"/>
  <c r="L76" i="19" s="1"/>
  <c r="M76" i="19" s="1"/>
  <c r="B45" i="23"/>
  <c r="F77" i="29" s="1"/>
  <c r="K77" i="29" s="1"/>
  <c r="C11" i="9" l="1"/>
  <c r="D11" i="9" s="1"/>
  <c r="E11" i="9" s="1"/>
  <c r="C166" i="28"/>
  <c r="O203" i="19"/>
  <c r="G5" i="11"/>
  <c r="G6" i="11" s="1"/>
  <c r="L203" i="19"/>
  <c r="M203" i="19" s="1"/>
  <c r="F77" i="19"/>
  <c r="K77" i="19" s="1"/>
  <c r="L77" i="19" s="1"/>
  <c r="M77" i="19" s="1"/>
  <c r="B46" i="23"/>
  <c r="F78" i="29" s="1"/>
  <c r="K78" i="29" s="1"/>
  <c r="D166" i="28" l="1"/>
  <c r="F166" i="28"/>
  <c r="F78" i="19"/>
  <c r="K78" i="19" s="1"/>
  <c r="L78" i="19" s="1"/>
  <c r="M78" i="19" s="1"/>
  <c r="B47" i="23"/>
  <c r="F79" i="29" s="1"/>
  <c r="K79" i="29" s="1"/>
  <c r="H319" i="28" l="1"/>
  <c r="F319" i="28"/>
  <c r="G319" i="28"/>
  <c r="E72" i="28"/>
  <c r="E127" i="28" s="1"/>
  <c r="H72" i="28"/>
  <c r="H127" i="28" s="1"/>
  <c r="G72" i="28"/>
  <c r="G127" i="28" s="1"/>
  <c r="D72" i="28"/>
  <c r="D127" i="28" s="1"/>
  <c r="C72" i="28"/>
  <c r="C127" i="28" s="1"/>
  <c r="F72" i="28"/>
  <c r="F127" i="28" s="1"/>
  <c r="B72" i="28"/>
  <c r="D36" i="28"/>
  <c r="E36" i="28" s="1"/>
  <c r="G166" i="28"/>
  <c r="F79" i="19"/>
  <c r="K79" i="19" s="1"/>
  <c r="L79" i="19" s="1"/>
  <c r="M79" i="19" s="1"/>
  <c r="B48" i="23"/>
  <c r="F80" i="29" s="1"/>
  <c r="K80" i="29" s="1"/>
  <c r="B127" i="28" l="1"/>
  <c r="I72" i="28"/>
  <c r="I319" i="28"/>
  <c r="F80" i="19"/>
  <c r="K80" i="19" s="1"/>
  <c r="L80" i="19" s="1"/>
  <c r="M80" i="19" s="1"/>
  <c r="B49" i="23"/>
  <c r="F81" i="29" s="1"/>
  <c r="K81" i="29" s="1"/>
  <c r="F81" i="19" l="1"/>
  <c r="K81" i="19" s="1"/>
  <c r="L81" i="19" s="1"/>
  <c r="M81" i="19" s="1"/>
  <c r="B50" i="23"/>
  <c r="F82" i="29" s="1"/>
  <c r="K82" i="29" s="1"/>
  <c r="F82" i="19" l="1"/>
  <c r="K82" i="19" s="1"/>
  <c r="L82" i="19" s="1"/>
  <c r="M82" i="19" s="1"/>
  <c r="B51" i="23"/>
  <c r="F83" i="29" s="1"/>
  <c r="K83" i="29" s="1"/>
  <c r="F83" i="19" l="1"/>
  <c r="K83" i="19" s="1"/>
  <c r="L83" i="19" s="1"/>
  <c r="M83" i="19" s="1"/>
  <c r="B52" i="23"/>
  <c r="F84" i="29" s="1"/>
  <c r="K84" i="29" s="1"/>
  <c r="F84" i="19" l="1"/>
  <c r="K84" i="19" s="1"/>
  <c r="L84" i="19" s="1"/>
  <c r="M84" i="19" s="1"/>
  <c r="B53" i="23"/>
  <c r="F85" i="29" s="1"/>
  <c r="K85" i="29" s="1"/>
  <c r="F85" i="19" l="1"/>
  <c r="K85" i="19" s="1"/>
  <c r="L85" i="19" s="1"/>
  <c r="M85" i="19" s="1"/>
  <c r="B54" i="23"/>
  <c r="F86" i="29" s="1"/>
  <c r="K86" i="29" s="1"/>
  <c r="K204" i="29" s="1"/>
  <c r="C54" i="23" l="1"/>
  <c r="F5" i="23" s="1"/>
  <c r="G5" i="23" s="1"/>
  <c r="N204" i="19"/>
  <c r="L204" i="29"/>
  <c r="M204" i="29" s="1"/>
  <c r="F86" i="19"/>
  <c r="D54" i="23"/>
  <c r="C6" i="23" s="1"/>
  <c r="D6" i="23" s="1"/>
  <c r="B55" i="23" s="1"/>
  <c r="F87" i="29" s="1"/>
  <c r="K87" i="29" s="1"/>
  <c r="E167" i="28" l="1"/>
  <c r="K86" i="19"/>
  <c r="L86" i="19" s="1"/>
  <c r="M86" i="19" s="1"/>
  <c r="F87" i="19"/>
  <c r="K87" i="19" s="1"/>
  <c r="L87" i="19" s="1"/>
  <c r="M87" i="19" s="1"/>
  <c r="B56" i="23"/>
  <c r="F88" i="29" s="1"/>
  <c r="K88" i="29" s="1"/>
  <c r="K204" i="19" l="1"/>
  <c r="F88" i="19"/>
  <c r="K88" i="19" s="1"/>
  <c r="L88" i="19" s="1"/>
  <c r="M88" i="19" s="1"/>
  <c r="B57" i="23"/>
  <c r="F89" i="29" s="1"/>
  <c r="K89" i="29" s="1"/>
  <c r="C12" i="9" l="1"/>
  <c r="D12" i="9" s="1"/>
  <c r="E12" i="9" s="1"/>
  <c r="C167" i="28"/>
  <c r="O204" i="19"/>
  <c r="L204" i="19"/>
  <c r="M204" i="19" s="1"/>
  <c r="H5" i="11"/>
  <c r="H6" i="11" s="1"/>
  <c r="F89" i="19"/>
  <c r="K89" i="19" s="1"/>
  <c r="L89" i="19" s="1"/>
  <c r="M89" i="19" s="1"/>
  <c r="B58" i="23"/>
  <c r="F90" i="29" s="1"/>
  <c r="K90" i="29" s="1"/>
  <c r="D167" i="28" l="1"/>
  <c r="F167" i="28"/>
  <c r="F90" i="19"/>
  <c r="K90" i="19" s="1"/>
  <c r="L90" i="19" s="1"/>
  <c r="M90" i="19" s="1"/>
  <c r="B59" i="23"/>
  <c r="F91" i="29" s="1"/>
  <c r="K91" i="29" s="1"/>
  <c r="F320" i="28" l="1"/>
  <c r="H320" i="28"/>
  <c r="G320" i="28"/>
  <c r="E73" i="28"/>
  <c r="E128" i="28" s="1"/>
  <c r="H73" i="28"/>
  <c r="H128" i="28" s="1"/>
  <c r="D73" i="28"/>
  <c r="D128" i="28" s="1"/>
  <c r="B73" i="28"/>
  <c r="C73" i="28"/>
  <c r="C128" i="28" s="1"/>
  <c r="F73" i="28"/>
  <c r="F128" i="28" s="1"/>
  <c r="G73" i="28"/>
  <c r="G128" i="28" s="1"/>
  <c r="G167" i="28"/>
  <c r="D37" i="28"/>
  <c r="E37" i="28" s="1"/>
  <c r="F91" i="19"/>
  <c r="K91" i="19" s="1"/>
  <c r="L91" i="19" s="1"/>
  <c r="M91" i="19" s="1"/>
  <c r="B60" i="23"/>
  <c r="F92" i="29" s="1"/>
  <c r="K92" i="29" s="1"/>
  <c r="I320" i="28" l="1"/>
  <c r="B128" i="28"/>
  <c r="I73" i="28"/>
  <c r="F92" i="19"/>
  <c r="K92" i="19" s="1"/>
  <c r="L92" i="19" s="1"/>
  <c r="M92" i="19" s="1"/>
  <c r="B61" i="23"/>
  <c r="F93" i="29" s="1"/>
  <c r="K93" i="29" s="1"/>
  <c r="F93" i="19" l="1"/>
  <c r="K93" i="19" s="1"/>
  <c r="L93" i="19" s="1"/>
  <c r="M93" i="19" s="1"/>
  <c r="B62" i="23"/>
  <c r="F94" i="29" s="1"/>
  <c r="K94" i="29" s="1"/>
  <c r="F94" i="19" l="1"/>
  <c r="K94" i="19" s="1"/>
  <c r="L94" i="19" s="1"/>
  <c r="M94" i="19" s="1"/>
  <c r="B63" i="23"/>
  <c r="F95" i="29" s="1"/>
  <c r="K95" i="29" s="1"/>
  <c r="F95" i="19" l="1"/>
  <c r="K95" i="19" s="1"/>
  <c r="L95" i="19" s="1"/>
  <c r="M95" i="19" s="1"/>
  <c r="B64" i="23"/>
  <c r="F96" i="29" s="1"/>
  <c r="K96" i="29" s="1"/>
  <c r="F96" i="19" l="1"/>
  <c r="K96" i="19" s="1"/>
  <c r="L96" i="19" s="1"/>
  <c r="M96" i="19" s="1"/>
  <c r="B65" i="23"/>
  <c r="F97" i="29" s="1"/>
  <c r="K97" i="29" s="1"/>
  <c r="F97" i="19" l="1"/>
  <c r="K97" i="19" s="1"/>
  <c r="L97" i="19" s="1"/>
  <c r="M97" i="19" s="1"/>
  <c r="B66" i="23"/>
  <c r="F98" i="29" s="1"/>
  <c r="K98" i="29" s="1"/>
  <c r="K205" i="29" s="1"/>
  <c r="C66" i="23" l="1"/>
  <c r="F6" i="23" s="1"/>
  <c r="G6" i="23" s="1"/>
  <c r="L205" i="29"/>
  <c r="M205" i="29" s="1"/>
  <c r="N205" i="19"/>
  <c r="F98" i="19"/>
  <c r="D66" i="23"/>
  <c r="C7" i="23" s="1"/>
  <c r="D7" i="23" s="1"/>
  <c r="B67" i="23" s="1"/>
  <c r="F99" i="29" s="1"/>
  <c r="K99" i="29" s="1"/>
  <c r="K98" i="19" l="1"/>
  <c r="L98" i="19" s="1"/>
  <c r="M98" i="19" s="1"/>
  <c r="E168" i="28"/>
  <c r="F99" i="19"/>
  <c r="K99" i="19" s="1"/>
  <c r="L99" i="19" s="1"/>
  <c r="M99" i="19" s="1"/>
  <c r="B68" i="23"/>
  <c r="F100" i="29" s="1"/>
  <c r="K100" i="29" s="1"/>
  <c r="K205" i="19" l="1"/>
  <c r="B69" i="23"/>
  <c r="F101" i="29" s="1"/>
  <c r="K101" i="29" s="1"/>
  <c r="F100" i="19"/>
  <c r="K100" i="19" s="1"/>
  <c r="L100" i="19" s="1"/>
  <c r="M100" i="19" s="1"/>
  <c r="C13" i="9" l="1"/>
  <c r="D13" i="9" s="1"/>
  <c r="E13" i="9" s="1"/>
  <c r="C168" i="28"/>
  <c r="I5" i="11"/>
  <c r="I6" i="11" s="1"/>
  <c r="O205" i="19"/>
  <c r="L205" i="19"/>
  <c r="M205" i="19" s="1"/>
  <c r="F101" i="19"/>
  <c r="K101" i="19" s="1"/>
  <c r="L101" i="19" s="1"/>
  <c r="M101" i="19" s="1"/>
  <c r="B70" i="23"/>
  <c r="F102" i="29" s="1"/>
  <c r="K102" i="29" s="1"/>
  <c r="D168" i="28" l="1"/>
  <c r="F168" i="28"/>
  <c r="F102" i="19"/>
  <c r="K102" i="19" s="1"/>
  <c r="L102" i="19" s="1"/>
  <c r="M102" i="19" s="1"/>
  <c r="B71" i="23"/>
  <c r="F103" i="29" s="1"/>
  <c r="K103" i="29" s="1"/>
  <c r="G321" i="28" l="1"/>
  <c r="F321" i="28"/>
  <c r="H321" i="28"/>
  <c r="E74" i="28"/>
  <c r="E129" i="28" s="1"/>
  <c r="D74" i="28"/>
  <c r="D129" i="28" s="1"/>
  <c r="G74" i="28"/>
  <c r="G129" i="28" s="1"/>
  <c r="F74" i="28"/>
  <c r="F129" i="28" s="1"/>
  <c r="H74" i="28"/>
  <c r="H129" i="28" s="1"/>
  <c r="C74" i="28"/>
  <c r="C129" i="28" s="1"/>
  <c r="B74" i="28"/>
  <c r="G168" i="28"/>
  <c r="D38" i="28"/>
  <c r="E38" i="28" s="1"/>
  <c r="F103" i="19"/>
  <c r="K103" i="19" s="1"/>
  <c r="L103" i="19" s="1"/>
  <c r="M103" i="19" s="1"/>
  <c r="B72" i="23"/>
  <c r="F104" i="29" s="1"/>
  <c r="K104" i="29" s="1"/>
  <c r="B129" i="28" l="1"/>
  <c r="I74" i="28"/>
  <c r="I321" i="28"/>
  <c r="F104" i="19"/>
  <c r="K104" i="19" s="1"/>
  <c r="L104" i="19" s="1"/>
  <c r="M104" i="19" s="1"/>
  <c r="B73" i="23"/>
  <c r="F105" i="29" s="1"/>
  <c r="K105" i="29" s="1"/>
  <c r="F105" i="19" l="1"/>
  <c r="K105" i="19" s="1"/>
  <c r="L105" i="19" s="1"/>
  <c r="M105" i="19" s="1"/>
  <c r="B74" i="23"/>
  <c r="F106" i="29" s="1"/>
  <c r="K106" i="29" s="1"/>
  <c r="F106" i="19" l="1"/>
  <c r="K106" i="19" s="1"/>
  <c r="L106" i="19" s="1"/>
  <c r="M106" i="19" s="1"/>
  <c r="B75" i="23"/>
  <c r="F107" i="29" s="1"/>
  <c r="K107" i="29" s="1"/>
  <c r="F107" i="19" l="1"/>
  <c r="K107" i="19" s="1"/>
  <c r="L107" i="19" s="1"/>
  <c r="M107" i="19" s="1"/>
  <c r="B76" i="23"/>
  <c r="F108" i="29" s="1"/>
  <c r="K108" i="29" s="1"/>
  <c r="F108" i="19" l="1"/>
  <c r="K108" i="19" s="1"/>
  <c r="L108" i="19" s="1"/>
  <c r="M108" i="19" s="1"/>
  <c r="B77" i="23"/>
  <c r="F109" i="29" s="1"/>
  <c r="K109" i="29" s="1"/>
  <c r="F109" i="19" l="1"/>
  <c r="K109" i="19" s="1"/>
  <c r="L109" i="19" s="1"/>
  <c r="M109" i="19" s="1"/>
  <c r="B78" i="23"/>
  <c r="F110" i="29" s="1"/>
  <c r="K110" i="29" s="1"/>
  <c r="K206" i="29" s="1"/>
  <c r="C78" i="23" l="1"/>
  <c r="F7" i="23" s="1"/>
  <c r="G7" i="23" s="1"/>
  <c r="L206" i="29"/>
  <c r="M206" i="29" s="1"/>
  <c r="N206" i="19"/>
  <c r="F110" i="19"/>
  <c r="D78" i="23"/>
  <c r="C8" i="23" s="1"/>
  <c r="D8" i="23" s="1"/>
  <c r="B79" i="23" s="1"/>
  <c r="F111" i="29" s="1"/>
  <c r="K111" i="29" s="1"/>
  <c r="E169" i="28" l="1"/>
  <c r="K110" i="19"/>
  <c r="L110" i="19" s="1"/>
  <c r="M110" i="19" s="1"/>
  <c r="F111" i="19"/>
  <c r="K111" i="19" s="1"/>
  <c r="L111" i="19" s="1"/>
  <c r="M111" i="19" s="1"/>
  <c r="B80" i="23"/>
  <c r="F112" i="29" s="1"/>
  <c r="K112" i="29" s="1"/>
  <c r="K206" i="19" l="1"/>
  <c r="B81" i="23"/>
  <c r="F113" i="29" s="1"/>
  <c r="K113" i="29" s="1"/>
  <c r="F112" i="19"/>
  <c r="K112" i="19" s="1"/>
  <c r="L112" i="19" s="1"/>
  <c r="M112" i="19" s="1"/>
  <c r="L206" i="19" l="1"/>
  <c r="M206" i="19" s="1"/>
  <c r="J5" i="11"/>
  <c r="J6" i="11" s="1"/>
  <c r="C169" i="28"/>
  <c r="D169" i="28" s="1"/>
  <c r="C14" i="9"/>
  <c r="D14" i="9" s="1"/>
  <c r="E14" i="9" s="1"/>
  <c r="O206" i="19"/>
  <c r="F113" i="19"/>
  <c r="K113" i="19" s="1"/>
  <c r="L113" i="19" s="1"/>
  <c r="M113" i="19" s="1"/>
  <c r="B82" i="23"/>
  <c r="F114" i="29" s="1"/>
  <c r="K114" i="29" s="1"/>
  <c r="F169" i="28" l="1"/>
  <c r="G322" i="28" s="1"/>
  <c r="F114" i="19"/>
  <c r="K114" i="19" s="1"/>
  <c r="L114" i="19" s="1"/>
  <c r="M114" i="19" s="1"/>
  <c r="B83" i="23"/>
  <c r="F115" i="29" s="1"/>
  <c r="K115" i="29" s="1"/>
  <c r="G169" i="28" l="1"/>
  <c r="F75" i="28"/>
  <c r="F130" i="28" s="1"/>
  <c r="E75" i="28"/>
  <c r="E130" i="28" s="1"/>
  <c r="D39" i="28"/>
  <c r="E39" i="28" s="1"/>
  <c r="H75" i="28"/>
  <c r="H130" i="28" s="1"/>
  <c r="H322" i="28"/>
  <c r="B75" i="28"/>
  <c r="B130" i="28" s="1"/>
  <c r="D75" i="28"/>
  <c r="D130" i="28" s="1"/>
  <c r="F322" i="28"/>
  <c r="G75" i="28"/>
  <c r="G130" i="28" s="1"/>
  <c r="C75" i="28"/>
  <c r="C130" i="28" s="1"/>
  <c r="F115" i="19"/>
  <c r="K115" i="19" s="1"/>
  <c r="L115" i="19" s="1"/>
  <c r="M115" i="19" s="1"/>
  <c r="B84" i="23"/>
  <c r="F116" i="29" s="1"/>
  <c r="K116" i="29" s="1"/>
  <c r="I322" i="28" l="1"/>
  <c r="I75" i="28"/>
  <c r="F116" i="19"/>
  <c r="K116" i="19" s="1"/>
  <c r="L116" i="19" s="1"/>
  <c r="M116" i="19" s="1"/>
  <c r="B85" i="23"/>
  <c r="F117" i="29" s="1"/>
  <c r="K117" i="29" s="1"/>
  <c r="F117" i="19" l="1"/>
  <c r="K117" i="19" s="1"/>
  <c r="L117" i="19" s="1"/>
  <c r="M117" i="19" s="1"/>
  <c r="B86" i="23"/>
  <c r="F118" i="29" s="1"/>
  <c r="K118" i="29" s="1"/>
  <c r="F118" i="19" l="1"/>
  <c r="K118" i="19" s="1"/>
  <c r="L118" i="19" s="1"/>
  <c r="M118" i="19" s="1"/>
  <c r="B87" i="23"/>
  <c r="F119" i="29" s="1"/>
  <c r="K119" i="29" s="1"/>
  <c r="F119" i="19" l="1"/>
  <c r="K119" i="19" s="1"/>
  <c r="L119" i="19" s="1"/>
  <c r="M119" i="19" s="1"/>
  <c r="B88" i="23"/>
  <c r="F120" i="29" s="1"/>
  <c r="K120" i="29" s="1"/>
  <c r="F120" i="19" l="1"/>
  <c r="K120" i="19" s="1"/>
  <c r="L120" i="19" s="1"/>
  <c r="M120" i="19" s="1"/>
  <c r="B89" i="23"/>
  <c r="F121" i="29" s="1"/>
  <c r="K121" i="29" s="1"/>
  <c r="F121" i="19" l="1"/>
  <c r="K121" i="19" s="1"/>
  <c r="L121" i="19" s="1"/>
  <c r="M121" i="19" s="1"/>
  <c r="B90" i="23"/>
  <c r="F122" i="29" s="1"/>
  <c r="K122" i="29" s="1"/>
  <c r="K207" i="29" s="1"/>
  <c r="C90" i="23" l="1"/>
  <c r="F8" i="23" s="1"/>
  <c r="G8" i="23" s="1"/>
  <c r="L207" i="29"/>
  <c r="M207" i="29" s="1"/>
  <c r="N207" i="19"/>
  <c r="F122" i="19"/>
  <c r="D90" i="23"/>
  <c r="C9" i="23" s="1"/>
  <c r="D9" i="23" s="1"/>
  <c r="B91" i="23" s="1"/>
  <c r="F123" i="29" s="1"/>
  <c r="K123" i="29" s="1"/>
  <c r="E170" i="28" l="1"/>
  <c r="K122" i="19"/>
  <c r="F123" i="19"/>
  <c r="K123" i="19" s="1"/>
  <c r="L123" i="19" s="1"/>
  <c r="M123" i="19" s="1"/>
  <c r="B92" i="23"/>
  <c r="F124" i="29" s="1"/>
  <c r="K124" i="29" s="1"/>
  <c r="K207" i="19" l="1"/>
  <c r="L207" i="19" s="1"/>
  <c r="M207" i="19" s="1"/>
  <c r="L122" i="19"/>
  <c r="M122" i="19" s="1"/>
  <c r="F124" i="19"/>
  <c r="K124" i="19" s="1"/>
  <c r="L124" i="19" s="1"/>
  <c r="M124" i="19" s="1"/>
  <c r="B93" i="23"/>
  <c r="F125" i="29" s="1"/>
  <c r="K125" i="29" s="1"/>
  <c r="K5" i="11" l="1"/>
  <c r="Q361" i="28" s="1"/>
  <c r="C15" i="9"/>
  <c r="D15" i="9" s="1"/>
  <c r="E15" i="9" s="1"/>
  <c r="C170" i="28"/>
  <c r="O207" i="19"/>
  <c r="K6" i="11"/>
  <c r="B94" i="23"/>
  <c r="F126" i="29" s="1"/>
  <c r="K126" i="29" s="1"/>
  <c r="F125" i="19"/>
  <c r="K125" i="19" s="1"/>
  <c r="L125" i="19" s="1"/>
  <c r="M125" i="19" s="1"/>
  <c r="Q362" i="28" l="1"/>
  <c r="R362" i="28"/>
  <c r="D170" i="28"/>
  <c r="F170" i="28"/>
  <c r="F126" i="19"/>
  <c r="K126" i="19" s="1"/>
  <c r="L126" i="19" s="1"/>
  <c r="M126" i="19" s="1"/>
  <c r="B95" i="23"/>
  <c r="F127" i="29" s="1"/>
  <c r="K127" i="29" s="1"/>
  <c r="AK422" i="28" l="1"/>
  <c r="H323" i="28"/>
  <c r="F323" i="28"/>
  <c r="G323" i="28"/>
  <c r="E76" i="28"/>
  <c r="E131" i="28" s="1"/>
  <c r="D76" i="28"/>
  <c r="D131" i="28" s="1"/>
  <c r="C76" i="28"/>
  <c r="C131" i="28" s="1"/>
  <c r="B76" i="28"/>
  <c r="H76" i="28"/>
  <c r="H131" i="28" s="1"/>
  <c r="G76" i="28"/>
  <c r="G131" i="28" s="1"/>
  <c r="G170" i="28"/>
  <c r="F127" i="19"/>
  <c r="K127" i="19" s="1"/>
  <c r="L127" i="19" s="1"/>
  <c r="M127" i="19" s="1"/>
  <c r="B96" i="23"/>
  <c r="F128" i="29" s="1"/>
  <c r="K128" i="29" s="1"/>
  <c r="I323" i="28" l="1"/>
  <c r="B131" i="28"/>
  <c r="AK427" i="28"/>
  <c r="AO427" i="28" s="1"/>
  <c r="AK428" i="28"/>
  <c r="AO428" i="28" s="1"/>
  <c r="AK425" i="28"/>
  <c r="AO425" i="28" s="1"/>
  <c r="AK429" i="28"/>
  <c r="AO429" i="28" s="1"/>
  <c r="AK430" i="28"/>
  <c r="AO430" i="28" s="1"/>
  <c r="AK426" i="28"/>
  <c r="AO426" i="28" s="1"/>
  <c r="AK424" i="28"/>
  <c r="AO424" i="28" s="1"/>
  <c r="F128" i="19"/>
  <c r="K128" i="19" s="1"/>
  <c r="L128" i="19" s="1"/>
  <c r="M128" i="19" s="1"/>
  <c r="B97" i="23"/>
  <c r="F129" i="29" s="1"/>
  <c r="K129" i="29" s="1"/>
  <c r="F129" i="19" l="1"/>
  <c r="K129" i="19" s="1"/>
  <c r="L129" i="19" s="1"/>
  <c r="M129" i="19" s="1"/>
  <c r="B98" i="23"/>
  <c r="F130" i="29" s="1"/>
  <c r="K130" i="29" s="1"/>
  <c r="F130" i="19" l="1"/>
  <c r="K130" i="19" s="1"/>
  <c r="L130" i="19" s="1"/>
  <c r="M130" i="19" s="1"/>
  <c r="B99" i="23"/>
  <c r="F131" i="29" s="1"/>
  <c r="K131" i="29" s="1"/>
  <c r="F131" i="19" l="1"/>
  <c r="K131" i="19" s="1"/>
  <c r="L131" i="19" s="1"/>
  <c r="M131" i="19" s="1"/>
  <c r="B100" i="23"/>
  <c r="F132" i="29" s="1"/>
  <c r="K132" i="29" s="1"/>
  <c r="F132" i="19" l="1"/>
  <c r="K132" i="19" s="1"/>
  <c r="L132" i="19" s="1"/>
  <c r="M132" i="19" s="1"/>
  <c r="B101" i="23"/>
  <c r="F133" i="29" s="1"/>
  <c r="K133" i="29" s="1"/>
  <c r="F133" i="19" l="1"/>
  <c r="K133" i="19" s="1"/>
  <c r="L133" i="19" s="1"/>
  <c r="M133" i="19" s="1"/>
  <c r="B102" i="23"/>
  <c r="F134" i="29" s="1"/>
  <c r="K134" i="29" s="1"/>
  <c r="K208" i="29" s="1"/>
  <c r="C102" i="23" l="1"/>
  <c r="F9" i="23" s="1"/>
  <c r="G9" i="23" s="1"/>
  <c r="L208" i="29"/>
  <c r="M208" i="29" s="1"/>
  <c r="N208" i="19"/>
  <c r="F134" i="19"/>
  <c r="D102" i="23"/>
  <c r="C10" i="23" s="1"/>
  <c r="D10" i="23" s="1"/>
  <c r="B103" i="23" s="1"/>
  <c r="F135" i="29" s="1"/>
  <c r="K135" i="29" s="1"/>
  <c r="E171" i="28" l="1"/>
  <c r="K134" i="19"/>
  <c r="B104" i="23"/>
  <c r="F136" i="29" s="1"/>
  <c r="K136" i="29" s="1"/>
  <c r="F135" i="19"/>
  <c r="K135" i="19" s="1"/>
  <c r="L135" i="19" s="1"/>
  <c r="M135" i="19" s="1"/>
  <c r="K208" i="19" l="1"/>
  <c r="L208" i="19" s="1"/>
  <c r="M208" i="19" s="1"/>
  <c r="L134" i="19"/>
  <c r="M134" i="19" s="1"/>
  <c r="F136" i="19"/>
  <c r="K136" i="19" s="1"/>
  <c r="L136" i="19" s="1"/>
  <c r="M136" i="19" s="1"/>
  <c r="B105" i="23"/>
  <c r="F137" i="29" s="1"/>
  <c r="K137" i="29" s="1"/>
  <c r="L5" i="11" l="1"/>
  <c r="R361" i="28" s="1"/>
  <c r="C16" i="9"/>
  <c r="D16" i="9" s="1"/>
  <c r="E16" i="9" s="1"/>
  <c r="C171" i="28"/>
  <c r="O208" i="19"/>
  <c r="F137" i="19"/>
  <c r="K137" i="19" s="1"/>
  <c r="L137" i="19" s="1"/>
  <c r="M137" i="19" s="1"/>
  <c r="B106" i="23"/>
  <c r="F138" i="29" s="1"/>
  <c r="K138" i="29" s="1"/>
  <c r="L6" i="11" l="1"/>
  <c r="D171" i="28"/>
  <c r="F171" i="28"/>
  <c r="F138" i="19"/>
  <c r="K138" i="19" s="1"/>
  <c r="L138" i="19" s="1"/>
  <c r="M138" i="19" s="1"/>
  <c r="B107" i="23"/>
  <c r="F139" i="29" s="1"/>
  <c r="K139" i="29" s="1"/>
  <c r="AL422" i="28" l="1"/>
  <c r="G324" i="28"/>
  <c r="H324" i="28"/>
  <c r="F324" i="28"/>
  <c r="D77" i="28"/>
  <c r="D132" i="28" s="1"/>
  <c r="B77" i="28"/>
  <c r="G77" i="28"/>
  <c r="G132" i="28" s="1"/>
  <c r="F77" i="28"/>
  <c r="F132" i="28" s="1"/>
  <c r="E77" i="28"/>
  <c r="E132" i="28" s="1"/>
  <c r="H77" i="28"/>
  <c r="H132" i="28" s="1"/>
  <c r="C77" i="28"/>
  <c r="C132" i="28" s="1"/>
  <c r="D41" i="28"/>
  <c r="G171" i="28"/>
  <c r="F139" i="19"/>
  <c r="K139" i="19" s="1"/>
  <c r="L139" i="19" s="1"/>
  <c r="M139" i="19" s="1"/>
  <c r="B108" i="23"/>
  <c r="F140" i="29" s="1"/>
  <c r="K140" i="29" s="1"/>
  <c r="I324" i="28" l="1"/>
  <c r="B132" i="28"/>
  <c r="I77" i="28"/>
  <c r="AK453" i="28"/>
  <c r="AL427" i="28"/>
  <c r="AL428" i="28"/>
  <c r="AL429" i="28"/>
  <c r="AL426" i="28"/>
  <c r="AL424" i="28"/>
  <c r="AL430" i="28"/>
  <c r="AL425" i="28"/>
  <c r="F140" i="19"/>
  <c r="K140" i="19" s="1"/>
  <c r="L140" i="19" s="1"/>
  <c r="M140" i="19" s="1"/>
  <c r="B109" i="23"/>
  <c r="F141" i="29" s="1"/>
  <c r="K141" i="29" s="1"/>
  <c r="AP428" i="28" l="1"/>
  <c r="AO437" i="28" s="1"/>
  <c r="AK437" i="28"/>
  <c r="AP425" i="28"/>
  <c r="AO434" i="28" s="1"/>
  <c r="AK434" i="28"/>
  <c r="AP429" i="28"/>
  <c r="AO438" i="28" s="1"/>
  <c r="AK438" i="28"/>
  <c r="AK439" i="28"/>
  <c r="AP430" i="28"/>
  <c r="AO439" i="28" s="1"/>
  <c r="AP424" i="28"/>
  <c r="AO433" i="28" s="1"/>
  <c r="AK433" i="28"/>
  <c r="AP427" i="28"/>
  <c r="AO436" i="28" s="1"/>
  <c r="AK436" i="28"/>
  <c r="AP426" i="28"/>
  <c r="AO435" i="28" s="1"/>
  <c r="AK435" i="28"/>
  <c r="AK458" i="28"/>
  <c r="AO458" i="28" s="1"/>
  <c r="AK459" i="28"/>
  <c r="AO459" i="28" s="1"/>
  <c r="AK460" i="28"/>
  <c r="AO460" i="28" s="1"/>
  <c r="AK457" i="28"/>
  <c r="AO457" i="28" s="1"/>
  <c r="AK456" i="28"/>
  <c r="AO456" i="28" s="1"/>
  <c r="AK461" i="28"/>
  <c r="AO461" i="28" s="1"/>
  <c r="AK455" i="28"/>
  <c r="AO455" i="28" s="1"/>
  <c r="F141" i="19"/>
  <c r="K141" i="19" s="1"/>
  <c r="L141" i="19" s="1"/>
  <c r="M141" i="19" s="1"/>
  <c r="B110" i="23"/>
  <c r="F142" i="29" s="1"/>
  <c r="K142" i="29" s="1"/>
  <c r="F142" i="19" l="1"/>
  <c r="K142" i="19" s="1"/>
  <c r="L142" i="19" s="1"/>
  <c r="M142" i="19" s="1"/>
  <c r="B111" i="23"/>
  <c r="F143" i="29" s="1"/>
  <c r="K143" i="29" s="1"/>
  <c r="F143" i="19" l="1"/>
  <c r="K143" i="19" s="1"/>
  <c r="L143" i="19" s="1"/>
  <c r="M143" i="19" s="1"/>
  <c r="B112" i="23"/>
  <c r="F144" i="29" s="1"/>
  <c r="K144" i="29" s="1"/>
  <c r="F144" i="19" l="1"/>
  <c r="K144" i="19" s="1"/>
  <c r="L144" i="19" s="1"/>
  <c r="M144" i="19" s="1"/>
  <c r="B113" i="23"/>
  <c r="F145" i="29" s="1"/>
  <c r="K145" i="29" s="1"/>
  <c r="F145" i="19" l="1"/>
  <c r="K145" i="19" s="1"/>
  <c r="L145" i="19" s="1"/>
  <c r="M145" i="19" s="1"/>
  <c r="B114" i="23"/>
  <c r="F146" i="29" s="1"/>
  <c r="K146" i="29" s="1"/>
  <c r="K209" i="29" s="1"/>
  <c r="L209" i="29" l="1"/>
  <c r="M209" i="29" s="1"/>
  <c r="N209" i="19"/>
  <c r="F146" i="19"/>
  <c r="K146" i="19" s="1"/>
  <c r="L146" i="19" s="1"/>
  <c r="M146" i="19" s="1"/>
  <c r="D114" i="23"/>
  <c r="C11" i="23" s="1"/>
  <c r="D11" i="23" s="1"/>
  <c r="B115" i="23" s="1"/>
  <c r="F147" i="29" s="1"/>
  <c r="K147" i="29" s="1"/>
  <c r="C114" i="23"/>
  <c r="F10" i="23" s="1"/>
  <c r="G10" i="23" s="1"/>
  <c r="E172" i="28" l="1"/>
  <c r="F147" i="19"/>
  <c r="K147" i="19" s="1"/>
  <c r="L147" i="19" s="1"/>
  <c r="M147" i="19" s="1"/>
  <c r="B116" i="23"/>
  <c r="F148" i="29" s="1"/>
  <c r="K148" i="29" s="1"/>
  <c r="K209" i="19"/>
  <c r="O209" i="19" s="1"/>
  <c r="C17" i="9" l="1"/>
  <c r="D17" i="9" s="1"/>
  <c r="E17" i="9" s="1"/>
  <c r="C172" i="28"/>
  <c r="D172" i="28" s="1"/>
  <c r="L209" i="19"/>
  <c r="M209" i="19" s="1"/>
  <c r="M5" i="11"/>
  <c r="T361" i="28" s="1"/>
  <c r="B117" i="23"/>
  <c r="F149" i="29" s="1"/>
  <c r="K149" i="29" s="1"/>
  <c r="F148" i="19"/>
  <c r="K148" i="19" s="1"/>
  <c r="L148" i="19" s="1"/>
  <c r="M148" i="19" s="1"/>
  <c r="F172" i="28" l="1"/>
  <c r="M6" i="11"/>
  <c r="T362" i="28" s="1"/>
  <c r="B118" i="23"/>
  <c r="F150" i="29" s="1"/>
  <c r="K150" i="29" s="1"/>
  <c r="F149" i="19"/>
  <c r="K149" i="19" s="1"/>
  <c r="L149" i="19" s="1"/>
  <c r="M149" i="19" s="1"/>
  <c r="AL453" i="28" l="1"/>
  <c r="F325" i="28"/>
  <c r="H325" i="28"/>
  <c r="G325" i="28"/>
  <c r="G79" i="28"/>
  <c r="G134" i="28" s="1"/>
  <c r="C79" i="28"/>
  <c r="C134" i="28" s="1"/>
  <c r="F79" i="28"/>
  <c r="F134" i="28" s="1"/>
  <c r="D79" i="28"/>
  <c r="D134" i="28" s="1"/>
  <c r="E79" i="28"/>
  <c r="E134" i="28" s="1"/>
  <c r="B79" i="28"/>
  <c r="H79" i="28"/>
  <c r="H134" i="28" s="1"/>
  <c r="D42" i="28"/>
  <c r="E42" i="28" s="1"/>
  <c r="G172" i="28"/>
  <c r="B119" i="23"/>
  <c r="F151" i="29" s="1"/>
  <c r="K151" i="29" s="1"/>
  <c r="F150" i="19"/>
  <c r="K150" i="19" s="1"/>
  <c r="L150" i="19" s="1"/>
  <c r="M150" i="19" s="1"/>
  <c r="B134" i="28" l="1"/>
  <c r="I79" i="28"/>
  <c r="I325" i="28"/>
  <c r="AL484" i="28"/>
  <c r="AK515" i="28"/>
  <c r="AL458" i="28"/>
  <c r="AL460" i="28"/>
  <c r="AL459" i="28"/>
  <c r="AL457" i="28"/>
  <c r="AL456" i="28"/>
  <c r="AL461" i="28"/>
  <c r="AL455" i="28"/>
  <c r="B120" i="23"/>
  <c r="F152" i="29" s="1"/>
  <c r="K152" i="29" s="1"/>
  <c r="F151" i="19"/>
  <c r="K151" i="19" s="1"/>
  <c r="L151" i="19" s="1"/>
  <c r="M151" i="19" s="1"/>
  <c r="AP455" i="28" l="1"/>
  <c r="AO464" i="28" s="1"/>
  <c r="AK464" i="28"/>
  <c r="AK468" i="28"/>
  <c r="AP459" i="28"/>
  <c r="AO468" i="28" s="1"/>
  <c r="AL489" i="28"/>
  <c r="AL491" i="28"/>
  <c r="AL490" i="28"/>
  <c r="AL488" i="28"/>
  <c r="AL487" i="28"/>
  <c r="AL492" i="28"/>
  <c r="AL486" i="28"/>
  <c r="AK470" i="28"/>
  <c r="AP461" i="28"/>
  <c r="AO470" i="28" s="1"/>
  <c r="AP460" i="28"/>
  <c r="AO469" i="28" s="1"/>
  <c r="AK469" i="28"/>
  <c r="AP456" i="28"/>
  <c r="AO465" i="28" s="1"/>
  <c r="AK465" i="28"/>
  <c r="AP458" i="28"/>
  <c r="AO467" i="28" s="1"/>
  <c r="AK467" i="28"/>
  <c r="AP457" i="28"/>
  <c r="AO466" i="28" s="1"/>
  <c r="AK466" i="28"/>
  <c r="AK520" i="28"/>
  <c r="AO520" i="28" s="1"/>
  <c r="AK521" i="28"/>
  <c r="AO521" i="28" s="1"/>
  <c r="AK522" i="28"/>
  <c r="AO522" i="28" s="1"/>
  <c r="AK519" i="28"/>
  <c r="AO519" i="28" s="1"/>
  <c r="AK518" i="28"/>
  <c r="AO518" i="28" s="1"/>
  <c r="AK523" i="28"/>
  <c r="AO523" i="28" s="1"/>
  <c r="AK517" i="28"/>
  <c r="AO517" i="28" s="1"/>
  <c r="B121" i="23"/>
  <c r="F153" i="29" s="1"/>
  <c r="K153" i="29" s="1"/>
  <c r="F152" i="19"/>
  <c r="K152" i="19" s="1"/>
  <c r="L152" i="19" s="1"/>
  <c r="M152" i="19" s="1"/>
  <c r="AK496" i="28" l="1"/>
  <c r="AP487" i="28"/>
  <c r="AO496" i="28" s="1"/>
  <c r="AP489" i="28"/>
  <c r="AO498" i="28" s="1"/>
  <c r="AK498" i="28"/>
  <c r="AP488" i="28"/>
  <c r="AO497" i="28" s="1"/>
  <c r="AK497" i="28"/>
  <c r="AK499" i="28"/>
  <c r="AP490" i="28"/>
  <c r="AO499" i="28" s="1"/>
  <c r="AP486" i="28"/>
  <c r="AO495" i="28" s="1"/>
  <c r="AK495" i="28"/>
  <c r="AP492" i="28"/>
  <c r="AO501" i="28" s="1"/>
  <c r="AK501" i="28"/>
  <c r="AK500" i="28"/>
  <c r="AP491" i="28"/>
  <c r="AO500" i="28" s="1"/>
  <c r="B122" i="23"/>
  <c r="F154" i="29" s="1"/>
  <c r="K154" i="29" s="1"/>
  <c r="F153" i="19"/>
  <c r="K153" i="19" s="1"/>
  <c r="L153" i="19" s="1"/>
  <c r="M153" i="19" s="1"/>
  <c r="B123" i="23" l="1"/>
  <c r="F155" i="29" s="1"/>
  <c r="K155" i="29" s="1"/>
  <c r="F154" i="19"/>
  <c r="K154" i="19" s="1"/>
  <c r="L154" i="19" s="1"/>
  <c r="M154" i="19" s="1"/>
  <c r="B124" i="23" l="1"/>
  <c r="F156" i="29" s="1"/>
  <c r="K156" i="29" s="1"/>
  <c r="F155" i="19"/>
  <c r="K155" i="19" s="1"/>
  <c r="L155" i="19" s="1"/>
  <c r="M155" i="19" s="1"/>
  <c r="B125" i="23" l="1"/>
  <c r="F157" i="29" s="1"/>
  <c r="K157" i="29" s="1"/>
  <c r="F156" i="19"/>
  <c r="K156" i="19" s="1"/>
  <c r="L156" i="19" s="1"/>
  <c r="M156" i="19" s="1"/>
  <c r="B126" i="23" l="1"/>
  <c r="F158" i="29" s="1"/>
  <c r="K158" i="29" s="1"/>
  <c r="K210" i="29" s="1"/>
  <c r="F157" i="19"/>
  <c r="K157" i="19" s="1"/>
  <c r="L157" i="19" s="1"/>
  <c r="M157" i="19" s="1"/>
  <c r="N210" i="19" l="1"/>
  <c r="L210" i="29"/>
  <c r="M210" i="29" s="1"/>
  <c r="F158" i="19"/>
  <c r="D126" i="23"/>
  <c r="C12" i="23" s="1"/>
  <c r="D12" i="23" s="1"/>
  <c r="B127" i="23" s="1"/>
  <c r="F159" i="29" s="1"/>
  <c r="K159" i="29" s="1"/>
  <c r="C126" i="23"/>
  <c r="F11" i="23" s="1"/>
  <c r="G11" i="23" s="1"/>
  <c r="E173" i="28" l="1"/>
  <c r="K158" i="19"/>
  <c r="F159" i="19"/>
  <c r="K159" i="19" s="1"/>
  <c r="L159" i="19" s="1"/>
  <c r="M159" i="19" s="1"/>
  <c r="B128" i="23"/>
  <c r="F160" i="29" s="1"/>
  <c r="K160" i="29" s="1"/>
  <c r="K210" i="19" l="1"/>
  <c r="N5" i="11" s="1"/>
  <c r="N6" i="11" s="1"/>
  <c r="L158" i="19"/>
  <c r="M158" i="19" s="1"/>
  <c r="F160" i="19"/>
  <c r="K160" i="19" s="1"/>
  <c r="L160" i="19" s="1"/>
  <c r="M160" i="19" s="1"/>
  <c r="B129" i="23"/>
  <c r="F161" i="29" s="1"/>
  <c r="K161" i="29" s="1"/>
  <c r="L210" i="19" l="1"/>
  <c r="M210" i="19" s="1"/>
  <c r="C173" i="28"/>
  <c r="O210" i="19"/>
  <c r="C18" i="9"/>
  <c r="D18" i="9" s="1"/>
  <c r="E18" i="9" s="1"/>
  <c r="B130" i="23"/>
  <c r="F162" i="29" s="1"/>
  <c r="K162" i="29" s="1"/>
  <c r="F161" i="19"/>
  <c r="K161" i="19" s="1"/>
  <c r="L161" i="19" s="1"/>
  <c r="M161" i="19" s="1"/>
  <c r="U361" i="28" l="1"/>
  <c r="U362" i="28"/>
  <c r="D173" i="28"/>
  <c r="F173" i="28"/>
  <c r="B131" i="23"/>
  <c r="F163" i="29" s="1"/>
  <c r="K163" i="29" s="1"/>
  <c r="F162" i="19"/>
  <c r="K162" i="19" s="1"/>
  <c r="L162" i="19" s="1"/>
  <c r="M162" i="19" s="1"/>
  <c r="AL515" i="28" l="1"/>
  <c r="H326" i="28"/>
  <c r="F326" i="28"/>
  <c r="G326" i="28"/>
  <c r="F80" i="28"/>
  <c r="F135" i="28" s="1"/>
  <c r="G80" i="28"/>
  <c r="G135" i="28" s="1"/>
  <c r="B80" i="28"/>
  <c r="D80" i="28"/>
  <c r="D135" i="28" s="1"/>
  <c r="E80" i="28"/>
  <c r="E135" i="28" s="1"/>
  <c r="H80" i="28"/>
  <c r="H135" i="28" s="1"/>
  <c r="C80" i="28"/>
  <c r="C135" i="28" s="1"/>
  <c r="D43" i="28"/>
  <c r="E43" i="28" s="1"/>
  <c r="G173" i="28"/>
  <c r="B132" i="23"/>
  <c r="F164" i="29" s="1"/>
  <c r="K164" i="29" s="1"/>
  <c r="F163" i="19"/>
  <c r="K163" i="19" s="1"/>
  <c r="L163" i="19" s="1"/>
  <c r="M163" i="19" s="1"/>
  <c r="I326" i="28" l="1"/>
  <c r="B135" i="28"/>
  <c r="I80" i="28"/>
  <c r="AK546" i="28"/>
  <c r="AL520" i="28"/>
  <c r="AL522" i="28"/>
  <c r="AL521" i="28"/>
  <c r="AL519" i="28"/>
  <c r="AL523" i="28"/>
  <c r="AL518" i="28"/>
  <c r="AL517" i="28"/>
  <c r="B133" i="23"/>
  <c r="F165" i="29" s="1"/>
  <c r="K165" i="29" s="1"/>
  <c r="F164" i="19"/>
  <c r="K164" i="19" s="1"/>
  <c r="L164" i="19" s="1"/>
  <c r="M164" i="19" s="1"/>
  <c r="AP518" i="28" l="1"/>
  <c r="AO527" i="28" s="1"/>
  <c r="AK527" i="28"/>
  <c r="AP523" i="28"/>
  <c r="AO532" i="28" s="1"/>
  <c r="AK532" i="28"/>
  <c r="AP520" i="28"/>
  <c r="AO529" i="28" s="1"/>
  <c r="AK529" i="28"/>
  <c r="AK531" i="28"/>
  <c r="AP522" i="28"/>
  <c r="AO531" i="28" s="1"/>
  <c r="AP519" i="28"/>
  <c r="AO528" i="28" s="1"/>
  <c r="AK528" i="28"/>
  <c r="AK551" i="28"/>
  <c r="AO551" i="28" s="1"/>
  <c r="AK552" i="28"/>
  <c r="AO552" i="28" s="1"/>
  <c r="AK553" i="28"/>
  <c r="AO553" i="28" s="1"/>
  <c r="AK550" i="28"/>
  <c r="AO550" i="28" s="1"/>
  <c r="AK554" i="28"/>
  <c r="AO554" i="28" s="1"/>
  <c r="AK549" i="28"/>
  <c r="AO549" i="28" s="1"/>
  <c r="AK548" i="28"/>
  <c r="AO548" i="28" s="1"/>
  <c r="AK526" i="28"/>
  <c r="AP517" i="28"/>
  <c r="AO526" i="28" s="1"/>
  <c r="AK530" i="28"/>
  <c r="AP521" i="28"/>
  <c r="AO530" i="28" s="1"/>
  <c r="B134" i="23"/>
  <c r="F166" i="29" s="1"/>
  <c r="K166" i="29" s="1"/>
  <c r="F165" i="19"/>
  <c r="K165" i="19" s="1"/>
  <c r="L165" i="19" s="1"/>
  <c r="M165" i="19" s="1"/>
  <c r="B135" i="23" l="1"/>
  <c r="F167" i="29" s="1"/>
  <c r="K167" i="29" s="1"/>
  <c r="F166" i="19"/>
  <c r="K166" i="19" s="1"/>
  <c r="L166" i="19" s="1"/>
  <c r="M166" i="19" s="1"/>
  <c r="B136" i="23" l="1"/>
  <c r="F168" i="29" s="1"/>
  <c r="K168" i="29" s="1"/>
  <c r="F167" i="19"/>
  <c r="K167" i="19" s="1"/>
  <c r="L167" i="19" s="1"/>
  <c r="M167" i="19" s="1"/>
  <c r="B137" i="23" l="1"/>
  <c r="F169" i="29" s="1"/>
  <c r="K169" i="29" s="1"/>
  <c r="F168" i="19"/>
  <c r="K168" i="19" s="1"/>
  <c r="L168" i="19" s="1"/>
  <c r="M168" i="19" s="1"/>
  <c r="B138" i="23" l="1"/>
  <c r="F170" i="29" s="1"/>
  <c r="K170" i="29" s="1"/>
  <c r="K211" i="29" s="1"/>
  <c r="F169" i="19"/>
  <c r="K169" i="19" s="1"/>
  <c r="L169" i="19" s="1"/>
  <c r="M169" i="19" s="1"/>
  <c r="N211" i="19" l="1"/>
  <c r="L211" i="29"/>
  <c r="M211" i="29" s="1"/>
  <c r="F170" i="19"/>
  <c r="D138" i="23"/>
  <c r="C138" i="23"/>
  <c r="F12" i="23" s="1"/>
  <c r="G12" i="23" s="1"/>
  <c r="E174" i="28" l="1"/>
  <c r="K170" i="19"/>
  <c r="K211" i="19" l="1"/>
  <c r="L170" i="19"/>
  <c r="M170" i="19" s="1"/>
  <c r="L211" i="19" l="1"/>
  <c r="M211" i="19" s="1"/>
  <c r="O5" i="11"/>
  <c r="O6" i="11" s="1"/>
  <c r="C19" i="9"/>
  <c r="D19" i="9" s="1"/>
  <c r="E19" i="9" s="1"/>
  <c r="C174" i="28"/>
  <c r="O211" i="19"/>
  <c r="V361" i="28" l="1"/>
  <c r="D174" i="28"/>
  <c r="F174" i="28"/>
  <c r="V362" i="28"/>
  <c r="G81" i="28" l="1"/>
  <c r="G136" i="28" s="1"/>
  <c r="C81" i="28"/>
  <c r="C136" i="28" s="1"/>
  <c r="D81" i="28"/>
  <c r="D136" i="28" s="1"/>
  <c r="H81" i="28"/>
  <c r="H136" i="28" s="1"/>
  <c r="E81" i="28"/>
  <c r="E136" i="28" s="1"/>
  <c r="F81" i="28"/>
  <c r="F136" i="28" s="1"/>
  <c r="G327" i="28"/>
  <c r="F327" i="28"/>
  <c r="H327" i="28"/>
  <c r="G174" i="28"/>
  <c r="D44" i="28"/>
  <c r="B81" i="28"/>
  <c r="AL546" i="28"/>
  <c r="AL554" i="28" l="1"/>
  <c r="AL551" i="28"/>
  <c r="AP551" i="28" s="1"/>
  <c r="AL553" i="28"/>
  <c r="AL552" i="28"/>
  <c r="AL549" i="28"/>
  <c r="AP549" i="28" s="1"/>
  <c r="AL550" i="28"/>
  <c r="AP550" i="28" s="1"/>
  <c r="AL548" i="28"/>
  <c r="I327" i="28"/>
  <c r="AK577" i="28"/>
  <c r="B136" i="28"/>
  <c r="I81" i="28"/>
  <c r="E44" i="28"/>
  <c r="AK584" i="28" l="1"/>
  <c r="AK582" i="28"/>
  <c r="AK585" i="28"/>
  <c r="AK583" i="28"/>
  <c r="AK580" i="28"/>
  <c r="AO580" i="28" s="1"/>
  <c r="AK581" i="28"/>
  <c r="AO581" i="28" s="1"/>
  <c r="AK579" i="28"/>
  <c r="AP553" i="28"/>
  <c r="AO562" i="28" s="1"/>
  <c r="AK562" i="28"/>
  <c r="AK563" i="28"/>
  <c r="AP554" i="28"/>
  <c r="AO563" i="28" s="1"/>
  <c r="AP552" i="28"/>
  <c r="AO561" i="28" s="1"/>
  <c r="AK561" i="28"/>
  <c r="AO558" i="28"/>
  <c r="AK558" i="28"/>
  <c r="AP548" i="28"/>
  <c r="AO557" i="28" s="1"/>
  <c r="AK557" i="28"/>
  <c r="AO559" i="28"/>
  <c r="AK559" i="28"/>
  <c r="AO560" i="28"/>
  <c r="AK560" i="28"/>
  <c r="AO584" i="28" l="1"/>
  <c r="AO593" i="28" s="1"/>
  <c r="AK593" i="28"/>
  <c r="AO583" i="28"/>
  <c r="AO585" i="28"/>
  <c r="AO582" i="28"/>
  <c r="AO591" i="28" s="1"/>
  <c r="AO579" i="28"/>
  <c r="J122" i="19" l="1"/>
  <c r="J121" i="19"/>
  <c r="J120" i="19"/>
  <c r="J119" i="19"/>
  <c r="J118" i="19"/>
  <c r="J117" i="19"/>
  <c r="J116" i="19"/>
  <c r="J115" i="19"/>
  <c r="J114" i="19"/>
  <c r="J113" i="19"/>
  <c r="J112" i="19"/>
  <c r="J111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4" i="19"/>
  <c r="J5" i="19"/>
  <c r="J6" i="19"/>
  <c r="J7" i="19"/>
  <c r="J8" i="19"/>
  <c r="J9" i="19"/>
  <c r="J10" i="19"/>
  <c r="J11" i="19"/>
  <c r="J12" i="19"/>
  <c r="J13" i="19"/>
  <c r="J14" i="19"/>
  <c r="J3" i="19"/>
  <c r="L15" i="9" l="1"/>
  <c r="L38" i="9" l="1"/>
  <c r="L55" i="9" s="1"/>
  <c r="D29" i="18"/>
  <c r="D36" i="18" s="1"/>
  <c r="G15" i="9"/>
  <c r="K34" i="11"/>
  <c r="L54" i="9" l="1"/>
  <c r="L63" i="9" s="1"/>
  <c r="F262" i="28" s="1"/>
  <c r="C342" i="28"/>
  <c r="C348" i="28" s="1"/>
  <c r="C349" i="28" s="1"/>
  <c r="Q391" i="28"/>
  <c r="Q405" i="28" s="1"/>
  <c r="F60" i="28"/>
  <c r="K48" i="11"/>
  <c r="F15" i="9"/>
  <c r="F24" i="9" s="1"/>
  <c r="K11" i="11"/>
  <c r="K53" i="11"/>
  <c r="K58" i="11" l="1"/>
  <c r="E295" i="28"/>
  <c r="E296" i="28" s="1"/>
  <c r="Q368" i="28"/>
  <c r="B40" i="28"/>
  <c r="F115" i="28"/>
  <c r="F237" i="28" s="1"/>
  <c r="F76" i="28"/>
  <c r="I60" i="28"/>
  <c r="W364" i="28"/>
  <c r="Q8" i="11"/>
  <c r="X364" i="28" l="1"/>
  <c r="C40" i="28"/>
  <c r="D40" i="28"/>
  <c r="C41" i="28"/>
  <c r="F131" i="28"/>
  <c r="I76" i="28"/>
  <c r="F256" i="28"/>
  <c r="F257" i="28"/>
  <c r="L72" i="9"/>
  <c r="G66" i="9"/>
  <c r="E40" i="28" l="1"/>
  <c r="E41" i="28"/>
  <c r="O72" i="9"/>
  <c r="W391" i="28" l="1"/>
  <c r="O82" i="9"/>
  <c r="W377" i="28" l="1"/>
  <c r="AJ580" i="28" s="1"/>
  <c r="W381" i="28"/>
  <c r="W373" i="28"/>
  <c r="W396" i="28" l="1"/>
  <c r="W401" i="28"/>
  <c r="AJ585" i="28" s="1"/>
  <c r="AI611" i="28"/>
  <c r="AI589" i="28"/>
  <c r="AL580" i="28"/>
  <c r="AN580" i="28"/>
  <c r="AM589" i="28" s="1"/>
  <c r="P35" i="11"/>
  <c r="AJ579" i="28"/>
  <c r="W386" i="28"/>
  <c r="P30" i="11"/>
  <c r="W387" i="28" s="1"/>
  <c r="AJ582" i="28" s="1"/>
  <c r="AL579" i="28" l="1"/>
  <c r="AI610" i="28"/>
  <c r="AN579" i="28"/>
  <c r="AM588" i="28" s="1"/>
  <c r="AI588" i="28"/>
  <c r="AI616" i="28"/>
  <c r="AI594" i="28"/>
  <c r="AL585" i="28"/>
  <c r="AN585" i="28"/>
  <c r="AM594" i="28" s="1"/>
  <c r="W405" i="28"/>
  <c r="AM611" i="28"/>
  <c r="AK611" i="28"/>
  <c r="AO611" i="28" s="1"/>
  <c r="AI613" i="28"/>
  <c r="AK613" i="28" s="1"/>
  <c r="AL582" i="28"/>
  <c r="AK591" i="28" s="1"/>
  <c r="AI591" i="28"/>
  <c r="W392" i="28"/>
  <c r="AJ583" i="28" s="1"/>
  <c r="AP580" i="28"/>
  <c r="AO589" i="28" s="1"/>
  <c r="AK589" i="28"/>
  <c r="P25" i="11"/>
  <c r="P49" i="11" s="1"/>
  <c r="F16" i="18"/>
  <c r="P54" i="11" s="1"/>
  <c r="P59" i="11" l="1"/>
  <c r="W382" i="28"/>
  <c r="AI614" i="28"/>
  <c r="AI592" i="28"/>
  <c r="AL583" i="28"/>
  <c r="AN583" i="28"/>
  <c r="AM592" i="28" s="1"/>
  <c r="AP585" i="28"/>
  <c r="AO594" i="28" s="1"/>
  <c r="AK594" i="28"/>
  <c r="AK610" i="28"/>
  <c r="AO610" i="28" s="1"/>
  <c r="AM610" i="28"/>
  <c r="AM616" i="28"/>
  <c r="AK616" i="28"/>
  <c r="AO616" i="28" s="1"/>
  <c r="AP579" i="28"/>
  <c r="AO588" i="28" s="1"/>
  <c r="AK588" i="28"/>
  <c r="AM614" i="28" l="1"/>
  <c r="AK614" i="28"/>
  <c r="AO614" i="28" s="1"/>
  <c r="AP583" i="28"/>
  <c r="AO592" i="28" s="1"/>
  <c r="AK592" i="28"/>
  <c r="W406" i="28"/>
  <c r="AJ581" i="28"/>
  <c r="AI612" i="28" l="1"/>
  <c r="AL581" i="28"/>
  <c r="AN581" i="28"/>
  <c r="AM590" i="28" s="1"/>
  <c r="AI590" i="28"/>
  <c r="AP581" i="28" l="1"/>
  <c r="AO590" i="28" s="1"/>
  <c r="AK590" i="28"/>
  <c r="AM612" i="28"/>
  <c r="AK612" i="28"/>
  <c r="AO612" i="28" l="1"/>
  <c r="AE18" i="23" l="1"/>
  <c r="AE20" i="23" s="1"/>
  <c r="V32" i="23"/>
  <c r="V33" i="23" s="1"/>
  <c r="AF17" i="23" s="1"/>
  <c r="AF18" i="23" s="1"/>
  <c r="AF20" i="23" s="1"/>
  <c r="B14" i="23" s="1"/>
  <c r="B13" i="23" l="1"/>
  <c r="C13" i="23" l="1"/>
  <c r="D13" i="23" s="1"/>
  <c r="B139" i="23" s="1"/>
  <c r="B15" i="23"/>
  <c r="B140" i="23" l="1"/>
  <c r="F171" i="19"/>
  <c r="K171" i="19" s="1"/>
  <c r="F171" i="29"/>
  <c r="K171" i="29" s="1"/>
  <c r="L171" i="19" l="1"/>
  <c r="M171" i="19" s="1"/>
  <c r="F172" i="19"/>
  <c r="K172" i="19" s="1"/>
  <c r="L172" i="19" s="1"/>
  <c r="M172" i="19" s="1"/>
  <c r="F172" i="29"/>
  <c r="K172" i="29" s="1"/>
  <c r="B141" i="23"/>
  <c r="B142" i="23" l="1"/>
  <c r="F173" i="19"/>
  <c r="K173" i="19" s="1"/>
  <c r="F173" i="29"/>
  <c r="K173" i="29" s="1"/>
  <c r="L173" i="19" l="1"/>
  <c r="M173" i="19" s="1"/>
  <c r="F174" i="19"/>
  <c r="K174" i="19" s="1"/>
  <c r="L174" i="19" s="1"/>
  <c r="M174" i="19" s="1"/>
  <c r="B143" i="23"/>
  <c r="F174" i="29"/>
  <c r="K174" i="29" s="1"/>
  <c r="B144" i="23" l="1"/>
  <c r="F175" i="19"/>
  <c r="K175" i="19" s="1"/>
  <c r="L175" i="19" s="1"/>
  <c r="M175" i="19" s="1"/>
  <c r="F175" i="29"/>
  <c r="K175" i="29" s="1"/>
  <c r="F176" i="19" l="1"/>
  <c r="K176" i="19" s="1"/>
  <c r="L176" i="19" s="1"/>
  <c r="M176" i="19" s="1"/>
  <c r="B145" i="23"/>
  <c r="F176" i="29"/>
  <c r="K176" i="29" s="1"/>
  <c r="B146" i="23" l="1"/>
  <c r="F177" i="19"/>
  <c r="K177" i="19" s="1"/>
  <c r="F177" i="29"/>
  <c r="K177" i="29" s="1"/>
  <c r="L177" i="19" l="1"/>
  <c r="M177" i="19" s="1"/>
  <c r="F178" i="19"/>
  <c r="K178" i="19" s="1"/>
  <c r="L178" i="19" s="1"/>
  <c r="M178" i="19" s="1"/>
  <c r="B147" i="23"/>
  <c r="F178" i="29"/>
  <c r="K178" i="29" s="1"/>
  <c r="B148" i="23" l="1"/>
  <c r="F179" i="19"/>
  <c r="K179" i="19" s="1"/>
  <c r="L179" i="19" s="1"/>
  <c r="M179" i="19" s="1"/>
  <c r="F179" i="29"/>
  <c r="K179" i="29" s="1"/>
  <c r="F180" i="19" l="1"/>
  <c r="K180" i="19" s="1"/>
  <c r="L180" i="19" s="1"/>
  <c r="M180" i="19" s="1"/>
  <c r="F180" i="29"/>
  <c r="K180" i="29" s="1"/>
  <c r="B149" i="23"/>
  <c r="B150" i="23" l="1"/>
  <c r="F181" i="19"/>
  <c r="K181" i="19" s="1"/>
  <c r="L181" i="19" s="1"/>
  <c r="M181" i="19" s="1"/>
  <c r="F181" i="29"/>
  <c r="K181" i="29" s="1"/>
  <c r="D150" i="23" l="1"/>
  <c r="C14" i="23" s="1"/>
  <c r="D14" i="23" s="1"/>
  <c r="B151" i="23" s="1"/>
  <c r="F182" i="19"/>
  <c r="K182" i="19" s="1"/>
  <c r="F182" i="29"/>
  <c r="K182" i="29" s="1"/>
  <c r="K212" i="29" s="1"/>
  <c r="C150" i="23"/>
  <c r="F13" i="23" s="1"/>
  <c r="G13" i="23" s="1"/>
  <c r="B152" i="23" l="1"/>
  <c r="F183" i="19"/>
  <c r="F183" i="29"/>
  <c r="K183" i="29" s="1"/>
  <c r="L182" i="19"/>
  <c r="M182" i="19" s="1"/>
  <c r="M183" i="19" s="1"/>
  <c r="L145" i="28" s="1"/>
  <c r="K212" i="19"/>
  <c r="N212" i="19"/>
  <c r="K215" i="29"/>
  <c r="L215" i="29" s="1"/>
  <c r="L212" i="29"/>
  <c r="M212" i="29" s="1"/>
  <c r="C175" i="28" l="1"/>
  <c r="D175" i="28" s="1"/>
  <c r="L212" i="19"/>
  <c r="M212" i="19" s="1"/>
  <c r="K215" i="19"/>
  <c r="L215" i="19" s="1"/>
  <c r="C20" i="9"/>
  <c r="D20" i="9" s="1"/>
  <c r="E20" i="9" s="1"/>
  <c r="P5" i="11"/>
  <c r="K183" i="19"/>
  <c r="F222" i="19"/>
  <c r="B153" i="23"/>
  <c r="F184" i="29"/>
  <c r="K184" i="29" s="1"/>
  <c r="F184" i="19"/>
  <c r="O212" i="19"/>
  <c r="E175" i="28"/>
  <c r="F236" i="19" l="1"/>
  <c r="K236" i="19" s="1"/>
  <c r="K222" i="19"/>
  <c r="K184" i="19"/>
  <c r="F223" i="19"/>
  <c r="W361" i="28"/>
  <c r="W366" i="28" s="1"/>
  <c r="W368" i="28" s="1"/>
  <c r="P6" i="11"/>
  <c r="F175" i="28"/>
  <c r="B154" i="23"/>
  <c r="F185" i="19"/>
  <c r="F185" i="29"/>
  <c r="K185" i="29" s="1"/>
  <c r="D82" i="28" l="1"/>
  <c r="D137" i="28" s="1"/>
  <c r="H82" i="28"/>
  <c r="H137" i="28" s="1"/>
  <c r="D45" i="28"/>
  <c r="E45" i="28" s="1"/>
  <c r="B82" i="28"/>
  <c r="F82" i="28"/>
  <c r="F137" i="28" s="1"/>
  <c r="G328" i="28"/>
  <c r="G82" i="28"/>
  <c r="G137" i="28" s="1"/>
  <c r="F328" i="28"/>
  <c r="C82" i="28"/>
  <c r="C137" i="28" s="1"/>
  <c r="G175" i="28"/>
  <c r="H328" i="28"/>
  <c r="E82" i="28"/>
  <c r="F237" i="19"/>
  <c r="K237" i="19" s="1"/>
  <c r="K223" i="19"/>
  <c r="K185" i="19"/>
  <c r="F224" i="19"/>
  <c r="B155" i="23"/>
  <c r="F186" i="19"/>
  <c r="F186" i="29"/>
  <c r="K186" i="29" s="1"/>
  <c r="I328" i="28" l="1"/>
  <c r="K224" i="19"/>
  <c r="F238" i="19"/>
  <c r="K238" i="19" s="1"/>
  <c r="B137" i="28"/>
  <c r="I82" i="28"/>
  <c r="K186" i="19"/>
  <c r="F225" i="19"/>
  <c r="B156" i="23"/>
  <c r="F187" i="19"/>
  <c r="F187" i="29"/>
  <c r="K187" i="29" s="1"/>
  <c r="K187" i="19" l="1"/>
  <c r="F226" i="19"/>
  <c r="F188" i="19"/>
  <c r="B157" i="23"/>
  <c r="F188" i="29"/>
  <c r="K188" i="29" s="1"/>
  <c r="F239" i="19"/>
  <c r="K239" i="19" s="1"/>
  <c r="K225" i="19"/>
  <c r="B158" i="23" l="1"/>
  <c r="F189" i="19"/>
  <c r="F189" i="29"/>
  <c r="K189" i="29" s="1"/>
  <c r="K188" i="19"/>
  <c r="F227" i="19"/>
  <c r="K226" i="19"/>
  <c r="F240" i="19"/>
  <c r="K240" i="19" s="1"/>
  <c r="F228" i="19" l="1"/>
  <c r="K189" i="19"/>
  <c r="F241" i="19"/>
  <c r="K241" i="19" s="1"/>
  <c r="K227" i="19"/>
  <c r="B159" i="23"/>
  <c r="F190" i="19"/>
  <c r="F190" i="29"/>
  <c r="K190" i="29" s="1"/>
  <c r="K190" i="19" l="1"/>
  <c r="F229" i="19"/>
  <c r="B160" i="23"/>
  <c r="F191" i="19"/>
  <c r="F191" i="29"/>
  <c r="K191" i="29" s="1"/>
  <c r="K228" i="19"/>
  <c r="F242" i="19"/>
  <c r="K242" i="19" s="1"/>
  <c r="K229" i="19" l="1"/>
  <c r="F243" i="19"/>
  <c r="K243" i="19" s="1"/>
  <c r="K191" i="19"/>
  <c r="F230" i="19"/>
  <c r="F192" i="19"/>
  <c r="F192" i="29"/>
  <c r="K192" i="29" s="1"/>
  <c r="B161" i="23"/>
  <c r="K192" i="19" l="1"/>
  <c r="F231" i="19"/>
  <c r="F244" i="19"/>
  <c r="K244" i="19" s="1"/>
  <c r="K230" i="19"/>
  <c r="B162" i="23"/>
  <c r="F193" i="19"/>
  <c r="F193" i="29"/>
  <c r="K193" i="29" s="1"/>
  <c r="F232" i="19" l="1"/>
  <c r="K193" i="19"/>
  <c r="K231" i="19"/>
  <c r="F245" i="19"/>
  <c r="K245" i="19" s="1"/>
  <c r="D162" i="23"/>
  <c r="F194" i="19"/>
  <c r="F194" i="29"/>
  <c r="K194" i="29" s="1"/>
  <c r="B163" i="23"/>
  <c r="C162" i="23"/>
  <c r="F14" i="23" s="1"/>
  <c r="G14" i="23" s="1"/>
  <c r="K194" i="19" l="1"/>
  <c r="F233" i="19"/>
  <c r="F246" i="19"/>
  <c r="K246" i="19" s="1"/>
  <c r="K232" i="19"/>
  <c r="K196" i="29"/>
  <c r="K213" i="29"/>
  <c r="N213" i="19" l="1"/>
  <c r="K217" i="29"/>
  <c r="L217" i="29" s="1"/>
  <c r="F247" i="19"/>
  <c r="K247" i="19" s="1"/>
  <c r="L247" i="19" s="1"/>
  <c r="C178" i="28" s="1"/>
  <c r="K233" i="19"/>
  <c r="L233" i="19" s="1"/>
  <c r="C177" i="28" s="1"/>
  <c r="K196" i="19"/>
  <c r="O213" i="19" l="1"/>
  <c r="E176" i="28"/>
  <c r="C176" i="28"/>
  <c r="Q5" i="11"/>
  <c r="C21" i="9"/>
  <c r="G21" i="9" s="1"/>
  <c r="G69" i="9" s="1"/>
  <c r="G72" i="9" s="1"/>
  <c r="K217" i="19"/>
  <c r="L217" i="19" s="1"/>
  <c r="J75" i="9" l="1"/>
  <c r="N75" i="9"/>
  <c r="H75" i="9"/>
  <c r="L75" i="9"/>
  <c r="I75" i="9"/>
  <c r="M75" i="9"/>
  <c r="K75" i="9"/>
  <c r="X361" i="28"/>
  <c r="X366" i="28" s="1"/>
  <c r="X368" i="28" s="1"/>
  <c r="Q9" i="11"/>
  <c r="F176" i="28"/>
  <c r="G304" i="28" l="1"/>
  <c r="G308" i="28" s="1"/>
  <c r="M69" i="9"/>
  <c r="Q39" i="11" s="1"/>
  <c r="H304" i="28"/>
  <c r="H308" i="28" s="1"/>
  <c r="N69" i="9"/>
  <c r="Q44" i="11" s="1"/>
  <c r="C304" i="28"/>
  <c r="C308" i="28" s="1"/>
  <c r="I69" i="9"/>
  <c r="Q20" i="11" s="1"/>
  <c r="D304" i="28"/>
  <c r="D308" i="28" s="1"/>
  <c r="J69" i="9"/>
  <c r="L69" i="9"/>
  <c r="F304" i="28"/>
  <c r="F308" i="28" s="1"/>
  <c r="E304" i="28"/>
  <c r="E308" i="28" s="1"/>
  <c r="K69" i="9"/>
  <c r="H69" i="9"/>
  <c r="B304" i="28"/>
  <c r="O75" i="9"/>
  <c r="I304" i="28" l="1"/>
  <c r="B308" i="28"/>
  <c r="I308" i="28" s="1"/>
  <c r="X377" i="28"/>
  <c r="AJ611" i="28" s="1"/>
  <c r="C83" i="28"/>
  <c r="C138" i="28" s="1"/>
  <c r="X396" i="28"/>
  <c r="G83" i="28"/>
  <c r="G138" i="28" s="1"/>
  <c r="O69" i="9"/>
  <c r="Q16" i="11"/>
  <c r="D17" i="18"/>
  <c r="Q34" i="11"/>
  <c r="C17" i="18"/>
  <c r="Q30" i="11" s="1"/>
  <c r="X387" i="28" s="1"/>
  <c r="AJ613" i="28" s="1"/>
  <c r="Q29" i="11"/>
  <c r="B17" i="18"/>
  <c r="Q24" i="11"/>
  <c r="H83" i="28"/>
  <c r="H138" i="28" s="1"/>
  <c r="X401" i="28"/>
  <c r="AJ616" i="28" s="1"/>
  <c r="D83" i="28" l="1"/>
  <c r="D138" i="28" s="1"/>
  <c r="X381" i="28"/>
  <c r="X391" i="28"/>
  <c r="F83" i="28"/>
  <c r="F138" i="28" s="1"/>
  <c r="Q25" i="11"/>
  <c r="B354" i="28"/>
  <c r="F17" i="18"/>
  <c r="Q54" i="11" s="1"/>
  <c r="C354" i="28"/>
  <c r="Q35" i="11"/>
  <c r="X392" i="28" s="1"/>
  <c r="AJ614" i="28" s="1"/>
  <c r="AN616" i="28"/>
  <c r="AM625" i="28" s="1"/>
  <c r="AI625" i="28"/>
  <c r="AL616" i="28"/>
  <c r="X386" i="28"/>
  <c r="E83" i="28"/>
  <c r="B83" i="28"/>
  <c r="X373" i="28"/>
  <c r="Q48" i="11"/>
  <c r="AI622" i="28"/>
  <c r="AL613" i="28"/>
  <c r="AK622" i="28" s="1"/>
  <c r="P69" i="9"/>
  <c r="S69" i="9" s="1"/>
  <c r="T69" i="9" s="1"/>
  <c r="Q11" i="11"/>
  <c r="D46" i="28" s="1"/>
  <c r="E46" i="28" s="1"/>
  <c r="Q53" i="11"/>
  <c r="AN611" i="28"/>
  <c r="AM620" i="28" s="1"/>
  <c r="AI620" i="28"/>
  <c r="AL611" i="28"/>
  <c r="E354" i="28" l="1"/>
  <c r="AK620" i="28"/>
  <c r="AP611" i="28"/>
  <c r="AO620" i="28" s="1"/>
  <c r="Q58" i="11"/>
  <c r="AN614" i="28"/>
  <c r="AM623" i="28" s="1"/>
  <c r="AI623" i="28"/>
  <c r="AL614" i="28"/>
  <c r="Q49" i="11"/>
  <c r="Q59" i="11" s="1"/>
  <c r="X382" i="28"/>
  <c r="X405" i="28"/>
  <c r="AJ610" i="28"/>
  <c r="AP616" i="28"/>
  <c r="AO625" i="28" s="1"/>
  <c r="AK625" i="28"/>
  <c r="B138" i="28"/>
  <c r="I83" i="28"/>
  <c r="AN610" i="28" l="1"/>
  <c r="AM619" i="28" s="1"/>
  <c r="AI619" i="28"/>
  <c r="AL610" i="28"/>
  <c r="AK623" i="28"/>
  <c r="AP614" i="28"/>
  <c r="AO623" i="28" s="1"/>
  <c r="AJ612" i="28"/>
  <c r="X406" i="28"/>
  <c r="AN612" i="28" l="1"/>
  <c r="AM621" i="28" s="1"/>
  <c r="AI621" i="28"/>
  <c r="AL612" i="28"/>
  <c r="AP610" i="28"/>
  <c r="AO619" i="28" s="1"/>
  <c r="AK619" i="28"/>
  <c r="AK621" i="28" l="1"/>
  <c r="AP612" i="28"/>
  <c r="AO621" i="28" s="1"/>
</calcChain>
</file>

<file path=xl/comments1.xml><?xml version="1.0" encoding="utf-8"?>
<comments xmlns="http://schemas.openxmlformats.org/spreadsheetml/2006/main">
  <authors>
    <author>Bruce Bacon</author>
  </authors>
  <commentList>
    <comment ref="K213" authorId="0">
      <text>
        <r>
          <rPr>
            <b/>
            <sz val="9"/>
            <color indexed="81"/>
            <rFont val="Tahoma"/>
          </rPr>
          <t>Bruce Bacon:</t>
        </r>
        <r>
          <rPr>
            <sz val="9"/>
            <color indexed="81"/>
            <rFont val="Tahoma"/>
          </rPr>
          <t xml:space="preserve">
Reflects Settlement 
350.5 GWH billed plus 2.175 GWH for CDM all times loss factor of 1.041</t>
        </r>
      </text>
    </comment>
    <comment ref="L217" authorId="0">
      <text>
        <r>
          <rPr>
            <b/>
            <sz val="9"/>
            <color indexed="81"/>
            <rFont val="Tahoma"/>
          </rPr>
          <t>Bruce Bacon:</t>
        </r>
        <r>
          <rPr>
            <sz val="9"/>
            <color indexed="81"/>
            <rFont val="Tahoma"/>
          </rPr>
          <t xml:space="preserve">
This is okay since the 2017 is a hard coded number based on settlement.</t>
        </r>
      </text>
    </comment>
  </commentList>
</comments>
</file>

<file path=xl/comments2.xml><?xml version="1.0" encoding="utf-8"?>
<comments xmlns="http://schemas.openxmlformats.org/spreadsheetml/2006/main">
  <authors>
    <author>Bruce Bacon</author>
  </authors>
  <commentList>
    <comment ref="L80" authorId="0">
      <text>
        <r>
          <rPr>
            <b/>
            <sz val="9"/>
            <color indexed="81"/>
            <rFont val="Tahoma"/>
            <family val="2"/>
          </rPr>
          <t>Bruce Bacon:</t>
        </r>
        <r>
          <rPr>
            <sz val="9"/>
            <color indexed="81"/>
            <rFont val="Tahoma"/>
            <family val="2"/>
          </rPr>
          <t xml:space="preserve">
Above usage per connection reflects savings
</t>
        </r>
      </text>
    </comment>
  </commentList>
</comments>
</file>

<file path=xl/sharedStrings.xml><?xml version="1.0" encoding="utf-8"?>
<sst xmlns="http://schemas.openxmlformats.org/spreadsheetml/2006/main" count="896" uniqueCount="289">
  <si>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</si>
  <si>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</si>
  <si>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</si>
  <si>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</si>
  <si>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</si>
  <si>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</si>
  <si>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</si>
  <si>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</si>
  <si>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</si>
  <si>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</si>
  <si>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</si>
  <si>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</si>
  <si>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</si>
  <si>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</si>
  <si>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</si>
  <si>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</si>
  <si>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</si>
  <si>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</si>
  <si>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</si>
  <si>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</si>
  <si>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</si>
  <si>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</si>
  <si>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</si>
  <si>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</si>
  <si>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</si>
  <si>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</si>
  <si>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</si>
  <si>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</si>
  <si>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</si>
  <si>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</si>
  <si>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</si>
  <si>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</si>
  <si>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</si>
  <si>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</si>
  <si>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</si>
  <si>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</si>
  <si>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</si>
  <si>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</si>
  <si>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</si>
  <si>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</si>
  <si>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</si>
  <si>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</si>
  <si>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</si>
  <si>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</si>
  <si>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</si>
  <si>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</si>
  <si>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</si>
  <si>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</si>
  <si>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</si>
  <si>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</si>
  <si>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</si>
  <si>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</si>
  <si>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</si>
  <si>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</si>
  <si>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</si>
  <si>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</si>
  <si>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</si>
  <si>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</si>
  <si>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</si>
  <si>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</si>
  <si>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</si>
  <si>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</si>
  <si>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</si>
  <si>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</si>
  <si>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</si>
  <si>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</si>
  <si>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</si>
  <si>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</si>
  <si>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</si>
  <si>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</si>
  <si>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</si>
  <si>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</si>
  <si>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</si>
  <si>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</si>
  <si>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 xml:space="preserve">2010 Actual </t>
  </si>
  <si>
    <t>CDM Activity</t>
  </si>
  <si>
    <t xml:space="preserve">2011 Actual </t>
  </si>
  <si>
    <t>Number of Peak Hours</t>
  </si>
  <si>
    <t>Increase over previous year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</si>
  <si>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</si>
  <si>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</si>
  <si>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</si>
  <si>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</si>
  <si>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</si>
  <si>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</si>
  <si>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</si>
  <si>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</si>
  <si>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</si>
  <si>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</si>
  <si>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</si>
  <si>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</si>
  <si>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</si>
  <si>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</si>
  <si>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</si>
  <si>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Sentinel Lights</t>
  </si>
  <si>
    <t>Year</t>
  </si>
  <si>
    <t>Month</t>
  </si>
  <si>
    <t>Heat Deg Days</t>
  </si>
  <si>
    <t>Cool Deg Days</t>
  </si>
  <si>
    <t>Welland</t>
  </si>
  <si>
    <t>Not Used</t>
  </si>
  <si>
    <t>CDM</t>
  </si>
  <si>
    <t>4th Quarter 2011 OPA results</t>
  </si>
  <si>
    <t>ERIP included in 4th Quarter Report</t>
  </si>
  <si>
    <t>HPNC included in 4th Quarter Report</t>
  </si>
  <si>
    <t>ERIP 1</t>
  </si>
  <si>
    <t>ERIP 2</t>
  </si>
  <si>
    <t>ERIP 3</t>
  </si>
  <si>
    <t>ERIP 4</t>
  </si>
  <si>
    <t>ERIP 5</t>
  </si>
  <si>
    <t>ERIP 6</t>
  </si>
  <si>
    <t>HPNC 1</t>
  </si>
  <si>
    <t>HPNC 2</t>
  </si>
  <si>
    <t>Growth 
(GWh)</t>
  </si>
  <si>
    <t>Customer/
Connection
Count</t>
  </si>
  <si>
    <t xml:space="preserve">Growth </t>
  </si>
  <si>
    <t>Billed Energy (GWh) and Customer Count / Connections</t>
  </si>
  <si>
    <t>Number of Customers/Connections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</si>
  <si>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</si>
  <si>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</si>
  <si>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</si>
  <si>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</si>
  <si>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</si>
  <si>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</si>
  <si>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Geometric Mean</t>
  </si>
  <si>
    <t>Forecast Number of Customers/Connections</t>
  </si>
  <si>
    <t xml:space="preserve">Annual kWh Usage Per Customer/Connection </t>
  </si>
  <si>
    <t>Growth Rate in Customer/Connection</t>
  </si>
  <si>
    <t>NON-normalized Weather Billed Energy Forecast (GWh)</t>
  </si>
  <si>
    <t>Weather Sensitivity</t>
  </si>
  <si>
    <t>2011 Programs</t>
  </si>
  <si>
    <t>2012 Programs</t>
  </si>
  <si>
    <t>2013 Programs</t>
  </si>
  <si>
    <t>2014 Programs</t>
  </si>
  <si>
    <t>kWh</t>
  </si>
  <si>
    <t>Non-normalized Weather Billed Energy Forecast (GWh)</t>
  </si>
  <si>
    <t>Weather Adjustment (GWh)</t>
  </si>
  <si>
    <t>CDM Adjustment (GWh)</t>
  </si>
  <si>
    <t>Weather Normalized Billed Energy Forecast (GWh)</t>
  </si>
  <si>
    <t>Billed Annual kW</t>
  </si>
  <si>
    <t>Ratio of kW to kWh</t>
  </si>
  <si>
    <t>Predicted Billed kW</t>
  </si>
  <si>
    <t>2011 
Actual</t>
  </si>
  <si>
    <t>Residential</t>
  </si>
  <si>
    <t>Table 3-5: Statistcial Results</t>
  </si>
  <si>
    <t>20 Year Trend</t>
  </si>
  <si>
    <t>Table 3-7: Historical Customer/Connection Data</t>
  </si>
  <si>
    <t>Table 3-8: Growth Rate in Customer/Connections</t>
  </si>
  <si>
    <t>Table 3-9: Customer/Connection Forecast</t>
  </si>
  <si>
    <t>Table 3-10: Historical Annual Usage per Customer</t>
  </si>
  <si>
    <t>Table 3-11: Growth Rate in Usage Per Customer/Connection</t>
  </si>
  <si>
    <t>Table 3-14: Weather Sensitivity by Rate Class</t>
  </si>
  <si>
    <t>Table 3-19: Historical Annual kW per Applicable Rate Class</t>
  </si>
  <si>
    <t>Table 3-20: Historical kW/KWh Ratio per Applicable Rate Class</t>
  </si>
  <si>
    <t>Table 3-21: kW Forecast by Applicable Rate Class</t>
  </si>
  <si>
    <t>Table 3-22: Summary of Forecast</t>
  </si>
  <si>
    <t>2006 Programs</t>
  </si>
  <si>
    <t>2007 Programs</t>
  </si>
  <si>
    <t>2008 Programs</t>
  </si>
  <si>
    <t>2009 Programs</t>
  </si>
  <si>
    <t>2010 Programs</t>
  </si>
  <si>
    <t>2015 Programs</t>
  </si>
  <si>
    <t>Half Year Adjustment in 1st Year of Program</t>
  </si>
  <si>
    <t>Total with Adjustment</t>
  </si>
  <si>
    <t>Total OPA/IESO Annual CDM Results (Net) with Half Year Rule Adj</t>
  </si>
  <si>
    <t>Total to 2015</t>
  </si>
  <si>
    <t>Welland Hydro Weather Normal Load Forecast for 2017 Rate Application</t>
  </si>
  <si>
    <t xml:space="preserve">2012 Actual </t>
  </si>
  <si>
    <t xml:space="preserve">2013 Actual </t>
  </si>
  <si>
    <t xml:space="preserve">2014 Actual </t>
  </si>
  <si>
    <t xml:space="preserve">2015 Actual </t>
  </si>
  <si>
    <t>2017 Weather Normal</t>
  </si>
  <si>
    <t>% Allocation</t>
  </si>
  <si>
    <t xml:space="preserve">10 Year Average </t>
  </si>
  <si>
    <t>10 Year Average</t>
  </si>
  <si>
    <t xml:space="preserve">20 Year Trend </t>
  </si>
  <si>
    <t>CDM Purchase Adjustment</t>
  </si>
  <si>
    <t>Predicted kWh Purchases after CDM</t>
  </si>
  <si>
    <t>Table 3-1: Summary of Operating Revenue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</si>
  <si>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</si>
  <si>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</si>
  <si>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</si>
  <si>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</si>
  <si>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</si>
  <si>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</si>
  <si>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</si>
  <si>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</si>
  <si>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Street Lights</t>
  </si>
  <si>
    <t>Other Distribution Revenue</t>
  </si>
  <si>
    <t>SSS Administration Revenue</t>
  </si>
  <si>
    <t>Rent from Electric Property</t>
  </si>
  <si>
    <t>Late Payment Charges</t>
  </si>
  <si>
    <t>Specific Service Charges</t>
  </si>
  <si>
    <t xml:space="preserve">Merchandise &amp; Jobbing </t>
  </si>
  <si>
    <t>Other Distribution Rev.</t>
  </si>
  <si>
    <t>Other Income &amp; Exp.</t>
  </si>
  <si>
    <t>Grand Total</t>
  </si>
  <si>
    <t>Table 3-2: Summary of Load and Customer/Connection Forecast</t>
  </si>
  <si>
    <t>Billed 
Actual
(GWh)</t>
  </si>
  <si>
    <t>Billed 
Weather 
Normal
(GWh)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</si>
  <si>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</si>
  <si>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</si>
  <si>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</si>
  <si>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</si>
  <si>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</si>
  <si>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</si>
  <si>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</si>
  <si>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 xml:space="preserve">MAPE (Monthly) </t>
  </si>
  <si>
    <t>Constant</t>
  </si>
  <si>
    <t>Table 3-6: Total System Purchases Excluding Large Use</t>
  </si>
  <si>
    <t>Predicted 
Weather 
Normal</t>
  </si>
  <si>
    <t>Weather 
Normal Conversion 
Factor</t>
  </si>
  <si>
    <t>Actual 
Weather 
Normal</t>
  </si>
  <si>
    <t>2017 WN - 10 year average</t>
  </si>
  <si>
    <t>2017 WN - 20 year trend</t>
  </si>
  <si>
    <t>Table 3-13: Non-normalized Weather Billed Energy Forecast</t>
  </si>
  <si>
    <t>2016 Programs</t>
  </si>
  <si>
    <t>2017 Programs</t>
  </si>
  <si>
    <t>Total Applicaable to Target</t>
  </si>
  <si>
    <t>Total Including Persistence</t>
  </si>
  <si>
    <t>2017 Test - kWh</t>
  </si>
  <si>
    <t>2017 Test - kW Annual</t>
  </si>
  <si>
    <t>2017 Test - kW Monthly</t>
  </si>
  <si>
    <t>Actual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</si>
  <si>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</si>
  <si>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</si>
  <si>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</si>
  <si>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</si>
  <si>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</si>
  <si>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</si>
  <si>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</si>
  <si>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</si>
  <si>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</si>
  <si>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</si>
  <si>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</si>
  <si>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</si>
  <si>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</si>
  <si>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Throughput Revenue</t>
  </si>
  <si>
    <t>2012 Actual</t>
  </si>
  <si>
    <t>Difference $</t>
  </si>
  <si>
    <t>Difference %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</si>
  <si>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</si>
  <si>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</si>
  <si>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</si>
  <si>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</si>
  <si>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</si>
  <si>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</si>
  <si>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</si>
  <si>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</t>
  </si>
  <si>
    <t>Variance</t>
  </si>
  <si>
    <t>Tabe 3-1 Starts in Column K</t>
  </si>
  <si>
    <t>2013 Board Approved</t>
  </si>
  <si>
    <t>Weather Noraml Factor</t>
  </si>
  <si>
    <t xml:space="preserve">Street Lights </t>
  </si>
  <si>
    <t xml:space="preserve">Unmetered Scattered Loads </t>
  </si>
  <si>
    <t>% Variance</t>
  </si>
  <si>
    <t>Table 3-15: 2016 &amp; 2017 Expected Full Year Total kWh Savings</t>
  </si>
  <si>
    <t>Allocation %</t>
  </si>
  <si>
    <t>Table 3-16: Manual CDM Adjsutment by Rate Class (kWh)</t>
  </si>
  <si>
    <t>Table 3-17: 2017 Expected CDM Savings by Rate Class for LRAM Variance Account</t>
  </si>
  <si>
    <t xml:space="preserve">Table 3-18: Alignment of Non-normal to Weather Normal Forecast </t>
  </si>
  <si>
    <t>General Service 
&lt; 50 kW</t>
  </si>
  <si>
    <t>General Service 
50 to 
4,999 kW</t>
  </si>
  <si>
    <t>General Service &lt; 50 kW</t>
  </si>
  <si>
    <t>General Service 50 to 4,999 kW</t>
  </si>
  <si>
    <t>2013
Board Approved</t>
  </si>
  <si>
    <t>2011 Actual</t>
  </si>
  <si>
    <t>Table 3-23: Comparison 2011 Actual to 2012 Actual</t>
  </si>
  <si>
    <t>Table 3-24:Comparison 2011 Actual to 2012 Actual</t>
  </si>
  <si>
    <t>Table 3-25: Comparison 2012 Actual to 2013 Actual</t>
  </si>
  <si>
    <t>Table 3-26: Comparison 2012 Actual to 2013 Actual</t>
  </si>
  <si>
    <t>Table 3-27: Comparison 2013 Board Approved to 2013 Actual</t>
  </si>
  <si>
    <t>Table 3-28: Comparison 2013 Board Approved to 2013 Actual</t>
  </si>
  <si>
    <t>2014 Actual</t>
  </si>
  <si>
    <t>Table 3-29: Comparison 2013 Actual  to 2014 Actual</t>
  </si>
  <si>
    <t>Table 3-30: Comparison 2013 Actual  to 2014 Actual</t>
  </si>
  <si>
    <t>Table 3-31: Comparison 2014 Actual to 2015 Actual</t>
  </si>
  <si>
    <t>Table 3-32: Comparison 2014 Actual to 2015 Actual</t>
  </si>
  <si>
    <t>Table 3-33: Comparison 2015 Actual to 2016 Bridge</t>
  </si>
  <si>
    <t>Table 3-34: Comparison 2015 Actual to 2016 Bridge</t>
  </si>
  <si>
    <t>Table 3-35: Comparison 2016 Bridge to 2017 Test</t>
  </si>
  <si>
    <t>Table 3-36: Comparison 2016 Bridge to 2017 Test</t>
  </si>
  <si>
    <t xml:space="preserve">2016 Actual </t>
  </si>
  <si>
    <t>2nd Year Persistence by Year</t>
  </si>
  <si>
    <t>3rd Year Persistence by Year</t>
  </si>
  <si>
    <t>Table 3-12: Annual kWh Usage per Customer/Connection</t>
  </si>
  <si>
    <t xml:space="preserve"> Annual kWh Usage per Customers/Connection</t>
  </si>
  <si>
    <t>2017 Test - Forecast</t>
  </si>
  <si>
    <t>Average 2002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</si>
</sst>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.0_);_(* \(#,##0.0\);_(* &quot;-&quot;??_);_(@_)"/>
    <numFmt numFmtId="173" formatCode="_(* #,##0_);_(* \(#,##0\);_(* &quot;-&quot;??_);_(@_)"/>
    <numFmt numFmtId="174" formatCode="0.0"/>
    <numFmt numFmtId="175" formatCode="_-* #,##0_-;\-* #,##0_-;_-* &quot;-&quot;??_-;_-@_-"/>
    <numFmt numFmtId="176" formatCode="0.0%;\(0.0%\)"/>
    <numFmt numFmtId="177" formatCode="mmmm\ yyyy"/>
    <numFmt numFmtId="178" formatCode="#,##0.0;\(#,##0.0\)"/>
    <numFmt numFmtId="179" formatCode="0.0;\(0.0\)"/>
    <numFmt numFmtId="180" formatCode="0.0000%;\(0.0%\)"/>
    <numFmt numFmtId="181" formatCode="0;\(0\)"/>
    <numFmt numFmtId="182" formatCode="#,##0.0;\-#,##0.0"/>
    <numFmt numFmtId="183" formatCode="0,000;\(0,000\)"/>
    <numFmt numFmtId="184" formatCode="&quot;$&quot;#,##0"/>
    <numFmt numFmtId="185" formatCode="&quot;$&quot;#,##0;&quot;$&quot;\-#,##0"/>
    <numFmt numFmtId="186" formatCode="#,##0.00000"/>
    <numFmt numFmtId="187" formatCode="#,000;\(#,000\)"/>
    <numFmt numFmtId="188" formatCode="mm/dd/yyyy"/>
    <numFmt numFmtId="189" formatCode="0\-0"/>
    <numFmt numFmtId="190" formatCode="_(&quot;$&quot;* #,##0.00_);_(&quot;$&quot;* \(#,##0.00\);_(&quot;$&quot;* &quot;-&quot;??_);_(@_)"/>
    <numFmt numFmtId="191" formatCode="##\-#"/>
    <numFmt numFmtId="192" formatCode="&quot;£ &quot;#,##0.00;[Red]\-&quot;£ &quot;#,##0.00"/>
    <numFmt numFmtId="193" formatCode="#,##0.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3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2" fontId="2" fillId="0" borderId="0"/>
    <xf numFmtId="171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88" fontId="2" fillId="0" borderId="0"/>
    <xf numFmtId="189" fontId="2" fillId="0" borderId="0"/>
    <xf numFmtId="188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19" fillId="6" borderId="0" applyNumberFormat="0" applyBorder="0" applyAlignment="0" applyProtection="0"/>
    <xf numFmtId="0" fontId="23" fillId="9" borderId="16" applyNumberFormat="0" applyAlignment="0" applyProtection="0"/>
    <xf numFmtId="0" fontId="25" fillId="10" borderId="19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5" borderId="0" applyNumberFormat="0" applyBorder="0" applyAlignment="0" applyProtection="0"/>
    <xf numFmtId="38" fontId="8" fillId="36" borderId="0" applyNumberFormat="0" applyBorder="0" applyAlignment="0" applyProtection="0"/>
    <xf numFmtId="38" fontId="8" fillId="3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10" fontId="8" fillId="37" borderId="1" applyNumberFormat="0" applyBorder="0" applyAlignment="0" applyProtection="0"/>
    <xf numFmtId="10" fontId="8" fillId="37" borderId="1" applyNumberFormat="0" applyBorder="0" applyAlignment="0" applyProtection="0"/>
    <xf numFmtId="0" fontId="21" fillId="8" borderId="16" applyNumberFormat="0" applyAlignment="0" applyProtection="0"/>
    <xf numFmtId="0" fontId="24" fillId="0" borderId="18" applyNumberFormat="0" applyFill="0" applyAlignment="0" applyProtection="0"/>
    <xf numFmtId="191" fontId="2" fillId="0" borderId="0"/>
    <xf numFmtId="173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20" fillId="7" borderId="0" applyNumberFormat="0" applyBorder="0" applyAlignment="0" applyProtection="0"/>
    <xf numFmtId="19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11" borderId="20" applyNumberFormat="0" applyFont="0" applyAlignment="0" applyProtection="0"/>
    <xf numFmtId="0" fontId="22" fillId="9" borderId="17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Border="0" applyAlignment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29">
      <alignment horizontal="center" vertical="center"/>
    </xf>
    <xf numFmtId="0" fontId="14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7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5" fontId="2" fillId="0" borderId="0" xfId="4" applyNumberFormat="1"/>
    <xf numFmtId="175" fontId="0" fillId="0" borderId="0" xfId="0" applyNumberFormat="1"/>
    <xf numFmtId="3" fontId="2" fillId="0" borderId="0" xfId="0" applyNumberFormat="1" applyFont="1" applyFill="1" applyAlignment="1">
      <alignment horizontal="center"/>
    </xf>
    <xf numFmtId="172" fontId="9" fillId="0" borderId="1" xfId="1" applyNumberFormat="1" applyFont="1" applyBorder="1"/>
    <xf numFmtId="0" fontId="9" fillId="0" borderId="0" xfId="10"/>
    <xf numFmtId="0" fontId="5" fillId="4" borderId="1" xfId="10" applyFont="1" applyFill="1" applyBorder="1" applyAlignment="1">
      <alignment horizontal="center"/>
    </xf>
    <xf numFmtId="172" fontId="5" fillId="4" borderId="1" xfId="1" applyNumberFormat="1" applyFont="1" applyFill="1" applyBorder="1" applyAlignment="1">
      <alignment horizontal="center"/>
    </xf>
    <xf numFmtId="177" fontId="9" fillId="0" borderId="1" xfId="10" applyNumberFormat="1" applyBorder="1"/>
    <xf numFmtId="0" fontId="10" fillId="0" borderId="0" xfId="10" applyFont="1" applyAlignment="1">
      <alignment horizontal="center"/>
    </xf>
    <xf numFmtId="0" fontId="9" fillId="0" borderId="0" xfId="10" applyFont="1" applyAlignment="1"/>
    <xf numFmtId="164" fontId="11" fillId="0" borderId="0" xfId="10" applyNumberFormat="1" applyFont="1"/>
    <xf numFmtId="172" fontId="9" fillId="0" borderId="0" xfId="1" applyNumberFormat="1" applyFont="1"/>
    <xf numFmtId="172" fontId="9" fillId="0" borderId="1" xfId="1" applyNumberFormat="1" applyFont="1" applyFill="1" applyBorder="1"/>
    <xf numFmtId="0" fontId="9" fillId="0" borderId="0" xfId="10" applyBorder="1"/>
    <xf numFmtId="0" fontId="9" fillId="0" borderId="0" xfId="10" applyFont="1"/>
    <xf numFmtId="169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0" xfId="13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3" fontId="2" fillId="0" borderId="0" xfId="0" applyNumberFormat="1" applyFont="1" applyAlignment="1">
      <alignment horizontal="center"/>
    </xf>
    <xf numFmtId="9" fontId="2" fillId="0" borderId="0" xfId="13" applyFont="1" applyAlignment="1">
      <alignment horizontal="center"/>
    </xf>
    <xf numFmtId="173" fontId="0" fillId="0" borderId="0" xfId="1" applyNumberFormat="1" applyFont="1" applyFill="1" applyBorder="1" applyAlignment="1"/>
    <xf numFmtId="173" fontId="0" fillId="0" borderId="2" xfId="1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2" fontId="9" fillId="0" borderId="0" xfId="10" applyNumberFormat="1"/>
    <xf numFmtId="172" fontId="9" fillId="0" borderId="0" xfId="1" applyNumberFormat="1" applyFont="1" applyFill="1" applyBorder="1"/>
    <xf numFmtId="0" fontId="13" fillId="2" borderId="0" xfId="0" applyFont="1" applyFill="1"/>
    <xf numFmtId="4" fontId="8" fillId="2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/>
    <xf numFmtId="3" fontId="3" fillId="0" borderId="0" xfId="1" applyNumberFormat="1" applyFont="1" applyFill="1" applyAlignment="1">
      <alignment horizontal="center"/>
    </xf>
    <xf numFmtId="182" fontId="3" fillId="0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/>
    <xf numFmtId="3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83" fontId="0" fillId="0" borderId="0" xfId="0" applyNumberFormat="1"/>
    <xf numFmtId="0" fontId="0" fillId="0" borderId="0" xfId="0" applyFill="1" applyAlignment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72" fontId="0" fillId="0" borderId="0" xfId="1" applyNumberFormat="1" applyFont="1" applyFill="1" applyBorder="1" applyAlignment="1"/>
    <xf numFmtId="9" fontId="0" fillId="0" borderId="0" xfId="13" applyFont="1" applyAlignment="1">
      <alignment horizontal="center"/>
    </xf>
    <xf numFmtId="172" fontId="0" fillId="0" borderId="0" xfId="0" applyNumberFormat="1"/>
    <xf numFmtId="37" fontId="0" fillId="0" borderId="0" xfId="0" applyNumberFormat="1"/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84" fontId="2" fillId="0" borderId="1" xfId="0" applyNumberFormat="1" applyFont="1" applyBorder="1"/>
    <xf numFmtId="184" fontId="5" fillId="0" borderId="1" xfId="0" applyNumberFormat="1" applyFont="1" applyFill="1" applyBorder="1" applyAlignment="1">
      <alignment horizontal="right" vertical="center"/>
    </xf>
    <xf numFmtId="185" fontId="5" fillId="0" borderId="1" xfId="0" applyNumberFormat="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0" xfId="0" applyNumberFormat="1" applyFont="1"/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/>
    </xf>
    <xf numFmtId="171" fontId="2" fillId="0" borderId="1" xfId="11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5" fillId="0" borderId="9" xfId="12" applyFont="1" applyFill="1" applyBorder="1" applyAlignment="1">
      <alignment horizontal="left" vertical="center"/>
    </xf>
    <xf numFmtId="3" fontId="5" fillId="0" borderId="1" xfId="1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186" fontId="2" fillId="0" borderId="0" xfId="0" applyNumberFormat="1" applyFont="1"/>
    <xf numFmtId="171" fontId="2" fillId="0" borderId="0" xfId="0" applyNumberFormat="1" applyFont="1"/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1" fontId="2" fillId="0" borderId="0" xfId="1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/>
    </xf>
    <xf numFmtId="3" fontId="2" fillId="0" borderId="1" xfId="11" applyNumberFormat="1" applyFont="1" applyFill="1" applyBorder="1" applyAlignment="1">
      <alignment horizontal="center" vertical="center"/>
    </xf>
    <xf numFmtId="3" fontId="2" fillId="0" borderId="11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66" fontId="2" fillId="0" borderId="1" xfId="1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4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indent="1"/>
    </xf>
    <xf numFmtId="179" fontId="2" fillId="0" borderId="1" xfId="1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Fill="1" applyBorder="1" applyAlignment="1">
      <alignment horizontal="left" vertical="center" indent="1"/>
    </xf>
    <xf numFmtId="179" fontId="8" fillId="0" borderId="0" xfId="11" applyNumberFormat="1" applyFont="1" applyFill="1" applyBorder="1" applyAlignment="1">
      <alignment horizontal="center" vertical="center"/>
    </xf>
    <xf numFmtId="176" fontId="2" fillId="0" borderId="11" xfId="11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174" fontId="5" fillId="0" borderId="1" xfId="11" applyNumberFormat="1" applyFont="1" applyFill="1" applyBorder="1" applyAlignment="1">
      <alignment horizontal="center" vertical="center"/>
    </xf>
    <xf numFmtId="176" fontId="5" fillId="0" borderId="11" xfId="11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24" xfId="12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/>
    </xf>
    <xf numFmtId="171" fontId="2" fillId="0" borderId="12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0" fillId="0" borderId="1" xfId="14" applyFont="1" applyFill="1" applyBorder="1" applyAlignment="1">
      <alignment horizontal="center"/>
    </xf>
    <xf numFmtId="0" fontId="31" fillId="0" borderId="1" xfId="14" applyFont="1" applyFill="1" applyBorder="1" applyAlignment="1">
      <alignment horizontal="left"/>
    </xf>
    <xf numFmtId="0" fontId="31" fillId="0" borderId="9" xfId="14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5" fillId="0" borderId="26" xfId="12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9" xfId="12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166" fontId="2" fillId="0" borderId="1" xfId="13" applyNumberFormat="1" applyFont="1" applyFill="1" applyBorder="1" applyAlignment="1">
      <alignment horizontal="center" vertical="center"/>
    </xf>
    <xf numFmtId="176" fontId="2" fillId="0" borderId="1" xfId="1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76" fontId="5" fillId="0" borderId="1" xfId="1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/>
    <xf numFmtId="168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/>
    </xf>
    <xf numFmtId="184" fontId="2" fillId="0" borderId="1" xfId="0" applyNumberFormat="1" applyFont="1" applyBorder="1" applyAlignment="1">
      <alignment horizontal="center"/>
    </xf>
    <xf numFmtId="166" fontId="2" fillId="0" borderId="1" xfId="15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3" fontId="2" fillId="0" borderId="1" xfId="15" applyNumberFormat="1" applyFont="1" applyBorder="1" applyAlignment="1">
      <alignment horizontal="center"/>
    </xf>
    <xf numFmtId="3" fontId="2" fillId="0" borderId="1" xfId="0" applyNumberFormat="1" applyFont="1" applyBorder="1"/>
    <xf numFmtId="0" fontId="5" fillId="0" borderId="11" xfId="0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wrapText="1"/>
    </xf>
    <xf numFmtId="171" fontId="2" fillId="0" borderId="3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31" fillId="0" borderId="1" xfId="14" applyNumberFormat="1" applyFont="1" applyFill="1" applyBorder="1" applyAlignment="1">
      <alignment horizontal="center" wrapText="1"/>
    </xf>
    <xf numFmtId="9" fontId="31" fillId="0" borderId="1" xfId="14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 vertical="center"/>
    </xf>
    <xf numFmtId="0" fontId="30" fillId="0" borderId="1" xfId="14" applyFont="1" applyFill="1" applyBorder="1" applyAlignment="1"/>
    <xf numFmtId="171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28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/>
    </xf>
    <xf numFmtId="3" fontId="2" fillId="0" borderId="9" xfId="1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167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184" fontId="2" fillId="0" borderId="0" xfId="0" applyNumberFormat="1" applyFont="1" applyBorder="1" applyAlignment="1">
      <alignment horizontal="center"/>
    </xf>
    <xf numFmtId="166" fontId="2" fillId="0" borderId="0" xfId="15" applyNumberFormat="1" applyFont="1" applyBorder="1" applyAlignment="1">
      <alignment horizontal="center"/>
    </xf>
    <xf numFmtId="0" fontId="0" fillId="0" borderId="0" xfId="0" applyAlignment="1">
      <alignment horizontal="center"/>
    </xf>
    <xf numFmtId="193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3" applyNumberFormat="1" applyFont="1"/>
    <xf numFmtId="166" fontId="0" fillId="0" borderId="0" xfId="0" applyNumberFormat="1"/>
    <xf numFmtId="193" fontId="2" fillId="0" borderId="0" xfId="11" applyNumberFormat="1" applyFont="1" applyFill="1" applyBorder="1" applyAlignment="1">
      <alignment horizontal="center" vertical="center"/>
    </xf>
    <xf numFmtId="3" fontId="0" fillId="38" borderId="0" xfId="0" applyNumberFormat="1" applyFill="1" applyAlignment="1">
      <alignment horizontal="center"/>
    </xf>
    <xf numFmtId="37" fontId="0" fillId="38" borderId="0" xfId="0" applyNumberFormat="1" applyFill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5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0" fillId="0" borderId="25" xfId="14" applyFont="1" applyFill="1" applyBorder="1" applyAlignment="1">
      <alignment horizontal="left"/>
    </xf>
    <xf numFmtId="0" fontId="30" fillId="0" borderId="0" xfId="14" applyFont="1" applyFill="1" applyBorder="1" applyAlignment="1">
      <alignment horizontal="left"/>
    </xf>
    <xf numFmtId="0" fontId="30" fillId="0" borderId="1" xfId="14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2" fontId="5" fillId="0" borderId="0" xfId="1" applyNumberFormat="1" applyFont="1" applyAlignment="1">
      <alignment horizontal="center"/>
    </xf>
  </cellXfs>
  <cellStyles count="99">
    <cellStyle name="$" xfId="16"/>
    <cellStyle name="$.00" xfId="17"/>
    <cellStyle name="$_9. Rev2Cost_GDPIPI" xfId="18"/>
    <cellStyle name="$_lists" xfId="19"/>
    <cellStyle name="$_lists_4. Current Monthly Fixed Charge" xfId="20"/>
    <cellStyle name="$_Sheet4" xfId="21"/>
    <cellStyle name="$M" xfId="22"/>
    <cellStyle name="$M.00" xfId="23"/>
    <cellStyle name="$M_9. Rev2Cost_GDPIPI" xfId="24"/>
    <cellStyle name="20% - Accent1 2" xfId="25"/>
    <cellStyle name="20% - Accent2 2" xfId="26"/>
    <cellStyle name="20% - Accent3 2" xfId="27"/>
    <cellStyle name="20% - Accent4 2" xfId="28"/>
    <cellStyle name="20% - Accent5 2" xfId="29"/>
    <cellStyle name="20% - Accent6 2" xfId="30"/>
    <cellStyle name="40% - Accent1 2" xfId="31"/>
    <cellStyle name="40% - Accent2 2" xfId="32"/>
    <cellStyle name="40% - Accent3 2" xfId="33"/>
    <cellStyle name="40% - Accent4 2" xfId="34"/>
    <cellStyle name="40% - Accent5 2" xfId="35"/>
    <cellStyle name="40% - Accent6 2" xfId="36"/>
    <cellStyle name="60% - Accent1 2" xfId="37"/>
    <cellStyle name="60% - Accent2 2" xfId="38"/>
    <cellStyle name="60% - Accent3 2" xfId="39"/>
    <cellStyle name="60% - Accent4 2" xfId="40"/>
    <cellStyle name="60% - Accent5 2" xfId="41"/>
    <cellStyle name="60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Bad 2" xfId="49"/>
    <cellStyle name="Calculation 2" xfId="50"/>
    <cellStyle name="Check Cell 2" xfId="51"/>
    <cellStyle name="Comma" xfId="1" builtinId="3"/>
    <cellStyle name="Comma 2" xfId="2"/>
    <cellStyle name="Comma 3" xfId="3"/>
    <cellStyle name="Comma 3 2" xfId="52"/>
    <cellStyle name="Comma 4" xfId="53"/>
    <cellStyle name="Comma 5" xfId="54"/>
    <cellStyle name="Comma 6" xfId="55"/>
    <cellStyle name="Comma_CDM monthly amounts" xfId="4"/>
    <cellStyle name="Comma0" xfId="5"/>
    <cellStyle name="Currency 2" xfId="56"/>
    <cellStyle name="Currency 3" xfId="57"/>
    <cellStyle name="Currency 4" xfId="58"/>
    <cellStyle name="Currency0" xfId="6"/>
    <cellStyle name="Date" xfId="7"/>
    <cellStyle name="Explanatory Text 2" xfId="59"/>
    <cellStyle name="Fixed" xfId="8"/>
    <cellStyle name="Good 2" xfId="60"/>
    <cellStyle name="Grey" xfId="61"/>
    <cellStyle name="Grey 2" xfId="62"/>
    <cellStyle name="Heading 1 2" xfId="63"/>
    <cellStyle name="Heading 2 2" xfId="64"/>
    <cellStyle name="Heading 3 2" xfId="65"/>
    <cellStyle name="Heading 4 2" xfId="66"/>
    <cellStyle name="Input [yellow]" xfId="67"/>
    <cellStyle name="Input [yellow] 2" xfId="68"/>
    <cellStyle name="Input 2" xfId="69"/>
    <cellStyle name="Linked Cell 2" xfId="70"/>
    <cellStyle name="M" xfId="71"/>
    <cellStyle name="M.00" xfId="72"/>
    <cellStyle name="M_9. Rev2Cost_GDPIPI" xfId="73"/>
    <cellStyle name="M_lists" xfId="74"/>
    <cellStyle name="M_lists_4. Current Monthly Fixed Charge" xfId="75"/>
    <cellStyle name="M_Sheet4" xfId="76"/>
    <cellStyle name="Neutral 2" xfId="77"/>
    <cellStyle name="Normal" xfId="0" builtinId="0"/>
    <cellStyle name="Normal - Style1" xfId="78"/>
    <cellStyle name="Normal 2" xfId="9"/>
    <cellStyle name="Normal 3" xfId="79"/>
    <cellStyle name="Normal 4" xfId="80"/>
    <cellStyle name="Normal 5" xfId="81"/>
    <cellStyle name="Normal 5 2" xfId="82"/>
    <cellStyle name="Normal 5 2 3" xfId="14"/>
    <cellStyle name="Normal 6" xfId="83"/>
    <cellStyle name="Normal 7" xfId="84"/>
    <cellStyle name="Normal_Heating &amp; Cooling Degree Days -- 20 years" xfId="10"/>
    <cellStyle name="Normal_OEB Trial Balance - Regulatory-July24-07" xfId="11"/>
    <cellStyle name="Normal_Sheet2" xfId="12"/>
    <cellStyle name="Note 2" xfId="85"/>
    <cellStyle name="Output 2" xfId="86"/>
    <cellStyle name="Percent" xfId="13" builtinId="5"/>
    <cellStyle name="Percent [2]" xfId="87"/>
    <cellStyle name="Percent 2" xfId="88"/>
    <cellStyle name="Percent 3" xfId="89"/>
    <cellStyle name="Percent 3 2" xfId="90"/>
    <cellStyle name="Percent 4" xfId="91"/>
    <cellStyle name="Percent 5" xfId="15"/>
    <cellStyle name="STYLE1" xfId="92"/>
    <cellStyle name="STYLE2" xfId="93"/>
    <cellStyle name="STYLE4" xfId="94"/>
    <cellStyle name="Subtotal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Welland%20Hydro%202013%20Load%20Forecast%20-%20Settlement%20Propos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Welland%20Load%20Forecast%20Dat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elland%20Load%20Forecast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HESC%20CDM%20Plan%20WHESC_2015090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/Bruce%20Bacon%20Spreadsheets/2006-2010%20Final%20OPA%20CDM%20Results.Welland%20Hydro-Electric%20System%20Corp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Welland%20Hydro%202011-2014%20CDM%20Results%20with%20Persistenc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elland_Final%202015%20Annual%20Verified%20Results%20Report%20-%20Annual%20Persistence_201703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bbacon/My%20Documents/Lakeland/2013%20Rate%20Appl/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WHESC%20Pre-2011%20Program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7%20Rates/Load%20Forecast/eng-daily-01012016-1231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Welland/2013%20Rates/Settlement/Interrogatories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CDM Activity"/>
      <sheetName val="Historical HDD &amp; CDD"/>
    </sheetNames>
    <sheetDataSet>
      <sheetData sheetId="0" refreshError="1"/>
      <sheetData sheetId="1"/>
      <sheetData sheetId="2">
        <row r="12">
          <cell r="M12">
            <v>20432.24624822551</v>
          </cell>
        </row>
        <row r="13">
          <cell r="M13">
            <v>162565618.49710244</v>
          </cell>
        </row>
        <row r="16">
          <cell r="M16">
            <v>1695.799451063576</v>
          </cell>
        </row>
        <row r="17">
          <cell r="M17">
            <v>54784534.147389494</v>
          </cell>
        </row>
        <row r="20">
          <cell r="M20">
            <v>169</v>
          </cell>
        </row>
        <row r="21">
          <cell r="M21">
            <v>141530393.74885863</v>
          </cell>
        </row>
        <row r="22">
          <cell r="M22">
            <v>396002.04170930648</v>
          </cell>
        </row>
        <row r="25">
          <cell r="M25">
            <v>1</v>
          </cell>
        </row>
        <row r="26">
          <cell r="M26">
            <v>59538700.549472243</v>
          </cell>
        </row>
        <row r="27">
          <cell r="M27">
            <v>168817.67255906758</v>
          </cell>
        </row>
        <row r="30">
          <cell r="M30">
            <v>6749.5</v>
          </cell>
        </row>
        <row r="31">
          <cell r="M31">
            <v>1273280.9617749564</v>
          </cell>
        </row>
        <row r="32">
          <cell r="M32">
            <v>3552</v>
          </cell>
        </row>
        <row r="35">
          <cell r="M35">
            <v>574</v>
          </cell>
        </row>
        <row r="36">
          <cell r="M36">
            <v>831976.87357555667</v>
          </cell>
        </row>
        <row r="37">
          <cell r="M37">
            <v>2296.8000000000002</v>
          </cell>
        </row>
        <row r="40">
          <cell r="M40">
            <v>225.35874142083784</v>
          </cell>
        </row>
        <row r="41">
          <cell r="M41">
            <v>1111229.6191108765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5">
          <cell r="B5">
            <v>46293277</v>
          </cell>
          <cell r="AJ5">
            <v>20461</v>
          </cell>
        </row>
        <row r="6">
          <cell r="B6">
            <v>41843002</v>
          </cell>
          <cell r="AJ6">
            <v>20122</v>
          </cell>
        </row>
        <row r="7">
          <cell r="B7">
            <v>44412572</v>
          </cell>
          <cell r="AJ7">
            <v>20174</v>
          </cell>
        </row>
        <row r="8">
          <cell r="B8">
            <v>42581129</v>
          </cell>
          <cell r="AJ8">
            <v>20139</v>
          </cell>
        </row>
        <row r="9">
          <cell r="B9">
            <v>40099130</v>
          </cell>
          <cell r="AJ9">
            <v>20074</v>
          </cell>
        </row>
        <row r="10">
          <cell r="B10">
            <v>42830520</v>
          </cell>
          <cell r="AJ10">
            <v>19924</v>
          </cell>
        </row>
        <row r="11">
          <cell r="B11">
            <v>50209650</v>
          </cell>
          <cell r="AJ11">
            <v>19945</v>
          </cell>
        </row>
        <row r="12">
          <cell r="B12">
            <v>49113260</v>
          </cell>
          <cell r="AJ12">
            <v>20011</v>
          </cell>
        </row>
        <row r="13">
          <cell r="B13">
            <v>43203390</v>
          </cell>
          <cell r="AJ13">
            <v>20036</v>
          </cell>
        </row>
        <row r="14">
          <cell r="B14">
            <v>39840800</v>
          </cell>
          <cell r="AJ14">
            <v>20008</v>
          </cell>
        </row>
        <row r="15">
          <cell r="B15">
            <v>40267910</v>
          </cell>
          <cell r="AJ15">
            <v>20099</v>
          </cell>
        </row>
        <row r="16">
          <cell r="B16">
            <v>41966900</v>
          </cell>
          <cell r="AJ16">
            <v>20186</v>
          </cell>
        </row>
        <row r="17">
          <cell r="D17">
            <v>163758007.56999999</v>
          </cell>
          <cell r="F17">
            <v>18178</v>
          </cell>
          <cell r="H17">
            <v>47941435.170000002</v>
          </cell>
          <cell r="J17">
            <v>1679.5</v>
          </cell>
          <cell r="L17">
            <v>220590237.66</v>
          </cell>
          <cell r="N17">
            <v>551945.62</v>
          </cell>
          <cell r="O17">
            <v>239.41666666666666</v>
          </cell>
          <cell r="Q17">
            <v>4578874</v>
          </cell>
          <cell r="S17">
            <v>11856.554</v>
          </cell>
          <cell r="T17">
            <v>6411.75</v>
          </cell>
          <cell r="V17">
            <v>608624.5</v>
          </cell>
          <cell r="X17">
            <v>2536</v>
          </cell>
          <cell r="Y17">
            <v>765</v>
          </cell>
          <cell r="AA17">
            <v>1013836.09</v>
          </cell>
          <cell r="AC17">
            <v>225.25</v>
          </cell>
          <cell r="AF17">
            <v>64185900.630000003</v>
          </cell>
          <cell r="AG17">
            <v>193768.13</v>
          </cell>
          <cell r="AH17">
            <v>1.3333333333333333</v>
          </cell>
        </row>
        <row r="19">
          <cell r="B19">
            <v>45793920</v>
          </cell>
          <cell r="AJ19">
            <v>20303</v>
          </cell>
        </row>
        <row r="20">
          <cell r="B20">
            <v>41797690</v>
          </cell>
          <cell r="AJ20">
            <v>20308</v>
          </cell>
        </row>
        <row r="21">
          <cell r="B21">
            <v>43041020</v>
          </cell>
          <cell r="AJ21">
            <v>20266</v>
          </cell>
        </row>
        <row r="22">
          <cell r="B22">
            <v>39112340</v>
          </cell>
          <cell r="AJ22">
            <v>20218</v>
          </cell>
        </row>
        <row r="23">
          <cell r="B23">
            <v>37768340</v>
          </cell>
          <cell r="AJ23">
            <v>20233</v>
          </cell>
        </row>
        <row r="24">
          <cell r="B24">
            <v>38550110</v>
          </cell>
          <cell r="AJ24">
            <v>20150</v>
          </cell>
        </row>
        <row r="25">
          <cell r="B25">
            <v>45139630</v>
          </cell>
          <cell r="AJ25">
            <v>20104</v>
          </cell>
        </row>
        <row r="26">
          <cell r="B26">
            <v>44242730</v>
          </cell>
          <cell r="AJ26">
            <v>20166</v>
          </cell>
        </row>
        <row r="27">
          <cell r="B27">
            <v>39933800</v>
          </cell>
          <cell r="AJ27">
            <v>20176</v>
          </cell>
        </row>
        <row r="28">
          <cell r="B28">
            <v>39274410</v>
          </cell>
          <cell r="AJ28">
            <v>20165</v>
          </cell>
        </row>
        <row r="29">
          <cell r="B29">
            <v>39924090</v>
          </cell>
          <cell r="AJ29">
            <v>20235</v>
          </cell>
        </row>
        <row r="30">
          <cell r="B30">
            <v>42535190</v>
          </cell>
          <cell r="AJ30">
            <v>20324</v>
          </cell>
        </row>
        <row r="31">
          <cell r="D31">
            <v>157611433.94999999</v>
          </cell>
          <cell r="F31">
            <v>18297.833333333332</v>
          </cell>
          <cell r="H31">
            <v>46463108.060000002</v>
          </cell>
          <cell r="J31">
            <v>1684.3333333333333</v>
          </cell>
          <cell r="L31">
            <v>148754541.44</v>
          </cell>
          <cell r="N31">
            <v>449454.27000000008</v>
          </cell>
          <cell r="O31">
            <v>235.75</v>
          </cell>
          <cell r="Q31">
            <v>4648825</v>
          </cell>
          <cell r="S31">
            <v>12974.98</v>
          </cell>
          <cell r="T31">
            <v>6457.5</v>
          </cell>
          <cell r="V31">
            <v>1025570.6699999999</v>
          </cell>
          <cell r="X31">
            <v>2928.96</v>
          </cell>
          <cell r="Y31">
            <v>758.08333333333337</v>
          </cell>
          <cell r="AA31">
            <v>1222622.06</v>
          </cell>
          <cell r="AC31">
            <v>228.58333333333334</v>
          </cell>
          <cell r="AF31">
            <v>118136694</v>
          </cell>
          <cell r="AG31">
            <v>293338</v>
          </cell>
          <cell r="AH31">
            <v>2.75</v>
          </cell>
        </row>
        <row r="33">
          <cell r="B33">
            <v>46623430</v>
          </cell>
          <cell r="AJ33">
            <v>20483</v>
          </cell>
        </row>
        <row r="34">
          <cell r="B34">
            <v>42059450</v>
          </cell>
          <cell r="AJ34">
            <v>20455</v>
          </cell>
        </row>
        <row r="35">
          <cell r="B35">
            <v>44041140</v>
          </cell>
          <cell r="AJ35">
            <v>20436</v>
          </cell>
        </row>
        <row r="36">
          <cell r="B36">
            <v>39465450</v>
          </cell>
          <cell r="AJ36">
            <v>20438</v>
          </cell>
        </row>
        <row r="37">
          <cell r="B37">
            <v>38649380</v>
          </cell>
          <cell r="AJ37">
            <v>20382</v>
          </cell>
        </row>
        <row r="38">
          <cell r="B38">
            <v>40366830</v>
          </cell>
          <cell r="AJ38">
            <v>20295</v>
          </cell>
        </row>
        <row r="39">
          <cell r="B39">
            <v>42442080</v>
          </cell>
          <cell r="AJ39">
            <v>20268</v>
          </cell>
        </row>
        <row r="40">
          <cell r="B40">
            <v>42940430</v>
          </cell>
          <cell r="AJ40">
            <v>20241</v>
          </cell>
        </row>
        <row r="41">
          <cell r="B41">
            <v>41663760</v>
          </cell>
          <cell r="AJ41">
            <v>20388</v>
          </cell>
        </row>
        <row r="42">
          <cell r="B42">
            <v>39406350</v>
          </cell>
          <cell r="AJ42">
            <v>20386</v>
          </cell>
        </row>
        <row r="43">
          <cell r="B43">
            <v>40213160</v>
          </cell>
          <cell r="AJ43">
            <v>20441</v>
          </cell>
        </row>
        <row r="44">
          <cell r="B44">
            <v>43313970</v>
          </cell>
          <cell r="AJ44">
            <v>20588</v>
          </cell>
        </row>
        <row r="45">
          <cell r="D45">
            <v>158198542.48000002</v>
          </cell>
          <cell r="F45">
            <v>18497.833333333332</v>
          </cell>
          <cell r="H45">
            <v>49935622.290000007</v>
          </cell>
          <cell r="J45">
            <v>1682.9166666666667</v>
          </cell>
          <cell r="L45">
            <v>145858310.61000001</v>
          </cell>
          <cell r="N45">
            <v>418532.51999999996</v>
          </cell>
          <cell r="O45">
            <v>216.5</v>
          </cell>
          <cell r="Q45">
            <v>4671053</v>
          </cell>
          <cell r="S45">
            <v>13023.570000000002</v>
          </cell>
          <cell r="T45">
            <v>6471.333333333333</v>
          </cell>
          <cell r="V45">
            <v>1029431.6400000001</v>
          </cell>
          <cell r="X45">
            <v>3192.2000000000003</v>
          </cell>
          <cell r="Y45">
            <v>750.41666666666663</v>
          </cell>
          <cell r="AA45">
            <v>1196222.5299999998</v>
          </cell>
          <cell r="AC45">
            <v>232.41666666666666</v>
          </cell>
          <cell r="AF45">
            <v>123252607</v>
          </cell>
          <cell r="AG45">
            <v>287801.01</v>
          </cell>
          <cell r="AH45">
            <v>2.8333333333333335</v>
          </cell>
        </row>
        <row r="47">
          <cell r="B47">
            <v>46807180</v>
          </cell>
          <cell r="AJ47">
            <v>20702</v>
          </cell>
        </row>
        <row r="48">
          <cell r="B48">
            <v>41117740</v>
          </cell>
          <cell r="AJ48">
            <v>20700</v>
          </cell>
        </row>
        <row r="49">
          <cell r="B49">
            <v>44324530</v>
          </cell>
          <cell r="AJ49">
            <v>20659</v>
          </cell>
        </row>
        <row r="50">
          <cell r="B50">
            <v>39294850</v>
          </cell>
          <cell r="AJ50">
            <v>20681</v>
          </cell>
        </row>
        <row r="51">
          <cell r="B51">
            <v>38503630</v>
          </cell>
          <cell r="AJ51">
            <v>20636</v>
          </cell>
        </row>
        <row r="52">
          <cell r="B52">
            <v>43469730</v>
          </cell>
          <cell r="AJ52">
            <v>20624</v>
          </cell>
        </row>
        <row r="53">
          <cell r="B53">
            <v>51308440</v>
          </cell>
          <cell r="AJ53">
            <v>20638</v>
          </cell>
        </row>
        <row r="54">
          <cell r="B54">
            <v>48784110</v>
          </cell>
          <cell r="AJ54">
            <v>20601</v>
          </cell>
        </row>
        <row r="55">
          <cell r="B55">
            <v>41264120</v>
          </cell>
          <cell r="AJ55">
            <v>20620</v>
          </cell>
        </row>
        <row r="56">
          <cell r="B56">
            <v>40426860</v>
          </cell>
          <cell r="AJ56">
            <v>20641</v>
          </cell>
        </row>
        <row r="57">
          <cell r="B57">
            <v>41421880</v>
          </cell>
          <cell r="AJ57">
            <v>20652</v>
          </cell>
        </row>
        <row r="58">
          <cell r="B58">
            <v>44051790</v>
          </cell>
          <cell r="AJ58">
            <v>20740</v>
          </cell>
        </row>
        <row r="59">
          <cell r="D59">
            <v>170925878.90000001</v>
          </cell>
          <cell r="F59">
            <v>18756.166666666668</v>
          </cell>
          <cell r="H59">
            <v>52581299.459999993</v>
          </cell>
          <cell r="J59">
            <v>1690.8333333333333</v>
          </cell>
          <cell r="L59">
            <v>147125296.04999998</v>
          </cell>
          <cell r="N59">
            <v>415116.47000000003</v>
          </cell>
          <cell r="O59">
            <v>208</v>
          </cell>
          <cell r="Q59">
            <v>4673771</v>
          </cell>
          <cell r="S59">
            <v>13038.970000000003</v>
          </cell>
          <cell r="T59">
            <v>6520.166666666667</v>
          </cell>
          <cell r="V59">
            <v>999999.72</v>
          </cell>
          <cell r="X59">
            <v>2843.5</v>
          </cell>
          <cell r="Y59">
            <v>739.25</v>
          </cell>
          <cell r="AA59">
            <v>1199588.1900000002</v>
          </cell>
          <cell r="AC59">
            <v>234</v>
          </cell>
          <cell r="AF59">
            <v>124361165</v>
          </cell>
          <cell r="AG59">
            <v>296227</v>
          </cell>
          <cell r="AH59">
            <v>2.8333333333333335</v>
          </cell>
        </row>
        <row r="61">
          <cell r="B61">
            <v>43192750</v>
          </cell>
          <cell r="AJ61">
            <v>20858</v>
          </cell>
        </row>
        <row r="62">
          <cell r="B62">
            <v>39863550</v>
          </cell>
          <cell r="AJ62">
            <v>20902</v>
          </cell>
        </row>
        <row r="63">
          <cell r="B63">
            <v>42675980</v>
          </cell>
          <cell r="AJ63">
            <v>20845</v>
          </cell>
        </row>
        <row r="64">
          <cell r="B64">
            <v>34740070</v>
          </cell>
          <cell r="AJ64">
            <v>20839</v>
          </cell>
        </row>
        <row r="65">
          <cell r="B65">
            <v>38741980</v>
          </cell>
          <cell r="AJ65">
            <v>20801</v>
          </cell>
        </row>
        <row r="66">
          <cell r="B66">
            <v>41837560</v>
          </cell>
          <cell r="AJ66">
            <v>20769</v>
          </cell>
        </row>
        <row r="67">
          <cell r="B67">
            <v>47715260</v>
          </cell>
          <cell r="AJ67">
            <v>20730</v>
          </cell>
        </row>
        <row r="68">
          <cell r="B68">
            <v>44325550</v>
          </cell>
          <cell r="AJ68">
            <v>20634</v>
          </cell>
        </row>
        <row r="69">
          <cell r="B69">
            <v>36564730</v>
          </cell>
          <cell r="AJ69">
            <v>20765</v>
          </cell>
        </row>
        <row r="70">
          <cell r="B70">
            <v>38815730</v>
          </cell>
          <cell r="AJ70">
            <v>20724</v>
          </cell>
        </row>
        <row r="71">
          <cell r="B71">
            <v>39427080</v>
          </cell>
          <cell r="AJ71">
            <v>20776</v>
          </cell>
        </row>
        <row r="72">
          <cell r="B72">
            <v>40481750</v>
          </cell>
          <cell r="AJ72">
            <v>20889</v>
          </cell>
        </row>
        <row r="73">
          <cell r="D73">
            <v>160694398.38</v>
          </cell>
          <cell r="F73">
            <v>18914.833333333332</v>
          </cell>
          <cell r="H73">
            <v>50343291.240000002</v>
          </cell>
          <cell r="J73">
            <v>1668</v>
          </cell>
          <cell r="L73">
            <v>146968682.79000002</v>
          </cell>
          <cell r="N73">
            <v>414301.29000000004</v>
          </cell>
          <cell r="O73">
            <v>208.5</v>
          </cell>
          <cell r="Q73">
            <v>4688652</v>
          </cell>
          <cell r="S73">
            <v>13083.960000000001</v>
          </cell>
          <cell r="T73">
            <v>6557.75</v>
          </cell>
          <cell r="V73">
            <v>1010962.7199999999</v>
          </cell>
          <cell r="X73">
            <v>2812.06</v>
          </cell>
          <cell r="Y73">
            <v>732.41666666666663</v>
          </cell>
          <cell r="AA73">
            <v>1206597.6399999999</v>
          </cell>
          <cell r="AC73">
            <v>232.58333333333334</v>
          </cell>
          <cell r="AF73">
            <v>111878086</v>
          </cell>
          <cell r="AG73">
            <v>313394</v>
          </cell>
          <cell r="AH73">
            <v>3</v>
          </cell>
        </row>
        <row r="75">
          <cell r="B75">
            <v>43659020</v>
          </cell>
          <cell r="AJ75">
            <v>20925</v>
          </cell>
        </row>
        <row r="76">
          <cell r="B76">
            <v>42004080</v>
          </cell>
          <cell r="AJ76">
            <v>20950</v>
          </cell>
        </row>
        <row r="77">
          <cell r="B77">
            <v>41099580</v>
          </cell>
          <cell r="AJ77">
            <v>20904</v>
          </cell>
        </row>
        <row r="78">
          <cell r="B78">
            <v>37578410</v>
          </cell>
          <cell r="AJ78">
            <v>20877</v>
          </cell>
        </row>
        <row r="79">
          <cell r="B79">
            <v>37137720</v>
          </cell>
          <cell r="AJ79">
            <v>20803</v>
          </cell>
        </row>
        <row r="80">
          <cell r="B80">
            <v>42747830</v>
          </cell>
          <cell r="AJ80">
            <v>20822</v>
          </cell>
        </row>
        <row r="81">
          <cell r="B81">
            <v>41879640</v>
          </cell>
          <cell r="AJ81">
            <v>20767</v>
          </cell>
        </row>
        <row r="82">
          <cell r="B82">
            <v>45846620</v>
          </cell>
          <cell r="AJ82">
            <v>20719</v>
          </cell>
        </row>
        <row r="83">
          <cell r="B83">
            <v>40071090</v>
          </cell>
          <cell r="AJ83">
            <v>20805</v>
          </cell>
        </row>
        <row r="84">
          <cell r="B84">
            <v>39182630</v>
          </cell>
          <cell r="AJ84">
            <v>20803</v>
          </cell>
        </row>
        <row r="85">
          <cell r="B85">
            <v>40415660</v>
          </cell>
          <cell r="AJ85">
            <v>20862</v>
          </cell>
        </row>
        <row r="86">
          <cell r="B86">
            <v>42304750</v>
          </cell>
          <cell r="AJ86">
            <v>20954</v>
          </cell>
        </row>
        <row r="87">
          <cell r="D87">
            <v>162856079.99000001</v>
          </cell>
          <cell r="F87">
            <v>18996.166666666668</v>
          </cell>
          <cell r="H87">
            <v>53416948.359999999</v>
          </cell>
          <cell r="J87">
            <v>1656.5</v>
          </cell>
          <cell r="L87">
            <v>163224573.41000003</v>
          </cell>
          <cell r="N87">
            <v>441184.35</v>
          </cell>
          <cell r="O87">
            <v>194.16666666666666</v>
          </cell>
          <cell r="Q87">
            <v>4691239</v>
          </cell>
          <cell r="S87">
            <v>13085.879999999997</v>
          </cell>
          <cell r="T87">
            <v>6610.333333333333</v>
          </cell>
          <cell r="V87">
            <v>980631.10999999975</v>
          </cell>
          <cell r="X87">
            <v>3041.58</v>
          </cell>
          <cell r="Y87">
            <v>704.41666666666663</v>
          </cell>
          <cell r="AA87">
            <v>1144162.8699999999</v>
          </cell>
          <cell r="AC87">
            <v>231.66666666666666</v>
          </cell>
          <cell r="AF87">
            <v>82520777</v>
          </cell>
          <cell r="AG87">
            <v>248610</v>
          </cell>
          <cell r="AH87">
            <v>2.4166666666666665</v>
          </cell>
        </row>
        <row r="89">
          <cell r="B89">
            <v>43662060</v>
          </cell>
          <cell r="AJ89">
            <v>21045</v>
          </cell>
        </row>
        <row r="90">
          <cell r="B90">
            <v>42566180</v>
          </cell>
          <cell r="AJ90">
            <v>21097</v>
          </cell>
        </row>
        <row r="91">
          <cell r="B91">
            <v>42057090</v>
          </cell>
          <cell r="AJ91">
            <v>21048</v>
          </cell>
        </row>
        <row r="92">
          <cell r="B92">
            <v>37570770</v>
          </cell>
          <cell r="AJ92">
            <v>21037</v>
          </cell>
        </row>
        <row r="93">
          <cell r="B93">
            <v>36307140</v>
          </cell>
          <cell r="AJ93">
            <v>21010</v>
          </cell>
        </row>
        <row r="94">
          <cell r="B94">
            <v>41100780</v>
          </cell>
          <cell r="AJ94">
            <v>20943</v>
          </cell>
        </row>
        <row r="95">
          <cell r="B95">
            <v>44714390</v>
          </cell>
          <cell r="AJ95">
            <v>20876</v>
          </cell>
        </row>
        <row r="96">
          <cell r="B96">
            <v>41138100</v>
          </cell>
          <cell r="AJ96">
            <v>20898</v>
          </cell>
        </row>
        <row r="97">
          <cell r="B97">
            <v>39609350</v>
          </cell>
          <cell r="AJ97">
            <v>20867</v>
          </cell>
        </row>
        <row r="98">
          <cell r="B98">
            <v>37751930</v>
          </cell>
          <cell r="AJ98">
            <v>20969</v>
          </cell>
        </row>
        <row r="99">
          <cell r="B99">
            <v>38864960</v>
          </cell>
          <cell r="AJ99">
            <v>20995</v>
          </cell>
        </row>
        <row r="100">
          <cell r="B100">
            <v>41720160</v>
          </cell>
          <cell r="AJ100">
            <v>21113</v>
          </cell>
        </row>
        <row r="101">
          <cell r="D101">
            <v>157944948.05999997</v>
          </cell>
          <cell r="F101">
            <v>19136.5</v>
          </cell>
          <cell r="H101">
            <v>55072082.170000002</v>
          </cell>
          <cell r="J101">
            <v>1676.25</v>
          </cell>
          <cell r="L101">
            <v>145113726.81</v>
          </cell>
          <cell r="N101">
            <v>417425.21</v>
          </cell>
          <cell r="O101">
            <v>176.25</v>
          </cell>
          <cell r="Q101">
            <v>4724654</v>
          </cell>
          <cell r="S101">
            <v>13186.060000000001</v>
          </cell>
          <cell r="T101">
            <v>6670.583333333333</v>
          </cell>
          <cell r="V101">
            <v>949655.42</v>
          </cell>
          <cell r="X101">
            <v>2690.21</v>
          </cell>
          <cell r="Y101">
            <v>689</v>
          </cell>
          <cell r="AA101">
            <v>1157795.6099999999</v>
          </cell>
          <cell r="AC101">
            <v>232</v>
          </cell>
          <cell r="AF101">
            <v>102682486</v>
          </cell>
          <cell r="AG101">
            <v>271979</v>
          </cell>
          <cell r="AH101">
            <v>2.5</v>
          </cell>
        </row>
        <row r="103">
          <cell r="B103">
            <v>42696540</v>
          </cell>
          <cell r="AJ103">
            <v>21168</v>
          </cell>
        </row>
        <row r="104">
          <cell r="B104">
            <v>35865870</v>
          </cell>
          <cell r="AJ104">
            <v>21196</v>
          </cell>
        </row>
        <row r="105">
          <cell r="B105">
            <v>36893370</v>
          </cell>
          <cell r="AJ105">
            <v>21181</v>
          </cell>
        </row>
        <row r="106">
          <cell r="B106">
            <v>32546810</v>
          </cell>
          <cell r="AJ106">
            <v>21170</v>
          </cell>
        </row>
        <row r="107">
          <cell r="B107">
            <v>30411992.307692301</v>
          </cell>
          <cell r="AJ107">
            <v>21149</v>
          </cell>
        </row>
        <row r="108">
          <cell r="B108">
            <v>32954969.230769198</v>
          </cell>
          <cell r="AJ108">
            <v>21118</v>
          </cell>
        </row>
        <row r="109">
          <cell r="B109">
            <v>35112530.769230798</v>
          </cell>
          <cell r="AJ109">
            <v>21020</v>
          </cell>
        </row>
        <row r="110">
          <cell r="B110">
            <v>38795184.615384601</v>
          </cell>
          <cell r="AJ110">
            <v>20991</v>
          </cell>
        </row>
        <row r="111">
          <cell r="B111">
            <v>32382923.076923098</v>
          </cell>
          <cell r="AJ111">
            <v>21063</v>
          </cell>
        </row>
        <row r="112">
          <cell r="B112">
            <v>32302730.769230802</v>
          </cell>
          <cell r="AJ112">
            <v>21140</v>
          </cell>
        </row>
        <row r="113">
          <cell r="B113">
            <v>32596484.615384601</v>
          </cell>
          <cell r="AJ113">
            <v>21205</v>
          </cell>
        </row>
        <row r="114">
          <cell r="B114">
            <v>37057807.692307703</v>
          </cell>
          <cell r="AJ114">
            <v>21285</v>
          </cell>
        </row>
        <row r="115">
          <cell r="D115">
            <v>152428517.84</v>
          </cell>
          <cell r="F115">
            <v>19277.083333333332</v>
          </cell>
          <cell r="H115">
            <v>54644526.329999998</v>
          </cell>
          <cell r="J115">
            <v>1690.1666666666667</v>
          </cell>
          <cell r="L115">
            <v>135381160.95000002</v>
          </cell>
          <cell r="N115">
            <v>390493.22</v>
          </cell>
          <cell r="O115">
            <v>170.75</v>
          </cell>
          <cell r="Q115">
            <v>4691957</v>
          </cell>
          <cell r="S115">
            <v>13091.060000000001</v>
          </cell>
          <cell r="T115">
            <v>6709.416666666667</v>
          </cell>
          <cell r="V115">
            <v>1052725.24</v>
          </cell>
          <cell r="X115">
            <v>3630.8800000000006</v>
          </cell>
          <cell r="Y115">
            <v>679.66666666666663</v>
          </cell>
          <cell r="AA115">
            <v>1151826.33</v>
          </cell>
          <cell r="AC115">
            <v>230.5</v>
          </cell>
          <cell r="AF115">
            <v>48153613</v>
          </cell>
          <cell r="AG115">
            <v>195437</v>
          </cell>
          <cell r="AH115">
            <v>2.5</v>
          </cell>
        </row>
        <row r="117">
          <cell r="B117">
            <v>38555453.846153803</v>
          </cell>
          <cell r="AJ117">
            <v>21337</v>
          </cell>
        </row>
        <row r="118">
          <cell r="B118">
            <v>35503923.076923102</v>
          </cell>
          <cell r="AJ118">
            <v>21373</v>
          </cell>
        </row>
        <row r="119">
          <cell r="B119">
            <v>36616969.230769202</v>
          </cell>
          <cell r="AJ119">
            <v>21285</v>
          </cell>
        </row>
        <row r="120">
          <cell r="B120">
            <v>31620684.615384601</v>
          </cell>
          <cell r="AJ120">
            <v>21292</v>
          </cell>
        </row>
        <row r="121">
          <cell r="B121">
            <v>34713300</v>
          </cell>
          <cell r="AJ121">
            <v>21256</v>
          </cell>
        </row>
        <row r="122">
          <cell r="B122">
            <v>38175215.384615399</v>
          </cell>
          <cell r="AJ122">
            <v>21221</v>
          </cell>
        </row>
        <row r="123">
          <cell r="B123">
            <v>43449461.538461499</v>
          </cell>
          <cell r="AJ123">
            <v>21238</v>
          </cell>
        </row>
        <row r="124">
          <cell r="B124">
            <v>42901115.384615399</v>
          </cell>
          <cell r="AJ124">
            <v>21219</v>
          </cell>
        </row>
        <row r="125">
          <cell r="B125">
            <v>34876669.230769202</v>
          </cell>
          <cell r="AJ125">
            <v>21290</v>
          </cell>
        </row>
        <row r="126">
          <cell r="B126">
            <v>33323746.1538461</v>
          </cell>
          <cell r="AJ126">
            <v>21329</v>
          </cell>
        </row>
        <row r="127">
          <cell r="B127">
            <v>35291992.307692297</v>
          </cell>
          <cell r="AJ127">
            <v>21323</v>
          </cell>
        </row>
        <row r="128">
          <cell r="B128">
            <v>38566092.307692297</v>
          </cell>
          <cell r="AJ128">
            <v>21421</v>
          </cell>
        </row>
        <row r="129">
          <cell r="D129">
            <v>159733337.50999999</v>
          </cell>
          <cell r="F129">
            <v>19434.333333333332</v>
          </cell>
          <cell r="H129">
            <v>54184999.660000004</v>
          </cell>
          <cell r="J129">
            <v>1690.6666666666667</v>
          </cell>
          <cell r="L129">
            <v>144932476.47</v>
          </cell>
          <cell r="N129">
            <v>432238.21</v>
          </cell>
          <cell r="O129">
            <v>172.33333333333334</v>
          </cell>
          <cell r="Q129">
            <v>4700576</v>
          </cell>
          <cell r="S129">
            <v>13118.889999999998</v>
          </cell>
          <cell r="T129">
            <v>6737.666666666667</v>
          </cell>
          <cell r="V129">
            <v>908961.79999999993</v>
          </cell>
          <cell r="X129">
            <v>2816.28</v>
          </cell>
          <cell r="Y129">
            <v>679.16666666666663</v>
          </cell>
          <cell r="AA129">
            <v>1128126.51</v>
          </cell>
          <cell r="AC129">
            <v>227.25</v>
          </cell>
          <cell r="AF129">
            <v>60389409</v>
          </cell>
          <cell r="AG129">
            <v>168338</v>
          </cell>
          <cell r="AH129">
            <v>1.3333333333333333</v>
          </cell>
        </row>
        <row r="131">
          <cell r="B131">
            <v>40900176.416666664</v>
          </cell>
          <cell r="AJ131">
            <v>21445.222222222223</v>
          </cell>
        </row>
        <row r="132">
          <cell r="B132">
            <v>37002004.416666664</v>
          </cell>
          <cell r="AJ132">
            <v>21469.444444444445</v>
          </cell>
        </row>
        <row r="133">
          <cell r="B133">
            <v>39251866.416666664</v>
          </cell>
          <cell r="AJ133">
            <v>21493.666666666672</v>
          </cell>
        </row>
        <row r="134">
          <cell r="B134">
            <v>34076716.416666664</v>
          </cell>
          <cell r="AJ134">
            <v>21517.888888888894</v>
          </cell>
        </row>
        <row r="135">
          <cell r="B135">
            <v>34411223.416666664</v>
          </cell>
          <cell r="AJ135">
            <v>21542.11111111112</v>
          </cell>
        </row>
        <row r="136">
          <cell r="B136">
            <v>38049473.416666664</v>
          </cell>
          <cell r="AJ136">
            <v>21566.333333333343</v>
          </cell>
        </row>
        <row r="137">
          <cell r="B137">
            <v>46034684.416666664</v>
          </cell>
          <cell r="AJ137">
            <v>21590.555555555569</v>
          </cell>
        </row>
        <row r="138">
          <cell r="B138">
            <v>42762335.416666664</v>
          </cell>
          <cell r="AJ138">
            <v>21614.777777777792</v>
          </cell>
        </row>
        <row r="139">
          <cell r="B139">
            <v>34007841.416666664</v>
          </cell>
          <cell r="AJ139">
            <v>21639.000000000015</v>
          </cell>
        </row>
        <row r="140">
          <cell r="B140">
            <v>32896105.416666668</v>
          </cell>
          <cell r="AJ140">
            <v>21663.222222222237</v>
          </cell>
        </row>
        <row r="141">
          <cell r="B141">
            <v>34363376.416666664</v>
          </cell>
          <cell r="AJ141">
            <v>21687.44444444446</v>
          </cell>
        </row>
        <row r="142">
          <cell r="B142">
            <v>37465044.416666664</v>
          </cell>
          <cell r="AJ142">
            <v>21711.66666666669</v>
          </cell>
        </row>
        <row r="143">
          <cell r="D143">
            <v>158621921</v>
          </cell>
          <cell r="F143">
            <v>19716.902777777785</v>
          </cell>
          <cell r="H143">
            <v>54435719</v>
          </cell>
          <cell r="J143">
            <v>1690.8055555555559</v>
          </cell>
          <cell r="L143">
            <v>150174158</v>
          </cell>
          <cell r="N143">
            <v>417210</v>
          </cell>
          <cell r="O143">
            <v>169.73611111111106</v>
          </cell>
          <cell r="Q143">
            <v>4730347</v>
          </cell>
          <cell r="S143">
            <v>13148</v>
          </cell>
          <cell r="T143">
            <v>6739</v>
          </cell>
          <cell r="V143">
            <v>894240</v>
          </cell>
          <cell r="X143">
            <v>2462</v>
          </cell>
          <cell r="Y143">
            <v>663.28472222222206</v>
          </cell>
          <cell r="AA143">
            <v>1122904</v>
          </cell>
          <cell r="AC143">
            <v>226.32291666666671</v>
          </cell>
          <cell r="AF143">
            <v>59993492</v>
          </cell>
          <cell r="AG143">
            <v>170236</v>
          </cell>
          <cell r="AH143">
            <v>1</v>
          </cell>
        </row>
        <row r="145">
          <cell r="B145">
            <v>38332945</v>
          </cell>
          <cell r="AJ145">
            <v>21863</v>
          </cell>
        </row>
        <row r="146">
          <cell r="B146">
            <v>35663980</v>
          </cell>
          <cell r="AJ146">
            <v>21957</v>
          </cell>
        </row>
        <row r="147">
          <cell r="B147">
            <v>34848118</v>
          </cell>
          <cell r="AJ147">
            <v>21953</v>
          </cell>
        </row>
        <row r="148">
          <cell r="B148">
            <v>29360304</v>
          </cell>
          <cell r="AJ148">
            <v>21950</v>
          </cell>
        </row>
        <row r="149">
          <cell r="B149">
            <v>33203358</v>
          </cell>
          <cell r="AJ149">
            <v>21973</v>
          </cell>
        </row>
        <row r="150">
          <cell r="B150">
            <v>33725678</v>
          </cell>
          <cell r="AJ150">
            <v>21985</v>
          </cell>
        </row>
        <row r="151">
          <cell r="B151">
            <v>42152151.322580643</v>
          </cell>
          <cell r="AJ151">
            <v>21988</v>
          </cell>
        </row>
        <row r="152">
          <cell r="B152">
            <v>39128268</v>
          </cell>
          <cell r="AJ152">
            <v>22002</v>
          </cell>
        </row>
        <row r="153">
          <cell r="B153">
            <v>33338864</v>
          </cell>
          <cell r="AJ153">
            <v>22010</v>
          </cell>
        </row>
        <row r="154">
          <cell r="B154">
            <v>32606142</v>
          </cell>
          <cell r="AJ154">
            <v>22014</v>
          </cell>
        </row>
        <row r="155">
          <cell r="B155">
            <v>34295421</v>
          </cell>
          <cell r="AJ155">
            <v>22047</v>
          </cell>
        </row>
        <row r="156">
          <cell r="B156">
            <v>35015935</v>
          </cell>
          <cell r="AJ156">
            <v>22053</v>
          </cell>
        </row>
        <row r="157">
          <cell r="D157">
            <v>159179968</v>
          </cell>
          <cell r="F157">
            <v>20109.833333333332</v>
          </cell>
          <cell r="H157">
            <v>50022065</v>
          </cell>
          <cell r="J157">
            <v>1698.8333333333333</v>
          </cell>
          <cell r="L157">
            <v>141440866.32258064</v>
          </cell>
          <cell r="N157">
            <v>387769</v>
          </cell>
          <cell r="O157">
            <v>173.25</v>
          </cell>
          <cell r="Q157">
            <v>4479319</v>
          </cell>
          <cell r="S157">
            <v>12420</v>
          </cell>
          <cell r="T157">
            <v>6749.166666666667</v>
          </cell>
          <cell r="V157">
            <v>849278</v>
          </cell>
          <cell r="X157">
            <v>2331</v>
          </cell>
          <cell r="Y157">
            <v>626.84577546296293</v>
          </cell>
          <cell r="AA157">
            <v>1085389</v>
          </cell>
          <cell r="AC157">
            <v>220.70008680555566</v>
          </cell>
          <cell r="AF157">
            <v>48424320</v>
          </cell>
          <cell r="AG157">
            <v>152573</v>
          </cell>
          <cell r="AH157">
            <v>1</v>
          </cell>
        </row>
        <row r="159">
          <cell r="B159">
            <v>37762681.75</v>
          </cell>
          <cell r="AJ159">
            <v>22066</v>
          </cell>
        </row>
        <row r="160">
          <cell r="B160">
            <v>33318398.75</v>
          </cell>
          <cell r="AJ160">
            <v>22089</v>
          </cell>
        </row>
        <row r="161">
          <cell r="B161">
            <v>34776845.75</v>
          </cell>
          <cell r="AJ161">
            <v>22091</v>
          </cell>
        </row>
        <row r="162">
          <cell r="B162">
            <v>31363088.75</v>
          </cell>
          <cell r="AJ162">
            <v>22090</v>
          </cell>
        </row>
        <row r="163">
          <cell r="B163">
            <v>31691626.75</v>
          </cell>
          <cell r="AJ163">
            <v>22106</v>
          </cell>
        </row>
        <row r="164">
          <cell r="B164">
            <v>33388744.75</v>
          </cell>
          <cell r="AJ164">
            <v>22128</v>
          </cell>
        </row>
        <row r="165">
          <cell r="B165">
            <v>40707062.75</v>
          </cell>
          <cell r="AJ165">
            <v>22132</v>
          </cell>
        </row>
        <row r="166">
          <cell r="B166">
            <v>35841331.75</v>
          </cell>
          <cell r="AJ166">
            <v>22153</v>
          </cell>
        </row>
        <row r="167">
          <cell r="B167">
            <v>32423202.75</v>
          </cell>
          <cell r="AJ167">
            <v>22169</v>
          </cell>
        </row>
        <row r="168">
          <cell r="B168">
            <v>32735799.75</v>
          </cell>
          <cell r="AJ168">
            <v>22189</v>
          </cell>
        </row>
        <row r="169">
          <cell r="B169">
            <v>33760116.75</v>
          </cell>
          <cell r="AJ169">
            <v>22208</v>
          </cell>
        </row>
        <row r="170">
          <cell r="B170">
            <v>37600715.75</v>
          </cell>
          <cell r="AJ170">
            <v>22234</v>
          </cell>
        </row>
        <row r="171">
          <cell r="D171">
            <v>158724607</v>
          </cell>
          <cell r="F171">
            <v>20265.75</v>
          </cell>
          <cell r="H171">
            <v>52726527</v>
          </cell>
          <cell r="J171">
            <v>1698.5</v>
          </cell>
          <cell r="L171">
            <v>138149957</v>
          </cell>
          <cell r="N171">
            <v>389545</v>
          </cell>
          <cell r="O171">
            <v>172.66666666666666</v>
          </cell>
          <cell r="Q171">
            <v>2844301</v>
          </cell>
          <cell r="S171">
            <v>7923</v>
          </cell>
          <cell r="T171">
            <v>6778.916666666667</v>
          </cell>
          <cell r="V171">
            <v>782990</v>
          </cell>
          <cell r="X171">
            <v>2186</v>
          </cell>
          <cell r="Y171">
            <v>580.25</v>
          </cell>
          <cell r="AA171">
            <v>989250</v>
          </cell>
          <cell r="AC171">
            <v>235.5</v>
          </cell>
          <cell r="AF171">
            <v>44784691</v>
          </cell>
          <cell r="AG171">
            <v>153121</v>
          </cell>
          <cell r="AH171">
            <v>1</v>
          </cell>
        </row>
        <row r="173">
          <cell r="B173">
            <v>40157304.416666664</v>
          </cell>
          <cell r="AJ173">
            <v>22330</v>
          </cell>
        </row>
        <row r="174">
          <cell r="B174">
            <v>35890736.416666664</v>
          </cell>
          <cell r="AJ174">
            <v>22326</v>
          </cell>
        </row>
        <row r="175">
          <cell r="B175">
            <v>37345081.416666664</v>
          </cell>
          <cell r="AJ175">
            <v>22340</v>
          </cell>
        </row>
        <row r="176">
          <cell r="B176">
            <v>29856156.416666668</v>
          </cell>
          <cell r="AJ176">
            <v>22334</v>
          </cell>
        </row>
        <row r="177">
          <cell r="B177">
            <v>27591366.416666668</v>
          </cell>
          <cell r="AJ177">
            <v>22336</v>
          </cell>
        </row>
        <row r="178">
          <cell r="B178">
            <v>32152920.416666668</v>
          </cell>
          <cell r="AJ178">
            <v>22351</v>
          </cell>
        </row>
        <row r="179">
          <cell r="B179">
            <v>33898997.416666664</v>
          </cell>
          <cell r="AJ179">
            <v>22375</v>
          </cell>
        </row>
        <row r="180">
          <cell r="B180">
            <v>33235703.416666668</v>
          </cell>
          <cell r="AJ180">
            <v>22386</v>
          </cell>
        </row>
        <row r="181">
          <cell r="B181">
            <v>28690043.416666668</v>
          </cell>
          <cell r="AJ181">
            <v>22411</v>
          </cell>
        </row>
        <row r="182">
          <cell r="B182">
            <v>29545098.416666668</v>
          </cell>
          <cell r="AJ182">
            <v>22460</v>
          </cell>
        </row>
        <row r="183">
          <cell r="B183">
            <v>30497875.416666668</v>
          </cell>
          <cell r="AJ183">
            <v>22458</v>
          </cell>
        </row>
        <row r="184">
          <cell r="B184">
            <v>32693713.416666668</v>
          </cell>
          <cell r="AJ184">
            <v>22470</v>
          </cell>
        </row>
        <row r="185">
          <cell r="D185">
            <v>158185053</v>
          </cell>
          <cell r="F185">
            <v>20472.166666666668</v>
          </cell>
          <cell r="H185">
            <v>53903009</v>
          </cell>
          <cell r="J185">
            <v>1742.8333333333333</v>
          </cell>
          <cell r="L185">
            <v>144192534</v>
          </cell>
          <cell r="N185">
            <v>402375</v>
          </cell>
          <cell r="O185">
            <v>165.41666666666666</v>
          </cell>
          <cell r="Q185">
            <v>2503378</v>
          </cell>
          <cell r="S185">
            <v>6992</v>
          </cell>
          <cell r="T185">
            <v>6784.333333333333</v>
          </cell>
          <cell r="V185">
            <v>767199</v>
          </cell>
          <cell r="X185">
            <v>2120</v>
          </cell>
          <cell r="Y185">
            <v>519.16666666666663</v>
          </cell>
          <cell r="AA185">
            <v>966945</v>
          </cell>
          <cell r="AC185">
            <v>259.33333333333331</v>
          </cell>
          <cell r="AF185">
            <v>20367511</v>
          </cell>
          <cell r="AG185">
            <v>59144</v>
          </cell>
          <cell r="AH185">
            <v>1</v>
          </cell>
        </row>
        <row r="187">
          <cell r="B187">
            <v>35250727.083333336</v>
          </cell>
          <cell r="AJ187">
            <v>22484</v>
          </cell>
        </row>
        <row r="188">
          <cell r="B188">
            <v>32507721.083333332</v>
          </cell>
          <cell r="AJ188">
            <v>22480</v>
          </cell>
        </row>
        <row r="189">
          <cell r="B189">
            <v>32200533.083333332</v>
          </cell>
          <cell r="AJ189">
            <v>22502</v>
          </cell>
        </row>
        <row r="190">
          <cell r="B190">
            <v>27396995.083333332</v>
          </cell>
          <cell r="AJ190">
            <v>22537</v>
          </cell>
        </row>
        <row r="191">
          <cell r="B191">
            <v>28717672.083333332</v>
          </cell>
          <cell r="AJ191">
            <v>22526</v>
          </cell>
        </row>
        <row r="192">
          <cell r="B192">
            <v>29735254.083333332</v>
          </cell>
          <cell r="AJ192">
            <v>22535</v>
          </cell>
        </row>
        <row r="193">
          <cell r="B193">
            <v>35302271.083333336</v>
          </cell>
          <cell r="AJ193">
            <v>22560</v>
          </cell>
        </row>
        <row r="194">
          <cell r="B194">
            <v>33761714.083333336</v>
          </cell>
          <cell r="AJ194">
            <v>22588</v>
          </cell>
        </row>
        <row r="195">
          <cell r="B195">
            <v>32384101.083333332</v>
          </cell>
          <cell r="AJ195">
            <v>22606</v>
          </cell>
        </row>
        <row r="196">
          <cell r="B196">
            <v>27193803.083333332</v>
          </cell>
          <cell r="AJ196">
            <v>22626</v>
          </cell>
        </row>
        <row r="197">
          <cell r="B197">
            <v>27893759.083333332</v>
          </cell>
          <cell r="AJ197">
            <v>22650</v>
          </cell>
        </row>
        <row r="198">
          <cell r="B198">
            <v>30136379.083333332</v>
          </cell>
          <cell r="AJ198">
            <v>22667</v>
          </cell>
        </row>
        <row r="199">
          <cell r="D199">
            <v>157973719</v>
          </cell>
          <cell r="F199">
            <v>20635.5</v>
          </cell>
          <cell r="H199">
            <v>54312604</v>
          </cell>
          <cell r="J199">
            <v>1769.0833333333333</v>
          </cell>
          <cell r="L199">
            <v>139796962</v>
          </cell>
          <cell r="N199">
            <v>402768</v>
          </cell>
          <cell r="O199">
            <v>158.83333333333334</v>
          </cell>
          <cell r="Q199">
            <v>2284687</v>
          </cell>
          <cell r="S199">
            <v>6476</v>
          </cell>
          <cell r="T199">
            <v>6792.583333333333</v>
          </cell>
          <cell r="V199">
            <v>753964</v>
          </cell>
          <cell r="X199">
            <v>2077</v>
          </cell>
          <cell r="Y199">
            <v>515.08333333333337</v>
          </cell>
          <cell r="AA199">
            <v>970041</v>
          </cell>
          <cell r="AC199">
            <v>256.66666666666669</v>
          </cell>
          <cell r="AF199">
            <v>277079</v>
          </cell>
          <cell r="AG199">
            <v>479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Wholesale Purchased Details"/>
      <sheetName val="GS&gt;50kWh with Wholesale"/>
    </sheetNames>
    <sheetDataSet>
      <sheetData sheetId="0">
        <row r="203">
          <cell r="B203">
            <v>33086719.186999999</v>
          </cell>
          <cell r="F203">
            <v>20753</v>
          </cell>
          <cell r="J203">
            <v>1760</v>
          </cell>
          <cell r="O203">
            <v>157</v>
          </cell>
        </row>
        <row r="204">
          <cell r="B204">
            <v>30387692.328999996</v>
          </cell>
          <cell r="F204">
            <v>20779</v>
          </cell>
          <cell r="J204">
            <v>1760</v>
          </cell>
          <cell r="O204">
            <v>156</v>
          </cell>
        </row>
        <row r="205">
          <cell r="B205">
            <v>29517635.518999998</v>
          </cell>
          <cell r="F205">
            <v>20778</v>
          </cell>
          <cell r="J205">
            <v>1764</v>
          </cell>
          <cell r="O205">
            <v>157</v>
          </cell>
        </row>
        <row r="206">
          <cell r="B206">
            <v>27543104.184</v>
          </cell>
          <cell r="F206">
            <v>20791</v>
          </cell>
          <cell r="J206">
            <v>1767</v>
          </cell>
          <cell r="O206">
            <v>159</v>
          </cell>
        </row>
        <row r="207">
          <cell r="B207">
            <v>28092238.999499999</v>
          </cell>
          <cell r="F207">
            <v>20791</v>
          </cell>
          <cell r="J207">
            <v>1772</v>
          </cell>
          <cell r="O207">
            <v>159</v>
          </cell>
        </row>
        <row r="208">
          <cell r="B208">
            <v>32022793.425000001</v>
          </cell>
          <cell r="F208">
            <v>20805</v>
          </cell>
          <cell r="J208">
            <v>1770</v>
          </cell>
          <cell r="O208">
            <v>158</v>
          </cell>
        </row>
        <row r="209">
          <cell r="B209">
            <v>38626683.784999996</v>
          </cell>
          <cell r="F209">
            <v>20835</v>
          </cell>
          <cell r="J209">
            <v>1768</v>
          </cell>
          <cell r="O209">
            <v>158</v>
          </cell>
        </row>
        <row r="210">
          <cell r="B210">
            <v>41485016.7535</v>
          </cell>
          <cell r="F210">
            <v>20842</v>
          </cell>
          <cell r="J210">
            <v>1774</v>
          </cell>
          <cell r="O210">
            <v>159</v>
          </cell>
        </row>
        <row r="211">
          <cell r="B211">
            <v>31934436.811499998</v>
          </cell>
          <cell r="F211">
            <v>20849</v>
          </cell>
          <cell r="J211">
            <v>1775</v>
          </cell>
          <cell r="O211">
            <v>160</v>
          </cell>
        </row>
        <row r="212">
          <cell r="B212">
            <v>27675719.695999999</v>
          </cell>
          <cell r="F212">
            <v>20857</v>
          </cell>
          <cell r="J212">
            <v>1775</v>
          </cell>
          <cell r="O212">
            <v>161</v>
          </cell>
        </row>
        <row r="213">
          <cell r="B213">
            <v>28120165.884500001</v>
          </cell>
          <cell r="F213">
            <v>20883</v>
          </cell>
          <cell r="J213">
            <v>1779</v>
          </cell>
          <cell r="O213">
            <v>162</v>
          </cell>
        </row>
        <row r="214">
          <cell r="B214">
            <v>32088231.274499997</v>
          </cell>
          <cell r="F214">
            <v>20907</v>
          </cell>
          <cell r="J214">
            <v>1783</v>
          </cell>
          <cell r="O214">
            <v>162</v>
          </cell>
        </row>
        <row r="215">
          <cell r="D215">
            <v>163109690</v>
          </cell>
          <cell r="F215">
            <v>20822.5</v>
          </cell>
          <cell r="H215">
            <v>53545593</v>
          </cell>
          <cell r="J215">
            <v>1770.5833333333333</v>
          </cell>
          <cell r="L215">
            <v>143431671</v>
          </cell>
          <cell r="N215">
            <v>396528</v>
          </cell>
          <cell r="O215">
            <v>159</v>
          </cell>
          <cell r="Q215">
            <v>1575426</v>
          </cell>
          <cell r="S215">
            <v>4561</v>
          </cell>
          <cell r="T215">
            <v>6825</v>
          </cell>
          <cell r="V215">
            <v>749437</v>
          </cell>
          <cell r="X215">
            <v>2061</v>
          </cell>
          <cell r="Y215">
            <v>508.75</v>
          </cell>
          <cell r="AA215">
            <v>976708</v>
          </cell>
          <cell r="AC215">
            <v>261.33333333333331</v>
          </cell>
          <cell r="AF21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47">
          <cell r="Q47">
            <v>4054</v>
          </cell>
          <cell r="S47">
            <v>4350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1592.6489792038506</v>
          </cell>
          <cell r="F19">
            <v>1592.6489792038506</v>
          </cell>
          <cell r="G19">
            <v>1592.6489792038506</v>
          </cell>
          <cell r="H19">
            <v>1592.6489792038506</v>
          </cell>
          <cell r="I19">
            <v>276.60786237725119</v>
          </cell>
          <cell r="J19">
            <v>276.60786237725119</v>
          </cell>
          <cell r="K19">
            <v>253.02088596673747</v>
          </cell>
          <cell r="L19">
            <v>253.02088596673747</v>
          </cell>
          <cell r="M19">
            <v>237.75210632149077</v>
          </cell>
          <cell r="N19">
            <v>237.75210632149077</v>
          </cell>
          <cell r="O19">
            <v>224.62329757342923</v>
          </cell>
          <cell r="P19">
            <v>224.62329757342923</v>
          </cell>
        </row>
        <row r="20">
          <cell r="E20">
            <v>0</v>
          </cell>
          <cell r="F20">
            <v>754.92009632514714</v>
          </cell>
          <cell r="G20">
            <v>748.57953182069832</v>
          </cell>
          <cell r="H20">
            <v>748.57953182069832</v>
          </cell>
          <cell r="I20">
            <v>748.57953182069832</v>
          </cell>
          <cell r="J20">
            <v>748.47601761557303</v>
          </cell>
          <cell r="K20">
            <v>726.78393993460531</v>
          </cell>
          <cell r="L20">
            <v>726.78393993460531</v>
          </cell>
          <cell r="M20">
            <v>726.78393993460531</v>
          </cell>
          <cell r="N20">
            <v>255.42524420212723</v>
          </cell>
          <cell r="O20">
            <v>194.02121847494504</v>
          </cell>
          <cell r="P20">
            <v>114.29947685377283</v>
          </cell>
        </row>
        <row r="21">
          <cell r="E21">
            <v>0</v>
          </cell>
          <cell r="F21">
            <v>0</v>
          </cell>
          <cell r="G21">
            <v>1698.9911457649271</v>
          </cell>
          <cell r="H21">
            <v>1421.2454083835335</v>
          </cell>
          <cell r="I21">
            <v>1421.2454083835335</v>
          </cell>
          <cell r="J21">
            <v>1421.2454083835335</v>
          </cell>
          <cell r="K21">
            <v>1351.5104887136356</v>
          </cell>
          <cell r="L21">
            <v>1351.2622687136356</v>
          </cell>
          <cell r="M21">
            <v>1278.9039665952375</v>
          </cell>
          <cell r="N21">
            <v>1224.8461876169133</v>
          </cell>
          <cell r="O21">
            <v>983.66591170271067</v>
          </cell>
          <cell r="P21">
            <v>853.24362457395205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1770.3930768008443</v>
          </cell>
          <cell r="I22">
            <v>1504.1362745296419</v>
          </cell>
          <cell r="J22">
            <v>1504.1362745296419</v>
          </cell>
          <cell r="K22">
            <v>1503.3235261772784</v>
          </cell>
          <cell r="L22">
            <v>1455.7351482302615</v>
          </cell>
          <cell r="M22">
            <v>1319.2534374830393</v>
          </cell>
          <cell r="N22">
            <v>1283.1767253687281</v>
          </cell>
          <cell r="O22">
            <v>1282.3895574009448</v>
          </cell>
          <cell r="P22">
            <v>911.40488386924267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2319.9876243285594</v>
          </cell>
          <cell r="J23">
            <v>1830.0499655791743</v>
          </cell>
          <cell r="K23">
            <v>1827.9508740589647</v>
          </cell>
          <cell r="L23">
            <v>1826.8767060636785</v>
          </cell>
          <cell r="M23">
            <v>1747.3824583799858</v>
          </cell>
          <cell r="N23">
            <v>1483.6481075452314</v>
          </cell>
          <cell r="O23">
            <v>1475.875932981952</v>
          </cell>
          <cell r="P23">
            <v>1354.0410209617514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37">
          <cell r="AR37">
            <v>2299.6634182224193</v>
          </cell>
          <cell r="AS37">
            <v>2298.0643202224187</v>
          </cell>
          <cell r="AT37">
            <v>2281.0517176151302</v>
          </cell>
          <cell r="AU37">
            <v>2115.6132585554997</v>
          </cell>
          <cell r="AV37">
            <v>2068.3965962145567</v>
          </cell>
          <cell r="AW37">
            <v>1981.5335186569621</v>
          </cell>
          <cell r="AX37">
            <v>1842.6201901463883</v>
          </cell>
        </row>
      </sheetData>
      <sheetData sheetId="1">
        <row r="38">
          <cell r="AR38">
            <v>1258.4993935038303</v>
          </cell>
          <cell r="AS38">
            <v>1121.1476103869356</v>
          </cell>
          <cell r="AT38">
            <v>1118.6113663241597</v>
          </cell>
          <cell r="AU38">
            <v>1079.0065886896602</v>
          </cell>
          <cell r="AV38">
            <v>801.20002494319601</v>
          </cell>
          <cell r="AW38">
            <v>687.69914681012494</v>
          </cell>
        </row>
      </sheetData>
      <sheetData sheetId="2">
        <row r="37">
          <cell r="AT37">
            <v>4622.1689196876068</v>
          </cell>
          <cell r="AU37">
            <v>4431.6697522180575</v>
          </cell>
          <cell r="AV37">
            <v>4418.6520246126547</v>
          </cell>
          <cell r="AW37">
            <v>4327.5263237240342</v>
          </cell>
          <cell r="AX37">
            <v>3448.6609037812427</v>
          </cell>
        </row>
      </sheetData>
      <sheetData sheetId="3">
        <row r="48">
          <cell r="AU48">
            <v>2301.5730780724489</v>
          </cell>
          <cell r="AV48">
            <v>2254.7155472924487</v>
          </cell>
          <cell r="AW48">
            <v>2205.4911289437491</v>
          </cell>
          <cell r="AX48">
            <v>2850.3736680121492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How to Use this Report"/>
      <sheetName val="Energy Savings"/>
      <sheetName val="Demand Savings"/>
    </sheetNames>
    <sheetDataSet>
      <sheetData sheetId="0"/>
      <sheetData sheetId="1"/>
      <sheetData sheetId="2">
        <row r="33">
          <cell r="F33">
            <v>1899912</v>
          </cell>
          <cell r="G33">
            <v>1875154</v>
          </cell>
          <cell r="H33">
            <v>1813590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IP"/>
      <sheetName val="HPNC Gen 1"/>
    </sheetNames>
    <sheetDataSet>
      <sheetData sheetId="0">
        <row r="7">
          <cell r="B7" t="str">
            <v>Niagara Health System</v>
          </cell>
        </row>
        <row r="8">
          <cell r="B8" t="str">
            <v>Niagara College</v>
          </cell>
        </row>
        <row r="9">
          <cell r="B9" t="str">
            <v>42 Rice Road</v>
          </cell>
        </row>
        <row r="10">
          <cell r="B10" t="str">
            <v>Welded Tube of Canada</v>
          </cell>
        </row>
        <row r="11">
          <cell r="B11" t="str">
            <v>Sobeys</v>
          </cell>
        </row>
        <row r="12">
          <cell r="B12" t="str">
            <v>Zehrs</v>
          </cell>
        </row>
      </sheetData>
      <sheetData sheetId="1">
        <row r="7">
          <cell r="B7" t="str">
            <v>Niagara College</v>
          </cell>
        </row>
        <row r="8">
          <cell r="B8" t="str">
            <v>Jean Vanier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6-12312016"/>
    </sheetNames>
    <sheetDataSet>
      <sheetData sheetId="0">
        <row r="57">
          <cell r="M57">
            <v>657.2</v>
          </cell>
          <cell r="O57">
            <v>0</v>
          </cell>
        </row>
        <row r="86">
          <cell r="M86">
            <v>587.1</v>
          </cell>
          <cell r="O86">
            <v>0</v>
          </cell>
        </row>
        <row r="117">
          <cell r="M117">
            <v>448.80000000000007</v>
          </cell>
          <cell r="O117">
            <v>0</v>
          </cell>
        </row>
        <row r="147">
          <cell r="M147">
            <v>352.8</v>
          </cell>
          <cell r="O147">
            <v>0</v>
          </cell>
        </row>
        <row r="178">
          <cell r="M178">
            <v>144.60000000000002</v>
          </cell>
          <cell r="O178">
            <v>24.400000000000002</v>
          </cell>
        </row>
        <row r="208">
          <cell r="M208">
            <v>29.2</v>
          </cell>
          <cell r="O208">
            <v>51.699999999999996</v>
          </cell>
        </row>
        <row r="239">
          <cell r="M239">
            <v>0</v>
          </cell>
          <cell r="O239">
            <v>140.69999999999996</v>
          </cell>
        </row>
        <row r="270">
          <cell r="M270">
            <v>0.1</v>
          </cell>
          <cell r="O270">
            <v>159.30000000000001</v>
          </cell>
        </row>
        <row r="300">
          <cell r="M300">
            <v>34.299999999999997</v>
          </cell>
          <cell r="O300">
            <v>47.3</v>
          </cell>
        </row>
        <row r="331">
          <cell r="M331">
            <v>184.50000000000003</v>
          </cell>
          <cell r="O331">
            <v>5.0999999999999996</v>
          </cell>
        </row>
        <row r="361">
          <cell r="M361">
            <v>356.7</v>
          </cell>
          <cell r="O361">
            <v>0</v>
          </cell>
        </row>
        <row r="392">
          <cell r="M392">
            <v>567.70000000000005</v>
          </cell>
          <cell r="O3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B625"/>
  <sheetViews>
    <sheetView tabSelected="1" topLeftCell="A287" zoomScale="115" zoomScaleNormal="115" workbookViewId="0">
      <selection activeCell="B281" sqref="B281"/>
    </sheetView>
  </sheetViews>
  <sheetFormatPr defaultRowHeight="12.75" x14ac:dyDescent="0.2"/>
  <cols>
    <col min="1" max="1" width="20.28515625" style="94" customWidth="1"/>
    <col min="2" max="2" width="11" style="94" customWidth="1"/>
    <col min="3" max="4" width="11.140625" style="94" customWidth="1"/>
    <col min="5" max="5" width="12.7109375" style="94" customWidth="1"/>
    <col min="6" max="6" width="11.42578125" style="94" customWidth="1"/>
    <col min="7" max="10" width="11.28515625" style="94" customWidth="1"/>
    <col min="11" max="11" width="35.42578125" style="94" customWidth="1"/>
    <col min="12" max="12" width="13.140625" style="94" customWidth="1"/>
    <col min="13" max="13" width="11.42578125" style="94" bestFit="1" customWidth="1"/>
    <col min="14" max="14" width="40.5703125" style="94" bestFit="1" customWidth="1"/>
    <col min="15" max="15" width="11" style="94" customWidth="1"/>
    <col min="16" max="16" width="21.85546875" style="94" customWidth="1"/>
    <col min="17" max="24" width="10.5703125" style="94" customWidth="1"/>
    <col min="25" max="25" width="9.140625" style="94"/>
    <col min="26" max="26" width="26.7109375" style="94" customWidth="1"/>
    <col min="27" max="27" width="9.85546875" style="94" bestFit="1" customWidth="1"/>
    <col min="28" max="28" width="10.85546875" style="94" bestFit="1" customWidth="1"/>
    <col min="29" max="29" width="9.85546875" style="94" bestFit="1" customWidth="1"/>
    <col min="30" max="30" width="9.140625" style="94"/>
    <col min="31" max="31" width="27.7109375" style="94" customWidth="1"/>
    <col min="32" max="33" width="9.140625" style="94"/>
    <col min="34" max="34" width="5.28515625" style="94" bestFit="1" customWidth="1"/>
    <col min="35" max="35" width="11.140625" style="94" bestFit="1" customWidth="1"/>
    <col min="36" max="36" width="11" style="94" customWidth="1"/>
    <col min="37" max="38" width="11.140625" style="94" bestFit="1" customWidth="1"/>
    <col min="39" max="259" width="9.140625" style="94"/>
    <col min="260" max="260" width="26.85546875" style="94" customWidth="1"/>
    <col min="261" max="261" width="0" style="94" hidden="1" customWidth="1"/>
    <col min="262" max="262" width="12.42578125" style="94" customWidth="1"/>
    <col min="263" max="264" width="11.140625" style="94" customWidth="1"/>
    <col min="265" max="265" width="12.140625" style="94" customWidth="1"/>
    <col min="266" max="266" width="14" style="94" customWidth="1"/>
    <col min="267" max="267" width="12.5703125" style="94" customWidth="1"/>
    <col min="268" max="269" width="13.140625" style="94" customWidth="1"/>
    <col min="270" max="271" width="9.140625" style="94"/>
    <col min="272" max="272" width="11" style="94" customWidth="1"/>
    <col min="273" max="515" width="9.140625" style="94"/>
    <col min="516" max="516" width="26.85546875" style="94" customWidth="1"/>
    <col min="517" max="517" width="0" style="94" hidden="1" customWidth="1"/>
    <col min="518" max="518" width="12.42578125" style="94" customWidth="1"/>
    <col min="519" max="520" width="11.140625" style="94" customWidth="1"/>
    <col min="521" max="521" width="12.140625" style="94" customWidth="1"/>
    <col min="522" max="522" width="14" style="94" customWidth="1"/>
    <col min="523" max="523" width="12.5703125" style="94" customWidth="1"/>
    <col min="524" max="525" width="13.140625" style="94" customWidth="1"/>
    <col min="526" max="527" width="9.140625" style="94"/>
    <col min="528" max="528" width="11" style="94" customWidth="1"/>
    <col min="529" max="771" width="9.140625" style="94"/>
    <col min="772" max="772" width="26.85546875" style="94" customWidth="1"/>
    <col min="773" max="773" width="0" style="94" hidden="1" customWidth="1"/>
    <col min="774" max="774" width="12.42578125" style="94" customWidth="1"/>
    <col min="775" max="776" width="11.140625" style="94" customWidth="1"/>
    <col min="777" max="777" width="12.140625" style="94" customWidth="1"/>
    <col min="778" max="778" width="14" style="94" customWidth="1"/>
    <col min="779" max="779" width="12.5703125" style="94" customWidth="1"/>
    <col min="780" max="781" width="13.140625" style="94" customWidth="1"/>
    <col min="782" max="783" width="9.140625" style="94"/>
    <col min="784" max="784" width="11" style="94" customWidth="1"/>
    <col min="785" max="1027" width="9.140625" style="94"/>
    <col min="1028" max="1028" width="26.85546875" style="94" customWidth="1"/>
    <col min="1029" max="1029" width="0" style="94" hidden="1" customWidth="1"/>
    <col min="1030" max="1030" width="12.42578125" style="94" customWidth="1"/>
    <col min="1031" max="1032" width="11.140625" style="94" customWidth="1"/>
    <col min="1033" max="1033" width="12.140625" style="94" customWidth="1"/>
    <col min="1034" max="1034" width="14" style="94" customWidth="1"/>
    <col min="1035" max="1035" width="12.5703125" style="94" customWidth="1"/>
    <col min="1036" max="1037" width="13.140625" style="94" customWidth="1"/>
    <col min="1038" max="1039" width="9.140625" style="94"/>
    <col min="1040" max="1040" width="11" style="94" customWidth="1"/>
    <col min="1041" max="1283" width="9.140625" style="94"/>
    <col min="1284" max="1284" width="26.85546875" style="94" customWidth="1"/>
    <col min="1285" max="1285" width="0" style="94" hidden="1" customWidth="1"/>
    <col min="1286" max="1286" width="12.42578125" style="94" customWidth="1"/>
    <col min="1287" max="1288" width="11.140625" style="94" customWidth="1"/>
    <col min="1289" max="1289" width="12.140625" style="94" customWidth="1"/>
    <col min="1290" max="1290" width="14" style="94" customWidth="1"/>
    <col min="1291" max="1291" width="12.5703125" style="94" customWidth="1"/>
    <col min="1292" max="1293" width="13.140625" style="94" customWidth="1"/>
    <col min="1294" max="1295" width="9.140625" style="94"/>
    <col min="1296" max="1296" width="11" style="94" customWidth="1"/>
    <col min="1297" max="1539" width="9.140625" style="94"/>
    <col min="1540" max="1540" width="26.85546875" style="94" customWidth="1"/>
    <col min="1541" max="1541" width="0" style="94" hidden="1" customWidth="1"/>
    <col min="1542" max="1542" width="12.42578125" style="94" customWidth="1"/>
    <col min="1543" max="1544" width="11.140625" style="94" customWidth="1"/>
    <col min="1545" max="1545" width="12.140625" style="94" customWidth="1"/>
    <col min="1546" max="1546" width="14" style="94" customWidth="1"/>
    <col min="1547" max="1547" width="12.5703125" style="94" customWidth="1"/>
    <col min="1548" max="1549" width="13.140625" style="94" customWidth="1"/>
    <col min="1550" max="1551" width="9.140625" style="94"/>
    <col min="1552" max="1552" width="11" style="94" customWidth="1"/>
    <col min="1553" max="1795" width="9.140625" style="94"/>
    <col min="1796" max="1796" width="26.85546875" style="94" customWidth="1"/>
    <col min="1797" max="1797" width="0" style="94" hidden="1" customWidth="1"/>
    <col min="1798" max="1798" width="12.42578125" style="94" customWidth="1"/>
    <col min="1799" max="1800" width="11.140625" style="94" customWidth="1"/>
    <col min="1801" max="1801" width="12.140625" style="94" customWidth="1"/>
    <col min="1802" max="1802" width="14" style="94" customWidth="1"/>
    <col min="1803" max="1803" width="12.5703125" style="94" customWidth="1"/>
    <col min="1804" max="1805" width="13.140625" style="94" customWidth="1"/>
    <col min="1806" max="1807" width="9.140625" style="94"/>
    <col min="1808" max="1808" width="11" style="94" customWidth="1"/>
    <col min="1809" max="2051" width="9.140625" style="94"/>
    <col min="2052" max="2052" width="26.85546875" style="94" customWidth="1"/>
    <col min="2053" max="2053" width="0" style="94" hidden="1" customWidth="1"/>
    <col min="2054" max="2054" width="12.42578125" style="94" customWidth="1"/>
    <col min="2055" max="2056" width="11.140625" style="94" customWidth="1"/>
    <col min="2057" max="2057" width="12.140625" style="94" customWidth="1"/>
    <col min="2058" max="2058" width="14" style="94" customWidth="1"/>
    <col min="2059" max="2059" width="12.5703125" style="94" customWidth="1"/>
    <col min="2060" max="2061" width="13.140625" style="94" customWidth="1"/>
    <col min="2062" max="2063" width="9.140625" style="94"/>
    <col min="2064" max="2064" width="11" style="94" customWidth="1"/>
    <col min="2065" max="2307" width="9.140625" style="94"/>
    <col min="2308" max="2308" width="26.85546875" style="94" customWidth="1"/>
    <col min="2309" max="2309" width="0" style="94" hidden="1" customWidth="1"/>
    <col min="2310" max="2310" width="12.42578125" style="94" customWidth="1"/>
    <col min="2311" max="2312" width="11.140625" style="94" customWidth="1"/>
    <col min="2313" max="2313" width="12.140625" style="94" customWidth="1"/>
    <col min="2314" max="2314" width="14" style="94" customWidth="1"/>
    <col min="2315" max="2315" width="12.5703125" style="94" customWidth="1"/>
    <col min="2316" max="2317" width="13.140625" style="94" customWidth="1"/>
    <col min="2318" max="2319" width="9.140625" style="94"/>
    <col min="2320" max="2320" width="11" style="94" customWidth="1"/>
    <col min="2321" max="2563" width="9.140625" style="94"/>
    <col min="2564" max="2564" width="26.85546875" style="94" customWidth="1"/>
    <col min="2565" max="2565" width="0" style="94" hidden="1" customWidth="1"/>
    <col min="2566" max="2566" width="12.42578125" style="94" customWidth="1"/>
    <col min="2567" max="2568" width="11.140625" style="94" customWidth="1"/>
    <col min="2569" max="2569" width="12.140625" style="94" customWidth="1"/>
    <col min="2570" max="2570" width="14" style="94" customWidth="1"/>
    <col min="2571" max="2571" width="12.5703125" style="94" customWidth="1"/>
    <col min="2572" max="2573" width="13.140625" style="94" customWidth="1"/>
    <col min="2574" max="2575" width="9.140625" style="94"/>
    <col min="2576" max="2576" width="11" style="94" customWidth="1"/>
    <col min="2577" max="2819" width="9.140625" style="94"/>
    <col min="2820" max="2820" width="26.85546875" style="94" customWidth="1"/>
    <col min="2821" max="2821" width="0" style="94" hidden="1" customWidth="1"/>
    <col min="2822" max="2822" width="12.42578125" style="94" customWidth="1"/>
    <col min="2823" max="2824" width="11.140625" style="94" customWidth="1"/>
    <col min="2825" max="2825" width="12.140625" style="94" customWidth="1"/>
    <col min="2826" max="2826" width="14" style="94" customWidth="1"/>
    <col min="2827" max="2827" width="12.5703125" style="94" customWidth="1"/>
    <col min="2828" max="2829" width="13.140625" style="94" customWidth="1"/>
    <col min="2830" max="2831" width="9.140625" style="94"/>
    <col min="2832" max="2832" width="11" style="94" customWidth="1"/>
    <col min="2833" max="3075" width="9.140625" style="94"/>
    <col min="3076" max="3076" width="26.85546875" style="94" customWidth="1"/>
    <col min="3077" max="3077" width="0" style="94" hidden="1" customWidth="1"/>
    <col min="3078" max="3078" width="12.42578125" style="94" customWidth="1"/>
    <col min="3079" max="3080" width="11.140625" style="94" customWidth="1"/>
    <col min="3081" max="3081" width="12.140625" style="94" customWidth="1"/>
    <col min="3082" max="3082" width="14" style="94" customWidth="1"/>
    <col min="3083" max="3083" width="12.5703125" style="94" customWidth="1"/>
    <col min="3084" max="3085" width="13.140625" style="94" customWidth="1"/>
    <col min="3086" max="3087" width="9.140625" style="94"/>
    <col min="3088" max="3088" width="11" style="94" customWidth="1"/>
    <col min="3089" max="3331" width="9.140625" style="94"/>
    <col min="3332" max="3332" width="26.85546875" style="94" customWidth="1"/>
    <col min="3333" max="3333" width="0" style="94" hidden="1" customWidth="1"/>
    <col min="3334" max="3334" width="12.42578125" style="94" customWidth="1"/>
    <col min="3335" max="3336" width="11.140625" style="94" customWidth="1"/>
    <col min="3337" max="3337" width="12.140625" style="94" customWidth="1"/>
    <col min="3338" max="3338" width="14" style="94" customWidth="1"/>
    <col min="3339" max="3339" width="12.5703125" style="94" customWidth="1"/>
    <col min="3340" max="3341" width="13.140625" style="94" customWidth="1"/>
    <col min="3342" max="3343" width="9.140625" style="94"/>
    <col min="3344" max="3344" width="11" style="94" customWidth="1"/>
    <col min="3345" max="3587" width="9.140625" style="94"/>
    <col min="3588" max="3588" width="26.85546875" style="94" customWidth="1"/>
    <col min="3589" max="3589" width="0" style="94" hidden="1" customWidth="1"/>
    <col min="3590" max="3590" width="12.42578125" style="94" customWidth="1"/>
    <col min="3591" max="3592" width="11.140625" style="94" customWidth="1"/>
    <col min="3593" max="3593" width="12.140625" style="94" customWidth="1"/>
    <col min="3594" max="3594" width="14" style="94" customWidth="1"/>
    <col min="3595" max="3595" width="12.5703125" style="94" customWidth="1"/>
    <col min="3596" max="3597" width="13.140625" style="94" customWidth="1"/>
    <col min="3598" max="3599" width="9.140625" style="94"/>
    <col min="3600" max="3600" width="11" style="94" customWidth="1"/>
    <col min="3601" max="3843" width="9.140625" style="94"/>
    <col min="3844" max="3844" width="26.85546875" style="94" customWidth="1"/>
    <col min="3845" max="3845" width="0" style="94" hidden="1" customWidth="1"/>
    <col min="3846" max="3846" width="12.42578125" style="94" customWidth="1"/>
    <col min="3847" max="3848" width="11.140625" style="94" customWidth="1"/>
    <col min="3849" max="3849" width="12.140625" style="94" customWidth="1"/>
    <col min="3850" max="3850" width="14" style="94" customWidth="1"/>
    <col min="3851" max="3851" width="12.5703125" style="94" customWidth="1"/>
    <col min="3852" max="3853" width="13.140625" style="94" customWidth="1"/>
    <col min="3854" max="3855" width="9.140625" style="94"/>
    <col min="3856" max="3856" width="11" style="94" customWidth="1"/>
    <col min="3857" max="4099" width="9.140625" style="94"/>
    <col min="4100" max="4100" width="26.85546875" style="94" customWidth="1"/>
    <col min="4101" max="4101" width="0" style="94" hidden="1" customWidth="1"/>
    <col min="4102" max="4102" width="12.42578125" style="94" customWidth="1"/>
    <col min="4103" max="4104" width="11.140625" style="94" customWidth="1"/>
    <col min="4105" max="4105" width="12.140625" style="94" customWidth="1"/>
    <col min="4106" max="4106" width="14" style="94" customWidth="1"/>
    <col min="4107" max="4107" width="12.5703125" style="94" customWidth="1"/>
    <col min="4108" max="4109" width="13.140625" style="94" customWidth="1"/>
    <col min="4110" max="4111" width="9.140625" style="94"/>
    <col min="4112" max="4112" width="11" style="94" customWidth="1"/>
    <col min="4113" max="4355" width="9.140625" style="94"/>
    <col min="4356" max="4356" width="26.85546875" style="94" customWidth="1"/>
    <col min="4357" max="4357" width="0" style="94" hidden="1" customWidth="1"/>
    <col min="4358" max="4358" width="12.42578125" style="94" customWidth="1"/>
    <col min="4359" max="4360" width="11.140625" style="94" customWidth="1"/>
    <col min="4361" max="4361" width="12.140625" style="94" customWidth="1"/>
    <col min="4362" max="4362" width="14" style="94" customWidth="1"/>
    <col min="4363" max="4363" width="12.5703125" style="94" customWidth="1"/>
    <col min="4364" max="4365" width="13.140625" style="94" customWidth="1"/>
    <col min="4366" max="4367" width="9.140625" style="94"/>
    <col min="4368" max="4368" width="11" style="94" customWidth="1"/>
    <col min="4369" max="4611" width="9.140625" style="94"/>
    <col min="4612" max="4612" width="26.85546875" style="94" customWidth="1"/>
    <col min="4613" max="4613" width="0" style="94" hidden="1" customWidth="1"/>
    <col min="4614" max="4614" width="12.42578125" style="94" customWidth="1"/>
    <col min="4615" max="4616" width="11.140625" style="94" customWidth="1"/>
    <col min="4617" max="4617" width="12.140625" style="94" customWidth="1"/>
    <col min="4618" max="4618" width="14" style="94" customWidth="1"/>
    <col min="4619" max="4619" width="12.5703125" style="94" customWidth="1"/>
    <col min="4620" max="4621" width="13.140625" style="94" customWidth="1"/>
    <col min="4622" max="4623" width="9.140625" style="94"/>
    <col min="4624" max="4624" width="11" style="94" customWidth="1"/>
    <col min="4625" max="4867" width="9.140625" style="94"/>
    <col min="4868" max="4868" width="26.85546875" style="94" customWidth="1"/>
    <col min="4869" max="4869" width="0" style="94" hidden="1" customWidth="1"/>
    <col min="4870" max="4870" width="12.42578125" style="94" customWidth="1"/>
    <col min="4871" max="4872" width="11.140625" style="94" customWidth="1"/>
    <col min="4873" max="4873" width="12.140625" style="94" customWidth="1"/>
    <col min="4874" max="4874" width="14" style="94" customWidth="1"/>
    <col min="4875" max="4875" width="12.5703125" style="94" customWidth="1"/>
    <col min="4876" max="4877" width="13.140625" style="94" customWidth="1"/>
    <col min="4878" max="4879" width="9.140625" style="94"/>
    <col min="4880" max="4880" width="11" style="94" customWidth="1"/>
    <col min="4881" max="5123" width="9.140625" style="94"/>
    <col min="5124" max="5124" width="26.85546875" style="94" customWidth="1"/>
    <col min="5125" max="5125" width="0" style="94" hidden="1" customWidth="1"/>
    <col min="5126" max="5126" width="12.42578125" style="94" customWidth="1"/>
    <col min="5127" max="5128" width="11.140625" style="94" customWidth="1"/>
    <col min="5129" max="5129" width="12.140625" style="94" customWidth="1"/>
    <col min="5130" max="5130" width="14" style="94" customWidth="1"/>
    <col min="5131" max="5131" width="12.5703125" style="94" customWidth="1"/>
    <col min="5132" max="5133" width="13.140625" style="94" customWidth="1"/>
    <col min="5134" max="5135" width="9.140625" style="94"/>
    <col min="5136" max="5136" width="11" style="94" customWidth="1"/>
    <col min="5137" max="5379" width="9.140625" style="94"/>
    <col min="5380" max="5380" width="26.85546875" style="94" customWidth="1"/>
    <col min="5381" max="5381" width="0" style="94" hidden="1" customWidth="1"/>
    <col min="5382" max="5382" width="12.42578125" style="94" customWidth="1"/>
    <col min="5383" max="5384" width="11.140625" style="94" customWidth="1"/>
    <col min="5385" max="5385" width="12.140625" style="94" customWidth="1"/>
    <col min="5386" max="5386" width="14" style="94" customWidth="1"/>
    <col min="5387" max="5387" width="12.5703125" style="94" customWidth="1"/>
    <col min="5388" max="5389" width="13.140625" style="94" customWidth="1"/>
    <col min="5390" max="5391" width="9.140625" style="94"/>
    <col min="5392" max="5392" width="11" style="94" customWidth="1"/>
    <col min="5393" max="5635" width="9.140625" style="94"/>
    <col min="5636" max="5636" width="26.85546875" style="94" customWidth="1"/>
    <col min="5637" max="5637" width="0" style="94" hidden="1" customWidth="1"/>
    <col min="5638" max="5638" width="12.42578125" style="94" customWidth="1"/>
    <col min="5639" max="5640" width="11.140625" style="94" customWidth="1"/>
    <col min="5641" max="5641" width="12.140625" style="94" customWidth="1"/>
    <col min="5642" max="5642" width="14" style="94" customWidth="1"/>
    <col min="5643" max="5643" width="12.5703125" style="94" customWidth="1"/>
    <col min="5644" max="5645" width="13.140625" style="94" customWidth="1"/>
    <col min="5646" max="5647" width="9.140625" style="94"/>
    <col min="5648" max="5648" width="11" style="94" customWidth="1"/>
    <col min="5649" max="5891" width="9.140625" style="94"/>
    <col min="5892" max="5892" width="26.85546875" style="94" customWidth="1"/>
    <col min="5893" max="5893" width="0" style="94" hidden="1" customWidth="1"/>
    <col min="5894" max="5894" width="12.42578125" style="94" customWidth="1"/>
    <col min="5895" max="5896" width="11.140625" style="94" customWidth="1"/>
    <col min="5897" max="5897" width="12.140625" style="94" customWidth="1"/>
    <col min="5898" max="5898" width="14" style="94" customWidth="1"/>
    <col min="5899" max="5899" width="12.5703125" style="94" customWidth="1"/>
    <col min="5900" max="5901" width="13.140625" style="94" customWidth="1"/>
    <col min="5902" max="5903" width="9.140625" style="94"/>
    <col min="5904" max="5904" width="11" style="94" customWidth="1"/>
    <col min="5905" max="6147" width="9.140625" style="94"/>
    <col min="6148" max="6148" width="26.85546875" style="94" customWidth="1"/>
    <col min="6149" max="6149" width="0" style="94" hidden="1" customWidth="1"/>
    <col min="6150" max="6150" width="12.42578125" style="94" customWidth="1"/>
    <col min="6151" max="6152" width="11.140625" style="94" customWidth="1"/>
    <col min="6153" max="6153" width="12.140625" style="94" customWidth="1"/>
    <col min="6154" max="6154" width="14" style="94" customWidth="1"/>
    <col min="6155" max="6155" width="12.5703125" style="94" customWidth="1"/>
    <col min="6156" max="6157" width="13.140625" style="94" customWidth="1"/>
    <col min="6158" max="6159" width="9.140625" style="94"/>
    <col min="6160" max="6160" width="11" style="94" customWidth="1"/>
    <col min="6161" max="6403" width="9.140625" style="94"/>
    <col min="6404" max="6404" width="26.85546875" style="94" customWidth="1"/>
    <col min="6405" max="6405" width="0" style="94" hidden="1" customWidth="1"/>
    <col min="6406" max="6406" width="12.42578125" style="94" customWidth="1"/>
    <col min="6407" max="6408" width="11.140625" style="94" customWidth="1"/>
    <col min="6409" max="6409" width="12.140625" style="94" customWidth="1"/>
    <col min="6410" max="6410" width="14" style="94" customWidth="1"/>
    <col min="6411" max="6411" width="12.5703125" style="94" customWidth="1"/>
    <col min="6412" max="6413" width="13.140625" style="94" customWidth="1"/>
    <col min="6414" max="6415" width="9.140625" style="94"/>
    <col min="6416" max="6416" width="11" style="94" customWidth="1"/>
    <col min="6417" max="6659" width="9.140625" style="94"/>
    <col min="6660" max="6660" width="26.85546875" style="94" customWidth="1"/>
    <col min="6661" max="6661" width="0" style="94" hidden="1" customWidth="1"/>
    <col min="6662" max="6662" width="12.42578125" style="94" customWidth="1"/>
    <col min="6663" max="6664" width="11.140625" style="94" customWidth="1"/>
    <col min="6665" max="6665" width="12.140625" style="94" customWidth="1"/>
    <col min="6666" max="6666" width="14" style="94" customWidth="1"/>
    <col min="6667" max="6667" width="12.5703125" style="94" customWidth="1"/>
    <col min="6668" max="6669" width="13.140625" style="94" customWidth="1"/>
    <col min="6670" max="6671" width="9.140625" style="94"/>
    <col min="6672" max="6672" width="11" style="94" customWidth="1"/>
    <col min="6673" max="6915" width="9.140625" style="94"/>
    <col min="6916" max="6916" width="26.85546875" style="94" customWidth="1"/>
    <col min="6917" max="6917" width="0" style="94" hidden="1" customWidth="1"/>
    <col min="6918" max="6918" width="12.42578125" style="94" customWidth="1"/>
    <col min="6919" max="6920" width="11.140625" style="94" customWidth="1"/>
    <col min="6921" max="6921" width="12.140625" style="94" customWidth="1"/>
    <col min="6922" max="6922" width="14" style="94" customWidth="1"/>
    <col min="6923" max="6923" width="12.5703125" style="94" customWidth="1"/>
    <col min="6924" max="6925" width="13.140625" style="94" customWidth="1"/>
    <col min="6926" max="6927" width="9.140625" style="94"/>
    <col min="6928" max="6928" width="11" style="94" customWidth="1"/>
    <col min="6929" max="7171" width="9.140625" style="94"/>
    <col min="7172" max="7172" width="26.85546875" style="94" customWidth="1"/>
    <col min="7173" max="7173" width="0" style="94" hidden="1" customWidth="1"/>
    <col min="7174" max="7174" width="12.42578125" style="94" customWidth="1"/>
    <col min="7175" max="7176" width="11.140625" style="94" customWidth="1"/>
    <col min="7177" max="7177" width="12.140625" style="94" customWidth="1"/>
    <col min="7178" max="7178" width="14" style="94" customWidth="1"/>
    <col min="7179" max="7179" width="12.5703125" style="94" customWidth="1"/>
    <col min="7180" max="7181" width="13.140625" style="94" customWidth="1"/>
    <col min="7182" max="7183" width="9.140625" style="94"/>
    <col min="7184" max="7184" width="11" style="94" customWidth="1"/>
    <col min="7185" max="7427" width="9.140625" style="94"/>
    <col min="7428" max="7428" width="26.85546875" style="94" customWidth="1"/>
    <col min="7429" max="7429" width="0" style="94" hidden="1" customWidth="1"/>
    <col min="7430" max="7430" width="12.42578125" style="94" customWidth="1"/>
    <col min="7431" max="7432" width="11.140625" style="94" customWidth="1"/>
    <col min="7433" max="7433" width="12.140625" style="94" customWidth="1"/>
    <col min="7434" max="7434" width="14" style="94" customWidth="1"/>
    <col min="7435" max="7435" width="12.5703125" style="94" customWidth="1"/>
    <col min="7436" max="7437" width="13.140625" style="94" customWidth="1"/>
    <col min="7438" max="7439" width="9.140625" style="94"/>
    <col min="7440" max="7440" width="11" style="94" customWidth="1"/>
    <col min="7441" max="7683" width="9.140625" style="94"/>
    <col min="7684" max="7684" width="26.85546875" style="94" customWidth="1"/>
    <col min="7685" max="7685" width="0" style="94" hidden="1" customWidth="1"/>
    <col min="7686" max="7686" width="12.42578125" style="94" customWidth="1"/>
    <col min="7687" max="7688" width="11.140625" style="94" customWidth="1"/>
    <col min="7689" max="7689" width="12.140625" style="94" customWidth="1"/>
    <col min="7690" max="7690" width="14" style="94" customWidth="1"/>
    <col min="7691" max="7691" width="12.5703125" style="94" customWidth="1"/>
    <col min="7692" max="7693" width="13.140625" style="94" customWidth="1"/>
    <col min="7694" max="7695" width="9.140625" style="94"/>
    <col min="7696" max="7696" width="11" style="94" customWidth="1"/>
    <col min="7697" max="7939" width="9.140625" style="94"/>
    <col min="7940" max="7940" width="26.85546875" style="94" customWidth="1"/>
    <col min="7941" max="7941" width="0" style="94" hidden="1" customWidth="1"/>
    <col min="7942" max="7942" width="12.42578125" style="94" customWidth="1"/>
    <col min="7943" max="7944" width="11.140625" style="94" customWidth="1"/>
    <col min="7945" max="7945" width="12.140625" style="94" customWidth="1"/>
    <col min="7946" max="7946" width="14" style="94" customWidth="1"/>
    <col min="7947" max="7947" width="12.5703125" style="94" customWidth="1"/>
    <col min="7948" max="7949" width="13.140625" style="94" customWidth="1"/>
    <col min="7950" max="7951" width="9.140625" style="94"/>
    <col min="7952" max="7952" width="11" style="94" customWidth="1"/>
    <col min="7953" max="8195" width="9.140625" style="94"/>
    <col min="8196" max="8196" width="26.85546875" style="94" customWidth="1"/>
    <col min="8197" max="8197" width="0" style="94" hidden="1" customWidth="1"/>
    <col min="8198" max="8198" width="12.42578125" style="94" customWidth="1"/>
    <col min="8199" max="8200" width="11.140625" style="94" customWidth="1"/>
    <col min="8201" max="8201" width="12.140625" style="94" customWidth="1"/>
    <col min="8202" max="8202" width="14" style="94" customWidth="1"/>
    <col min="8203" max="8203" width="12.5703125" style="94" customWidth="1"/>
    <col min="8204" max="8205" width="13.140625" style="94" customWidth="1"/>
    <col min="8206" max="8207" width="9.140625" style="94"/>
    <col min="8208" max="8208" width="11" style="94" customWidth="1"/>
    <col min="8209" max="8451" width="9.140625" style="94"/>
    <col min="8452" max="8452" width="26.85546875" style="94" customWidth="1"/>
    <col min="8453" max="8453" width="0" style="94" hidden="1" customWidth="1"/>
    <col min="8454" max="8454" width="12.42578125" style="94" customWidth="1"/>
    <col min="8455" max="8456" width="11.140625" style="94" customWidth="1"/>
    <col min="8457" max="8457" width="12.140625" style="94" customWidth="1"/>
    <col min="8458" max="8458" width="14" style="94" customWidth="1"/>
    <col min="8459" max="8459" width="12.5703125" style="94" customWidth="1"/>
    <col min="8460" max="8461" width="13.140625" style="94" customWidth="1"/>
    <col min="8462" max="8463" width="9.140625" style="94"/>
    <col min="8464" max="8464" width="11" style="94" customWidth="1"/>
    <col min="8465" max="8707" width="9.140625" style="94"/>
    <col min="8708" max="8708" width="26.85546875" style="94" customWidth="1"/>
    <col min="8709" max="8709" width="0" style="94" hidden="1" customWidth="1"/>
    <col min="8710" max="8710" width="12.42578125" style="94" customWidth="1"/>
    <col min="8711" max="8712" width="11.140625" style="94" customWidth="1"/>
    <col min="8713" max="8713" width="12.140625" style="94" customWidth="1"/>
    <col min="8714" max="8714" width="14" style="94" customWidth="1"/>
    <col min="8715" max="8715" width="12.5703125" style="94" customWidth="1"/>
    <col min="8716" max="8717" width="13.140625" style="94" customWidth="1"/>
    <col min="8718" max="8719" width="9.140625" style="94"/>
    <col min="8720" max="8720" width="11" style="94" customWidth="1"/>
    <col min="8721" max="8963" width="9.140625" style="94"/>
    <col min="8964" max="8964" width="26.85546875" style="94" customWidth="1"/>
    <col min="8965" max="8965" width="0" style="94" hidden="1" customWidth="1"/>
    <col min="8966" max="8966" width="12.42578125" style="94" customWidth="1"/>
    <col min="8967" max="8968" width="11.140625" style="94" customWidth="1"/>
    <col min="8969" max="8969" width="12.140625" style="94" customWidth="1"/>
    <col min="8970" max="8970" width="14" style="94" customWidth="1"/>
    <col min="8971" max="8971" width="12.5703125" style="94" customWidth="1"/>
    <col min="8972" max="8973" width="13.140625" style="94" customWidth="1"/>
    <col min="8974" max="8975" width="9.140625" style="94"/>
    <col min="8976" max="8976" width="11" style="94" customWidth="1"/>
    <col min="8977" max="9219" width="9.140625" style="94"/>
    <col min="9220" max="9220" width="26.85546875" style="94" customWidth="1"/>
    <col min="9221" max="9221" width="0" style="94" hidden="1" customWidth="1"/>
    <col min="9222" max="9222" width="12.42578125" style="94" customWidth="1"/>
    <col min="9223" max="9224" width="11.140625" style="94" customWidth="1"/>
    <col min="9225" max="9225" width="12.140625" style="94" customWidth="1"/>
    <col min="9226" max="9226" width="14" style="94" customWidth="1"/>
    <col min="9227" max="9227" width="12.5703125" style="94" customWidth="1"/>
    <col min="9228" max="9229" width="13.140625" style="94" customWidth="1"/>
    <col min="9230" max="9231" width="9.140625" style="94"/>
    <col min="9232" max="9232" width="11" style="94" customWidth="1"/>
    <col min="9233" max="9475" width="9.140625" style="94"/>
    <col min="9476" max="9476" width="26.85546875" style="94" customWidth="1"/>
    <col min="9477" max="9477" width="0" style="94" hidden="1" customWidth="1"/>
    <col min="9478" max="9478" width="12.42578125" style="94" customWidth="1"/>
    <col min="9479" max="9480" width="11.140625" style="94" customWidth="1"/>
    <col min="9481" max="9481" width="12.140625" style="94" customWidth="1"/>
    <col min="9482" max="9482" width="14" style="94" customWidth="1"/>
    <col min="9483" max="9483" width="12.5703125" style="94" customWidth="1"/>
    <col min="9484" max="9485" width="13.140625" style="94" customWidth="1"/>
    <col min="9486" max="9487" width="9.140625" style="94"/>
    <col min="9488" max="9488" width="11" style="94" customWidth="1"/>
    <col min="9489" max="9731" width="9.140625" style="94"/>
    <col min="9732" max="9732" width="26.85546875" style="94" customWidth="1"/>
    <col min="9733" max="9733" width="0" style="94" hidden="1" customWidth="1"/>
    <col min="9734" max="9734" width="12.42578125" style="94" customWidth="1"/>
    <col min="9735" max="9736" width="11.140625" style="94" customWidth="1"/>
    <col min="9737" max="9737" width="12.140625" style="94" customWidth="1"/>
    <col min="9738" max="9738" width="14" style="94" customWidth="1"/>
    <col min="9739" max="9739" width="12.5703125" style="94" customWidth="1"/>
    <col min="9740" max="9741" width="13.140625" style="94" customWidth="1"/>
    <col min="9742" max="9743" width="9.140625" style="94"/>
    <col min="9744" max="9744" width="11" style="94" customWidth="1"/>
    <col min="9745" max="9987" width="9.140625" style="94"/>
    <col min="9988" max="9988" width="26.85546875" style="94" customWidth="1"/>
    <col min="9989" max="9989" width="0" style="94" hidden="1" customWidth="1"/>
    <col min="9990" max="9990" width="12.42578125" style="94" customWidth="1"/>
    <col min="9991" max="9992" width="11.140625" style="94" customWidth="1"/>
    <col min="9993" max="9993" width="12.140625" style="94" customWidth="1"/>
    <col min="9994" max="9994" width="14" style="94" customWidth="1"/>
    <col min="9995" max="9995" width="12.5703125" style="94" customWidth="1"/>
    <col min="9996" max="9997" width="13.140625" style="94" customWidth="1"/>
    <col min="9998" max="9999" width="9.140625" style="94"/>
    <col min="10000" max="10000" width="11" style="94" customWidth="1"/>
    <col min="10001" max="10243" width="9.140625" style="94"/>
    <col min="10244" max="10244" width="26.85546875" style="94" customWidth="1"/>
    <col min="10245" max="10245" width="0" style="94" hidden="1" customWidth="1"/>
    <col min="10246" max="10246" width="12.42578125" style="94" customWidth="1"/>
    <col min="10247" max="10248" width="11.140625" style="94" customWidth="1"/>
    <col min="10249" max="10249" width="12.140625" style="94" customWidth="1"/>
    <col min="10250" max="10250" width="14" style="94" customWidth="1"/>
    <col min="10251" max="10251" width="12.5703125" style="94" customWidth="1"/>
    <col min="10252" max="10253" width="13.140625" style="94" customWidth="1"/>
    <col min="10254" max="10255" width="9.140625" style="94"/>
    <col min="10256" max="10256" width="11" style="94" customWidth="1"/>
    <col min="10257" max="10499" width="9.140625" style="94"/>
    <col min="10500" max="10500" width="26.85546875" style="94" customWidth="1"/>
    <col min="10501" max="10501" width="0" style="94" hidden="1" customWidth="1"/>
    <col min="10502" max="10502" width="12.42578125" style="94" customWidth="1"/>
    <col min="10503" max="10504" width="11.140625" style="94" customWidth="1"/>
    <col min="10505" max="10505" width="12.140625" style="94" customWidth="1"/>
    <col min="10506" max="10506" width="14" style="94" customWidth="1"/>
    <col min="10507" max="10507" width="12.5703125" style="94" customWidth="1"/>
    <col min="10508" max="10509" width="13.140625" style="94" customWidth="1"/>
    <col min="10510" max="10511" width="9.140625" style="94"/>
    <col min="10512" max="10512" width="11" style="94" customWidth="1"/>
    <col min="10513" max="10755" width="9.140625" style="94"/>
    <col min="10756" max="10756" width="26.85546875" style="94" customWidth="1"/>
    <col min="10757" max="10757" width="0" style="94" hidden="1" customWidth="1"/>
    <col min="10758" max="10758" width="12.42578125" style="94" customWidth="1"/>
    <col min="10759" max="10760" width="11.140625" style="94" customWidth="1"/>
    <col min="10761" max="10761" width="12.140625" style="94" customWidth="1"/>
    <col min="10762" max="10762" width="14" style="94" customWidth="1"/>
    <col min="10763" max="10763" width="12.5703125" style="94" customWidth="1"/>
    <col min="10764" max="10765" width="13.140625" style="94" customWidth="1"/>
    <col min="10766" max="10767" width="9.140625" style="94"/>
    <col min="10768" max="10768" width="11" style="94" customWidth="1"/>
    <col min="10769" max="11011" width="9.140625" style="94"/>
    <col min="11012" max="11012" width="26.85546875" style="94" customWidth="1"/>
    <col min="11013" max="11013" width="0" style="94" hidden="1" customWidth="1"/>
    <col min="11014" max="11014" width="12.42578125" style="94" customWidth="1"/>
    <col min="11015" max="11016" width="11.140625" style="94" customWidth="1"/>
    <col min="11017" max="11017" width="12.140625" style="94" customWidth="1"/>
    <col min="11018" max="11018" width="14" style="94" customWidth="1"/>
    <col min="11019" max="11019" width="12.5703125" style="94" customWidth="1"/>
    <col min="11020" max="11021" width="13.140625" style="94" customWidth="1"/>
    <col min="11022" max="11023" width="9.140625" style="94"/>
    <col min="11024" max="11024" width="11" style="94" customWidth="1"/>
    <col min="11025" max="11267" width="9.140625" style="94"/>
    <col min="11268" max="11268" width="26.85546875" style="94" customWidth="1"/>
    <col min="11269" max="11269" width="0" style="94" hidden="1" customWidth="1"/>
    <col min="11270" max="11270" width="12.42578125" style="94" customWidth="1"/>
    <col min="11271" max="11272" width="11.140625" style="94" customWidth="1"/>
    <col min="11273" max="11273" width="12.140625" style="94" customWidth="1"/>
    <col min="11274" max="11274" width="14" style="94" customWidth="1"/>
    <col min="11275" max="11275" width="12.5703125" style="94" customWidth="1"/>
    <col min="11276" max="11277" width="13.140625" style="94" customWidth="1"/>
    <col min="11278" max="11279" width="9.140625" style="94"/>
    <col min="11280" max="11280" width="11" style="94" customWidth="1"/>
    <col min="11281" max="11523" width="9.140625" style="94"/>
    <col min="11524" max="11524" width="26.85546875" style="94" customWidth="1"/>
    <col min="11525" max="11525" width="0" style="94" hidden="1" customWidth="1"/>
    <col min="11526" max="11526" width="12.42578125" style="94" customWidth="1"/>
    <col min="11527" max="11528" width="11.140625" style="94" customWidth="1"/>
    <col min="11529" max="11529" width="12.140625" style="94" customWidth="1"/>
    <col min="11530" max="11530" width="14" style="94" customWidth="1"/>
    <col min="11531" max="11531" width="12.5703125" style="94" customWidth="1"/>
    <col min="11532" max="11533" width="13.140625" style="94" customWidth="1"/>
    <col min="11534" max="11535" width="9.140625" style="94"/>
    <col min="11536" max="11536" width="11" style="94" customWidth="1"/>
    <col min="11537" max="11779" width="9.140625" style="94"/>
    <col min="11780" max="11780" width="26.85546875" style="94" customWidth="1"/>
    <col min="11781" max="11781" width="0" style="94" hidden="1" customWidth="1"/>
    <col min="11782" max="11782" width="12.42578125" style="94" customWidth="1"/>
    <col min="11783" max="11784" width="11.140625" style="94" customWidth="1"/>
    <col min="11785" max="11785" width="12.140625" style="94" customWidth="1"/>
    <col min="11786" max="11786" width="14" style="94" customWidth="1"/>
    <col min="11787" max="11787" width="12.5703125" style="94" customWidth="1"/>
    <col min="11788" max="11789" width="13.140625" style="94" customWidth="1"/>
    <col min="11790" max="11791" width="9.140625" style="94"/>
    <col min="11792" max="11792" width="11" style="94" customWidth="1"/>
    <col min="11793" max="12035" width="9.140625" style="94"/>
    <col min="12036" max="12036" width="26.85546875" style="94" customWidth="1"/>
    <col min="12037" max="12037" width="0" style="94" hidden="1" customWidth="1"/>
    <col min="12038" max="12038" width="12.42578125" style="94" customWidth="1"/>
    <col min="12039" max="12040" width="11.140625" style="94" customWidth="1"/>
    <col min="12041" max="12041" width="12.140625" style="94" customWidth="1"/>
    <col min="12042" max="12042" width="14" style="94" customWidth="1"/>
    <col min="12043" max="12043" width="12.5703125" style="94" customWidth="1"/>
    <col min="12044" max="12045" width="13.140625" style="94" customWidth="1"/>
    <col min="12046" max="12047" width="9.140625" style="94"/>
    <col min="12048" max="12048" width="11" style="94" customWidth="1"/>
    <col min="12049" max="12291" width="9.140625" style="94"/>
    <col min="12292" max="12292" width="26.85546875" style="94" customWidth="1"/>
    <col min="12293" max="12293" width="0" style="94" hidden="1" customWidth="1"/>
    <col min="12294" max="12294" width="12.42578125" style="94" customWidth="1"/>
    <col min="12295" max="12296" width="11.140625" style="94" customWidth="1"/>
    <col min="12297" max="12297" width="12.140625" style="94" customWidth="1"/>
    <col min="12298" max="12298" width="14" style="94" customWidth="1"/>
    <col min="12299" max="12299" width="12.5703125" style="94" customWidth="1"/>
    <col min="12300" max="12301" width="13.140625" style="94" customWidth="1"/>
    <col min="12302" max="12303" width="9.140625" style="94"/>
    <col min="12304" max="12304" width="11" style="94" customWidth="1"/>
    <col min="12305" max="12547" width="9.140625" style="94"/>
    <col min="12548" max="12548" width="26.85546875" style="94" customWidth="1"/>
    <col min="12549" max="12549" width="0" style="94" hidden="1" customWidth="1"/>
    <col min="12550" max="12550" width="12.42578125" style="94" customWidth="1"/>
    <col min="12551" max="12552" width="11.140625" style="94" customWidth="1"/>
    <col min="12553" max="12553" width="12.140625" style="94" customWidth="1"/>
    <col min="12554" max="12554" width="14" style="94" customWidth="1"/>
    <col min="12555" max="12555" width="12.5703125" style="94" customWidth="1"/>
    <col min="12556" max="12557" width="13.140625" style="94" customWidth="1"/>
    <col min="12558" max="12559" width="9.140625" style="94"/>
    <col min="12560" max="12560" width="11" style="94" customWidth="1"/>
    <col min="12561" max="12803" width="9.140625" style="94"/>
    <col min="12804" max="12804" width="26.85546875" style="94" customWidth="1"/>
    <col min="12805" max="12805" width="0" style="94" hidden="1" customWidth="1"/>
    <col min="12806" max="12806" width="12.42578125" style="94" customWidth="1"/>
    <col min="12807" max="12808" width="11.140625" style="94" customWidth="1"/>
    <col min="12809" max="12809" width="12.140625" style="94" customWidth="1"/>
    <col min="12810" max="12810" width="14" style="94" customWidth="1"/>
    <col min="12811" max="12811" width="12.5703125" style="94" customWidth="1"/>
    <col min="12812" max="12813" width="13.140625" style="94" customWidth="1"/>
    <col min="12814" max="12815" width="9.140625" style="94"/>
    <col min="12816" max="12816" width="11" style="94" customWidth="1"/>
    <col min="12817" max="13059" width="9.140625" style="94"/>
    <col min="13060" max="13060" width="26.85546875" style="94" customWidth="1"/>
    <col min="13061" max="13061" width="0" style="94" hidden="1" customWidth="1"/>
    <col min="13062" max="13062" width="12.42578125" style="94" customWidth="1"/>
    <col min="13063" max="13064" width="11.140625" style="94" customWidth="1"/>
    <col min="13065" max="13065" width="12.140625" style="94" customWidth="1"/>
    <col min="13066" max="13066" width="14" style="94" customWidth="1"/>
    <col min="13067" max="13067" width="12.5703125" style="94" customWidth="1"/>
    <col min="13068" max="13069" width="13.140625" style="94" customWidth="1"/>
    <col min="13070" max="13071" width="9.140625" style="94"/>
    <col min="13072" max="13072" width="11" style="94" customWidth="1"/>
    <col min="13073" max="13315" width="9.140625" style="94"/>
    <col min="13316" max="13316" width="26.85546875" style="94" customWidth="1"/>
    <col min="13317" max="13317" width="0" style="94" hidden="1" customWidth="1"/>
    <col min="13318" max="13318" width="12.42578125" style="94" customWidth="1"/>
    <col min="13319" max="13320" width="11.140625" style="94" customWidth="1"/>
    <col min="13321" max="13321" width="12.140625" style="94" customWidth="1"/>
    <col min="13322" max="13322" width="14" style="94" customWidth="1"/>
    <col min="13323" max="13323" width="12.5703125" style="94" customWidth="1"/>
    <col min="13324" max="13325" width="13.140625" style="94" customWidth="1"/>
    <col min="13326" max="13327" width="9.140625" style="94"/>
    <col min="13328" max="13328" width="11" style="94" customWidth="1"/>
    <col min="13329" max="13571" width="9.140625" style="94"/>
    <col min="13572" max="13572" width="26.85546875" style="94" customWidth="1"/>
    <col min="13573" max="13573" width="0" style="94" hidden="1" customWidth="1"/>
    <col min="13574" max="13574" width="12.42578125" style="94" customWidth="1"/>
    <col min="13575" max="13576" width="11.140625" style="94" customWidth="1"/>
    <col min="13577" max="13577" width="12.140625" style="94" customWidth="1"/>
    <col min="13578" max="13578" width="14" style="94" customWidth="1"/>
    <col min="13579" max="13579" width="12.5703125" style="94" customWidth="1"/>
    <col min="13580" max="13581" width="13.140625" style="94" customWidth="1"/>
    <col min="13582" max="13583" width="9.140625" style="94"/>
    <col min="13584" max="13584" width="11" style="94" customWidth="1"/>
    <col min="13585" max="13827" width="9.140625" style="94"/>
    <col min="13828" max="13828" width="26.85546875" style="94" customWidth="1"/>
    <col min="13829" max="13829" width="0" style="94" hidden="1" customWidth="1"/>
    <col min="13830" max="13830" width="12.42578125" style="94" customWidth="1"/>
    <col min="13831" max="13832" width="11.140625" style="94" customWidth="1"/>
    <col min="13833" max="13833" width="12.140625" style="94" customWidth="1"/>
    <col min="13834" max="13834" width="14" style="94" customWidth="1"/>
    <col min="13835" max="13835" width="12.5703125" style="94" customWidth="1"/>
    <col min="13836" max="13837" width="13.140625" style="94" customWidth="1"/>
    <col min="13838" max="13839" width="9.140625" style="94"/>
    <col min="13840" max="13840" width="11" style="94" customWidth="1"/>
    <col min="13841" max="14083" width="9.140625" style="94"/>
    <col min="14084" max="14084" width="26.85546875" style="94" customWidth="1"/>
    <col min="14085" max="14085" width="0" style="94" hidden="1" customWidth="1"/>
    <col min="14086" max="14086" width="12.42578125" style="94" customWidth="1"/>
    <col min="14087" max="14088" width="11.140625" style="94" customWidth="1"/>
    <col min="14089" max="14089" width="12.140625" style="94" customWidth="1"/>
    <col min="14090" max="14090" width="14" style="94" customWidth="1"/>
    <col min="14091" max="14091" width="12.5703125" style="94" customWidth="1"/>
    <col min="14092" max="14093" width="13.140625" style="94" customWidth="1"/>
    <col min="14094" max="14095" width="9.140625" style="94"/>
    <col min="14096" max="14096" width="11" style="94" customWidth="1"/>
    <col min="14097" max="14339" width="9.140625" style="94"/>
    <col min="14340" max="14340" width="26.85546875" style="94" customWidth="1"/>
    <col min="14341" max="14341" width="0" style="94" hidden="1" customWidth="1"/>
    <col min="14342" max="14342" width="12.42578125" style="94" customWidth="1"/>
    <col min="14343" max="14344" width="11.140625" style="94" customWidth="1"/>
    <col min="14345" max="14345" width="12.140625" style="94" customWidth="1"/>
    <col min="14346" max="14346" width="14" style="94" customWidth="1"/>
    <col min="14347" max="14347" width="12.5703125" style="94" customWidth="1"/>
    <col min="14348" max="14349" width="13.140625" style="94" customWidth="1"/>
    <col min="14350" max="14351" width="9.140625" style="94"/>
    <col min="14352" max="14352" width="11" style="94" customWidth="1"/>
    <col min="14353" max="14595" width="9.140625" style="94"/>
    <col min="14596" max="14596" width="26.85546875" style="94" customWidth="1"/>
    <col min="14597" max="14597" width="0" style="94" hidden="1" customWidth="1"/>
    <col min="14598" max="14598" width="12.42578125" style="94" customWidth="1"/>
    <col min="14599" max="14600" width="11.140625" style="94" customWidth="1"/>
    <col min="14601" max="14601" width="12.140625" style="94" customWidth="1"/>
    <col min="14602" max="14602" width="14" style="94" customWidth="1"/>
    <col min="14603" max="14603" width="12.5703125" style="94" customWidth="1"/>
    <col min="14604" max="14605" width="13.140625" style="94" customWidth="1"/>
    <col min="14606" max="14607" width="9.140625" style="94"/>
    <col min="14608" max="14608" width="11" style="94" customWidth="1"/>
    <col min="14609" max="14851" width="9.140625" style="94"/>
    <col min="14852" max="14852" width="26.85546875" style="94" customWidth="1"/>
    <col min="14853" max="14853" width="0" style="94" hidden="1" customWidth="1"/>
    <col min="14854" max="14854" width="12.42578125" style="94" customWidth="1"/>
    <col min="14855" max="14856" width="11.140625" style="94" customWidth="1"/>
    <col min="14857" max="14857" width="12.140625" style="94" customWidth="1"/>
    <col min="14858" max="14858" width="14" style="94" customWidth="1"/>
    <col min="14859" max="14859" width="12.5703125" style="94" customWidth="1"/>
    <col min="14860" max="14861" width="13.140625" style="94" customWidth="1"/>
    <col min="14862" max="14863" width="9.140625" style="94"/>
    <col min="14864" max="14864" width="11" style="94" customWidth="1"/>
    <col min="14865" max="15107" width="9.140625" style="94"/>
    <col min="15108" max="15108" width="26.85546875" style="94" customWidth="1"/>
    <col min="15109" max="15109" width="0" style="94" hidden="1" customWidth="1"/>
    <col min="15110" max="15110" width="12.42578125" style="94" customWidth="1"/>
    <col min="15111" max="15112" width="11.140625" style="94" customWidth="1"/>
    <col min="15113" max="15113" width="12.140625" style="94" customWidth="1"/>
    <col min="15114" max="15114" width="14" style="94" customWidth="1"/>
    <col min="15115" max="15115" width="12.5703125" style="94" customWidth="1"/>
    <col min="15116" max="15117" width="13.140625" style="94" customWidth="1"/>
    <col min="15118" max="15119" width="9.140625" style="94"/>
    <col min="15120" max="15120" width="11" style="94" customWidth="1"/>
    <col min="15121" max="15363" width="9.140625" style="94"/>
    <col min="15364" max="15364" width="26.85546875" style="94" customWidth="1"/>
    <col min="15365" max="15365" width="0" style="94" hidden="1" customWidth="1"/>
    <col min="15366" max="15366" width="12.42578125" style="94" customWidth="1"/>
    <col min="15367" max="15368" width="11.140625" style="94" customWidth="1"/>
    <col min="15369" max="15369" width="12.140625" style="94" customWidth="1"/>
    <col min="15370" max="15370" width="14" style="94" customWidth="1"/>
    <col min="15371" max="15371" width="12.5703125" style="94" customWidth="1"/>
    <col min="15372" max="15373" width="13.140625" style="94" customWidth="1"/>
    <col min="15374" max="15375" width="9.140625" style="94"/>
    <col min="15376" max="15376" width="11" style="94" customWidth="1"/>
    <col min="15377" max="15619" width="9.140625" style="94"/>
    <col min="15620" max="15620" width="26.85546875" style="94" customWidth="1"/>
    <col min="15621" max="15621" width="0" style="94" hidden="1" customWidth="1"/>
    <col min="15622" max="15622" width="12.42578125" style="94" customWidth="1"/>
    <col min="15623" max="15624" width="11.140625" style="94" customWidth="1"/>
    <col min="15625" max="15625" width="12.140625" style="94" customWidth="1"/>
    <col min="15626" max="15626" width="14" style="94" customWidth="1"/>
    <col min="15627" max="15627" width="12.5703125" style="94" customWidth="1"/>
    <col min="15628" max="15629" width="13.140625" style="94" customWidth="1"/>
    <col min="15630" max="15631" width="9.140625" style="94"/>
    <col min="15632" max="15632" width="11" style="94" customWidth="1"/>
    <col min="15633" max="15875" width="9.140625" style="94"/>
    <col min="15876" max="15876" width="26.85546875" style="94" customWidth="1"/>
    <col min="15877" max="15877" width="0" style="94" hidden="1" customWidth="1"/>
    <col min="15878" max="15878" width="12.42578125" style="94" customWidth="1"/>
    <col min="15879" max="15880" width="11.140625" style="94" customWidth="1"/>
    <col min="15881" max="15881" width="12.140625" style="94" customWidth="1"/>
    <col min="15882" max="15882" width="14" style="94" customWidth="1"/>
    <col min="15883" max="15883" width="12.5703125" style="94" customWidth="1"/>
    <col min="15884" max="15885" width="13.140625" style="94" customWidth="1"/>
    <col min="15886" max="15887" width="9.140625" style="94"/>
    <col min="15888" max="15888" width="11" style="94" customWidth="1"/>
    <col min="15889" max="16131" width="9.140625" style="94"/>
    <col min="16132" max="16132" width="26.85546875" style="94" customWidth="1"/>
    <col min="16133" max="16133" width="0" style="94" hidden="1" customWidth="1"/>
    <col min="16134" max="16134" width="12.42578125" style="94" customWidth="1"/>
    <col min="16135" max="16136" width="11.140625" style="94" customWidth="1"/>
    <col min="16137" max="16137" width="12.140625" style="94" customWidth="1"/>
    <col min="16138" max="16138" width="14" style="94" customWidth="1"/>
    <col min="16139" max="16139" width="12.5703125" style="94" customWidth="1"/>
    <col min="16140" max="16141" width="13.140625" style="94" customWidth="1"/>
    <col min="16142" max="16143" width="9.140625" style="94"/>
    <col min="16144" max="16144" width="11" style="94" customWidth="1"/>
    <col min="16145" max="16384" width="9.140625" style="94"/>
  </cols>
  <sheetData>
    <row r="2" spans="1:24" x14ac:dyDescent="0.2">
      <c r="N2" s="284" t="s">
        <v>178</v>
      </c>
      <c r="O2" s="284"/>
      <c r="P2" s="284"/>
      <c r="Q2" s="284"/>
      <c r="R2" s="284"/>
      <c r="S2" s="284"/>
      <c r="T2" s="284"/>
      <c r="U2" s="284"/>
      <c r="V2" s="284"/>
      <c r="W2" s="284"/>
      <c r="X2"/>
    </row>
    <row r="3" spans="1:24" ht="45" customHeight="1" x14ac:dyDescent="0.45">
      <c r="A3" s="288" t="s">
        <v>250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N3" s="125"/>
      <c r="O3" s="126" t="s">
        <v>142</v>
      </c>
      <c r="P3" s="126" t="s">
        <v>179</v>
      </c>
      <c r="Q3" s="126" t="s">
        <v>265</v>
      </c>
      <c r="R3" s="126" t="s">
        <v>180</v>
      </c>
      <c r="S3" s="126" t="s">
        <v>181</v>
      </c>
      <c r="T3" s="126" t="s">
        <v>182</v>
      </c>
      <c r="U3" s="126" t="s">
        <v>183</v>
      </c>
      <c r="V3" s="126" t="s">
        <v>184</v>
      </c>
      <c r="W3" s="126" t="s">
        <v>185</v>
      </c>
    </row>
    <row r="4" spans="1:24" ht="15" customHeight="1" x14ac:dyDescent="0.2">
      <c r="N4" s="285" t="s">
        <v>186</v>
      </c>
      <c r="O4" s="286"/>
      <c r="P4" s="286"/>
      <c r="Q4" s="286"/>
      <c r="R4" s="286"/>
      <c r="S4" s="286"/>
      <c r="T4" s="286"/>
      <c r="U4" s="286"/>
      <c r="V4" s="286"/>
      <c r="W4" s="287"/>
    </row>
    <row r="5" spans="1:24" x14ac:dyDescent="0.2">
      <c r="N5" s="251" t="str">
        <f>'Rate Class Customer Model'!B2</f>
        <v xml:space="preserve">Residential </v>
      </c>
      <c r="O5" s="128">
        <v>5629382</v>
      </c>
      <c r="P5" s="129">
        <v>6218897</v>
      </c>
      <c r="Q5" s="129">
        <v>6007417</v>
      </c>
      <c r="R5" s="129">
        <v>6035509</v>
      </c>
      <c r="S5" s="129">
        <v>6008631</v>
      </c>
      <c r="T5" s="129">
        <v>6086712</v>
      </c>
      <c r="U5" s="129">
        <v>6269169</v>
      </c>
      <c r="V5" s="129">
        <v>6428017</v>
      </c>
      <c r="W5" s="129">
        <v>7178370</v>
      </c>
    </row>
    <row r="6" spans="1:24" x14ac:dyDescent="0.2">
      <c r="N6" s="251" t="s">
        <v>263</v>
      </c>
      <c r="O6" s="128">
        <v>943858</v>
      </c>
      <c r="P6" s="129">
        <v>1002427</v>
      </c>
      <c r="Q6" s="129">
        <v>1005811</v>
      </c>
      <c r="R6" s="129">
        <v>1001165</v>
      </c>
      <c r="S6" s="129">
        <v>1024771</v>
      </c>
      <c r="T6" s="129">
        <v>1054960</v>
      </c>
      <c r="U6" s="129">
        <v>1061766</v>
      </c>
      <c r="V6" s="129">
        <v>1085244</v>
      </c>
      <c r="W6" s="129">
        <v>1211926</v>
      </c>
    </row>
    <row r="7" spans="1:24" x14ac:dyDescent="0.2">
      <c r="N7" s="251" t="s">
        <v>264</v>
      </c>
      <c r="O7" s="128">
        <v>1105710</v>
      </c>
      <c r="P7" s="129">
        <v>1129645</v>
      </c>
      <c r="Q7" s="129">
        <v>1342766</v>
      </c>
      <c r="R7" s="129">
        <v>1278326</v>
      </c>
      <c r="S7" s="129">
        <v>1351549</v>
      </c>
      <c r="T7" s="129">
        <v>1379368</v>
      </c>
      <c r="U7" s="129">
        <v>1298138</v>
      </c>
      <c r="V7" s="129">
        <v>1269875</v>
      </c>
      <c r="W7" s="129">
        <v>1572415</v>
      </c>
    </row>
    <row r="8" spans="1:24" x14ac:dyDescent="0.2">
      <c r="N8" s="251" t="str">
        <f>'Rate Class Energy Model'!K2</f>
        <v>Large User</v>
      </c>
      <c r="O8" s="128">
        <v>180230</v>
      </c>
      <c r="P8" s="129">
        <v>182073</v>
      </c>
      <c r="Q8" s="129">
        <v>108118</v>
      </c>
      <c r="R8" s="129">
        <v>131373</v>
      </c>
      <c r="S8" s="129">
        <v>98517</v>
      </c>
      <c r="T8" s="129">
        <v>-264</v>
      </c>
      <c r="U8" s="129">
        <v>0</v>
      </c>
      <c r="V8" s="129">
        <v>0</v>
      </c>
      <c r="W8" s="129">
        <v>0</v>
      </c>
    </row>
    <row r="9" spans="1:24" x14ac:dyDescent="0.2">
      <c r="N9" s="251" t="str">
        <f>'Rate Class Energy Model'!L2</f>
        <v xml:space="preserve">Street Lights </v>
      </c>
      <c r="O9" s="128">
        <v>338294</v>
      </c>
      <c r="P9" s="129">
        <v>335022</v>
      </c>
      <c r="Q9" s="129">
        <v>181212</v>
      </c>
      <c r="R9" s="129">
        <v>237088</v>
      </c>
      <c r="S9" s="129">
        <v>211712</v>
      </c>
      <c r="T9" s="129">
        <v>208452</v>
      </c>
      <c r="U9" s="129">
        <v>196615</v>
      </c>
      <c r="V9" s="129">
        <v>193395</v>
      </c>
      <c r="W9" s="129">
        <v>61897</v>
      </c>
    </row>
    <row r="10" spans="1:24" x14ac:dyDescent="0.2">
      <c r="N10" s="251" t="str">
        <f>'Rate Class Energy Model'!M2</f>
        <v>Sentinel Lights</v>
      </c>
      <c r="O10" s="128">
        <v>33668</v>
      </c>
      <c r="P10" s="129">
        <v>32443</v>
      </c>
      <c r="Q10" s="129">
        <v>30776</v>
      </c>
      <c r="R10" s="129">
        <v>29471</v>
      </c>
      <c r="S10" s="129">
        <v>28483</v>
      </c>
      <c r="T10" s="129">
        <v>27921</v>
      </c>
      <c r="U10" s="129">
        <v>29098</v>
      </c>
      <c r="V10" s="129">
        <v>29141</v>
      </c>
      <c r="W10" s="129">
        <v>41723</v>
      </c>
    </row>
    <row r="11" spans="1:24" x14ac:dyDescent="0.2">
      <c r="N11" s="251" t="str">
        <f>'Rate Class Energy Model'!N2</f>
        <v xml:space="preserve">Unmetered Scattered Loads </v>
      </c>
      <c r="O11" s="128">
        <v>46052</v>
      </c>
      <c r="P11" s="129">
        <v>45575</v>
      </c>
      <c r="Q11" s="129">
        <v>38940</v>
      </c>
      <c r="R11" s="129">
        <v>41460</v>
      </c>
      <c r="S11" s="129">
        <v>42241</v>
      </c>
      <c r="T11" s="129">
        <v>43074</v>
      </c>
      <c r="U11" s="129">
        <v>44259</v>
      </c>
      <c r="V11" s="129">
        <v>44204</v>
      </c>
      <c r="W11" s="129">
        <v>39952</v>
      </c>
    </row>
    <row r="12" spans="1:24" x14ac:dyDescent="0.2">
      <c r="N12" s="130" t="s">
        <v>10</v>
      </c>
      <c r="O12" s="131">
        <f t="shared" ref="O12:U12" si="0">SUM(O5:O11)</f>
        <v>8277194</v>
      </c>
      <c r="P12" s="131">
        <f t="shared" si="0"/>
        <v>8946082</v>
      </c>
      <c r="Q12" s="131">
        <f t="shared" si="0"/>
        <v>8715040</v>
      </c>
      <c r="R12" s="131">
        <f t="shared" si="0"/>
        <v>8754392</v>
      </c>
      <c r="S12" s="131">
        <f t="shared" si="0"/>
        <v>8765904</v>
      </c>
      <c r="T12" s="131">
        <f t="shared" si="0"/>
        <v>8800223</v>
      </c>
      <c r="U12" s="131">
        <f t="shared" si="0"/>
        <v>8899045</v>
      </c>
      <c r="V12" s="131">
        <f>SUM(V5:V11)+1</f>
        <v>9049877</v>
      </c>
      <c r="W12" s="131">
        <f>SUM(W5:W11)+1</f>
        <v>10106284</v>
      </c>
    </row>
    <row r="13" spans="1:24" ht="15" customHeight="1" x14ac:dyDescent="0.2">
      <c r="N13" s="285" t="s">
        <v>188</v>
      </c>
      <c r="O13" s="286"/>
      <c r="P13" s="286"/>
      <c r="Q13" s="286"/>
      <c r="R13" s="286"/>
      <c r="S13" s="286"/>
      <c r="T13" s="286"/>
      <c r="U13" s="286"/>
      <c r="V13" s="286"/>
      <c r="W13" s="287"/>
    </row>
    <row r="14" spans="1:24" x14ac:dyDescent="0.2">
      <c r="N14" s="127" t="s">
        <v>189</v>
      </c>
      <c r="O14" s="128"/>
      <c r="P14" s="129"/>
      <c r="Q14" s="129"/>
      <c r="R14" s="129"/>
      <c r="S14" s="129"/>
      <c r="T14" s="129"/>
      <c r="U14" s="129"/>
      <c r="V14" s="129"/>
      <c r="W14" s="129"/>
    </row>
    <row r="15" spans="1:24" x14ac:dyDescent="0.2">
      <c r="N15" s="127" t="s">
        <v>190</v>
      </c>
      <c r="O15" s="128"/>
      <c r="P15" s="132"/>
      <c r="Q15" s="129"/>
      <c r="R15" s="129"/>
      <c r="S15" s="129"/>
      <c r="T15" s="129"/>
      <c r="U15" s="129"/>
      <c r="V15" s="129"/>
      <c r="W15" s="129"/>
    </row>
    <row r="16" spans="1:24" x14ac:dyDescent="0.2">
      <c r="N16" s="127" t="s">
        <v>191</v>
      </c>
      <c r="O16" s="128"/>
      <c r="P16" s="132"/>
      <c r="Q16" s="129"/>
      <c r="R16" s="129"/>
      <c r="S16" s="129"/>
      <c r="T16" s="129"/>
      <c r="U16" s="129"/>
      <c r="V16" s="129"/>
      <c r="W16" s="129"/>
    </row>
    <row r="17" spans="1:23" x14ac:dyDescent="0.2">
      <c r="N17" s="127" t="s">
        <v>192</v>
      </c>
      <c r="O17" s="128"/>
      <c r="P17" s="132"/>
      <c r="Q17" s="129"/>
      <c r="R17" s="129"/>
      <c r="S17" s="129"/>
      <c r="T17" s="129"/>
      <c r="U17" s="129"/>
      <c r="V17" s="129"/>
      <c r="W17" s="129"/>
    </row>
    <row r="18" spans="1:23" x14ac:dyDescent="0.2">
      <c r="N18" s="125" t="s">
        <v>193</v>
      </c>
      <c r="O18" s="125"/>
      <c r="P18" s="132"/>
      <c r="Q18" s="133"/>
      <c r="R18" s="133"/>
      <c r="S18" s="133"/>
      <c r="T18" s="133"/>
      <c r="U18" s="133"/>
      <c r="V18" s="133"/>
      <c r="W18" s="129"/>
    </row>
    <row r="19" spans="1:23" x14ac:dyDescent="0.2">
      <c r="N19" s="127" t="s">
        <v>194</v>
      </c>
      <c r="O19" s="128"/>
      <c r="P19" s="132"/>
      <c r="Q19" s="129"/>
      <c r="R19" s="129"/>
      <c r="S19" s="129"/>
      <c r="T19" s="129"/>
      <c r="U19" s="129"/>
      <c r="V19" s="129"/>
      <c r="W19" s="129"/>
    </row>
    <row r="20" spans="1:23" x14ac:dyDescent="0.2">
      <c r="N20" s="127" t="s">
        <v>195</v>
      </c>
      <c r="O20" s="128"/>
      <c r="P20" s="132"/>
      <c r="Q20" s="129"/>
      <c r="R20" s="129"/>
      <c r="S20" s="129"/>
      <c r="T20" s="129"/>
      <c r="U20" s="129"/>
      <c r="V20" s="129"/>
      <c r="W20" s="129"/>
    </row>
    <row r="21" spans="1:23" x14ac:dyDescent="0.2">
      <c r="N21" s="130" t="s">
        <v>10</v>
      </c>
      <c r="O21" s="134">
        <f t="shared" ref="O21:W21" si="1">SUM(O14:O20)</f>
        <v>0</v>
      </c>
      <c r="P21" s="134">
        <f t="shared" si="1"/>
        <v>0</v>
      </c>
      <c r="Q21" s="134">
        <f t="shared" si="1"/>
        <v>0</v>
      </c>
      <c r="R21" s="134">
        <f t="shared" si="1"/>
        <v>0</v>
      </c>
      <c r="S21" s="134">
        <f t="shared" si="1"/>
        <v>0</v>
      </c>
      <c r="T21" s="134">
        <f t="shared" si="1"/>
        <v>0</v>
      </c>
      <c r="U21" s="134">
        <f t="shared" si="1"/>
        <v>0</v>
      </c>
      <c r="V21" s="134">
        <f t="shared" si="1"/>
        <v>0</v>
      </c>
      <c r="W21" s="134">
        <f t="shared" si="1"/>
        <v>0</v>
      </c>
    </row>
    <row r="22" spans="1:23" x14ac:dyDescent="0.2">
      <c r="N22" s="130" t="s">
        <v>196</v>
      </c>
      <c r="O22" s="135">
        <f t="shared" ref="O22:W22" si="2">O12+O21</f>
        <v>8277194</v>
      </c>
      <c r="P22" s="135">
        <f t="shared" si="2"/>
        <v>8946082</v>
      </c>
      <c r="Q22" s="135">
        <f t="shared" si="2"/>
        <v>8715040</v>
      </c>
      <c r="R22" s="135">
        <f t="shared" si="2"/>
        <v>8754392</v>
      </c>
      <c r="S22" s="135">
        <f t="shared" si="2"/>
        <v>8765904</v>
      </c>
      <c r="T22" s="135">
        <f t="shared" si="2"/>
        <v>8800223</v>
      </c>
      <c r="U22" s="135">
        <f t="shared" si="2"/>
        <v>8899045</v>
      </c>
      <c r="V22" s="135">
        <f t="shared" si="2"/>
        <v>9049877</v>
      </c>
      <c r="W22" s="135">
        <f t="shared" si="2"/>
        <v>10106284</v>
      </c>
    </row>
    <row r="25" spans="1:23" x14ac:dyDescent="0.2">
      <c r="A25" s="279" t="s">
        <v>197</v>
      </c>
      <c r="B25" s="279"/>
      <c r="C25" s="279"/>
      <c r="D25" s="279"/>
      <c r="E25" s="279"/>
      <c r="F25" s="279"/>
      <c r="G25" s="279"/>
      <c r="H25" s="199"/>
      <c r="I25" s="199"/>
      <c r="J25" s="199"/>
    </row>
    <row r="26" spans="1:23" ht="51" x14ac:dyDescent="0.2">
      <c r="A26" s="136" t="s">
        <v>95</v>
      </c>
      <c r="B26" s="137" t="s">
        <v>198</v>
      </c>
      <c r="C26" s="137" t="s">
        <v>113</v>
      </c>
      <c r="D26" s="137" t="s">
        <v>199</v>
      </c>
      <c r="E26" s="137" t="s">
        <v>113</v>
      </c>
      <c r="F26" s="137" t="s">
        <v>114</v>
      </c>
      <c r="G26" s="137" t="s">
        <v>115</v>
      </c>
      <c r="H26" s="231"/>
      <c r="I26" s="231"/>
      <c r="J26" s="231"/>
    </row>
    <row r="27" spans="1:23" x14ac:dyDescent="0.2">
      <c r="A27" s="283" t="s">
        <v>116</v>
      </c>
      <c r="B27" s="283"/>
      <c r="C27" s="283"/>
      <c r="D27" s="283"/>
      <c r="E27" s="283"/>
      <c r="F27" s="283"/>
      <c r="G27" s="283"/>
      <c r="H27" s="199"/>
      <c r="I27" s="199"/>
      <c r="J27" s="199"/>
    </row>
    <row r="28" spans="1:23" x14ac:dyDescent="0.2">
      <c r="A28" s="138"/>
      <c r="B28" s="139"/>
      <c r="C28" s="139"/>
      <c r="D28" s="139"/>
      <c r="E28" s="139"/>
      <c r="F28" s="139"/>
      <c r="G28" s="139"/>
      <c r="H28" s="199"/>
      <c r="I28" s="199"/>
      <c r="J28" s="199"/>
      <c r="O28"/>
      <c r="P28"/>
    </row>
    <row r="29" spans="1:23" x14ac:dyDescent="0.2">
      <c r="A29" s="141" t="s">
        <v>251</v>
      </c>
      <c r="B29" s="125"/>
      <c r="C29" s="139"/>
      <c r="D29" s="142">
        <f>I78</f>
        <v>421.63573439728418</v>
      </c>
      <c r="E29" s="125"/>
      <c r="F29" s="143">
        <f>I99</f>
        <v>29846.904440709925</v>
      </c>
      <c r="G29" s="139"/>
      <c r="H29" s="199"/>
      <c r="I29" s="199"/>
      <c r="J29" s="199"/>
      <c r="O29"/>
      <c r="P29"/>
    </row>
    <row r="30" spans="1:23" x14ac:dyDescent="0.2">
      <c r="A30" s="138"/>
      <c r="B30" s="139"/>
      <c r="C30" s="139"/>
      <c r="D30" s="139"/>
      <c r="E30" s="139"/>
      <c r="F30" s="139"/>
      <c r="G30" s="139"/>
      <c r="H30" s="199"/>
      <c r="I30" s="199"/>
      <c r="J30" s="199"/>
      <c r="O30"/>
      <c r="P30"/>
    </row>
    <row r="31" spans="1:23" x14ac:dyDescent="0.2">
      <c r="A31" s="141">
        <v>2002</v>
      </c>
      <c r="B31" s="144">
        <f>Summary!B11/1000000</f>
        <v>502.67691561999993</v>
      </c>
      <c r="C31" s="145"/>
      <c r="D31" s="144">
        <f t="shared" ref="D31:D45" si="3">B31*F161</f>
        <v>490.67398551399208</v>
      </c>
      <c r="E31" s="145"/>
      <c r="F31" s="143">
        <f>Summary!B52</f>
        <v>27500.25</v>
      </c>
      <c r="G31" s="139"/>
      <c r="K31" s="51"/>
      <c r="O31"/>
      <c r="P31"/>
    </row>
    <row r="32" spans="1:23" x14ac:dyDescent="0.2">
      <c r="A32" s="141">
        <v>2003</v>
      </c>
      <c r="B32" s="144">
        <f>Summary!C11/1000000</f>
        <v>477.86279518000003</v>
      </c>
      <c r="C32" s="145">
        <f>B32-B31</f>
        <v>-24.814120439999897</v>
      </c>
      <c r="D32" s="144">
        <f t="shared" si="3"/>
        <v>478.22233360234958</v>
      </c>
      <c r="E32" s="145">
        <f>D32-D31</f>
        <v>-12.4516519116425</v>
      </c>
      <c r="F32" s="143">
        <f>Summary!C52</f>
        <v>27664.833333333328</v>
      </c>
      <c r="G32" s="143">
        <f>F32-F31</f>
        <v>164.58333333332848</v>
      </c>
      <c r="H32" s="232"/>
      <c r="I32" s="232"/>
      <c r="J32" s="232"/>
      <c r="O32"/>
      <c r="P32"/>
    </row>
    <row r="33" spans="1:16" x14ac:dyDescent="0.2">
      <c r="A33" s="141">
        <v>2004</v>
      </c>
      <c r="B33" s="144">
        <f>Summary!D11/1000000</f>
        <v>484.14178955</v>
      </c>
      <c r="C33" s="145">
        <f t="shared" ref="C33:C45" si="4">B33-B32</f>
        <v>6.278994369999964</v>
      </c>
      <c r="D33" s="144">
        <f t="shared" si="3"/>
        <v>489.22546149101225</v>
      </c>
      <c r="E33" s="145">
        <f t="shared" ref="E33:E46" si="5">D33-D32</f>
        <v>11.003127888662675</v>
      </c>
      <c r="F33" s="143">
        <f>Summary!D52</f>
        <v>27854.25</v>
      </c>
      <c r="G33" s="143">
        <f t="shared" ref="G33:G46" si="6">F33-F32</f>
        <v>189.41666666667152</v>
      </c>
      <c r="H33" s="232"/>
      <c r="I33" s="232"/>
      <c r="J33" s="232"/>
      <c r="K33" s="51"/>
      <c r="O33"/>
      <c r="P33"/>
    </row>
    <row r="34" spans="1:16" x14ac:dyDescent="0.2">
      <c r="A34" s="141">
        <v>2005</v>
      </c>
      <c r="B34" s="144">
        <f>Summary!E11/1000000</f>
        <v>501.86699831999999</v>
      </c>
      <c r="C34" s="145">
        <f t="shared" si="4"/>
        <v>17.725208769999995</v>
      </c>
      <c r="D34" s="144">
        <f t="shared" si="3"/>
        <v>484.3801671306187</v>
      </c>
      <c r="E34" s="145">
        <f t="shared" si="5"/>
        <v>-4.8452943603935523</v>
      </c>
      <c r="F34" s="143">
        <f>Summary!E52</f>
        <v>28151.25</v>
      </c>
      <c r="G34" s="143">
        <f t="shared" si="6"/>
        <v>297</v>
      </c>
      <c r="H34" s="232"/>
      <c r="I34" s="232"/>
      <c r="J34" s="232"/>
    </row>
    <row r="35" spans="1:16" x14ac:dyDescent="0.2">
      <c r="A35" s="141">
        <v>2006</v>
      </c>
      <c r="B35" s="144">
        <f>Summary!F11/1000000</f>
        <v>476.79067077000002</v>
      </c>
      <c r="C35" s="145">
        <f t="shared" si="4"/>
        <v>-25.076327549999974</v>
      </c>
      <c r="D35" s="144">
        <f t="shared" si="3"/>
        <v>476.80574829175839</v>
      </c>
      <c r="E35" s="145">
        <f t="shared" si="5"/>
        <v>-7.5744188388603106</v>
      </c>
      <c r="F35" s="143">
        <f>Summary!F52</f>
        <v>28317.083333333332</v>
      </c>
      <c r="G35" s="143">
        <f t="shared" si="6"/>
        <v>165.83333333333212</v>
      </c>
      <c r="J35" s="232"/>
      <c r="K35" s="51"/>
    </row>
    <row r="36" spans="1:16" x14ac:dyDescent="0.2">
      <c r="A36" s="141">
        <v>2007</v>
      </c>
      <c r="B36" s="144">
        <f>Summary!G11/1000000</f>
        <v>468.83441174000006</v>
      </c>
      <c r="C36" s="145">
        <f t="shared" si="4"/>
        <v>-7.9562590299999556</v>
      </c>
      <c r="D36" s="144">
        <f t="shared" si="3"/>
        <v>465.94490214060608</v>
      </c>
      <c r="E36" s="145">
        <f t="shared" si="5"/>
        <v>-10.860846151152316</v>
      </c>
      <c r="F36" s="143">
        <f>Summary!G52</f>
        <v>28395.666666666672</v>
      </c>
      <c r="G36" s="143">
        <f t="shared" si="6"/>
        <v>78.583333333339397</v>
      </c>
      <c r="H36" s="232"/>
      <c r="I36" s="232"/>
      <c r="J36" s="232"/>
      <c r="K36" s="51"/>
    </row>
    <row r="37" spans="1:16" x14ac:dyDescent="0.2">
      <c r="A37" s="141">
        <v>2008</v>
      </c>
      <c r="B37" s="144">
        <f>Summary!H11/1000000</f>
        <v>467.64534807000001</v>
      </c>
      <c r="C37" s="145">
        <f t="shared" si="4"/>
        <v>-1.1890636700000528</v>
      </c>
      <c r="D37" s="144">
        <f t="shared" si="3"/>
        <v>473.59564477793469</v>
      </c>
      <c r="E37" s="145">
        <f t="shared" si="5"/>
        <v>7.6507426373286194</v>
      </c>
      <c r="F37" s="143">
        <f>Summary!H52</f>
        <v>28583.083333333332</v>
      </c>
      <c r="G37" s="143">
        <f t="shared" si="6"/>
        <v>187.4166666666606</v>
      </c>
      <c r="H37" s="232"/>
      <c r="I37" s="232"/>
      <c r="J37" s="232"/>
    </row>
    <row r="38" spans="1:16" x14ac:dyDescent="0.2">
      <c r="A38" s="141">
        <v>2009</v>
      </c>
      <c r="B38" s="144">
        <f>Summary!I11/1000000</f>
        <v>397.50432668999997</v>
      </c>
      <c r="C38" s="145">
        <f t="shared" si="4"/>
        <v>-70.141021380000041</v>
      </c>
      <c r="D38" s="144">
        <f t="shared" si="3"/>
        <v>407.61753641521074</v>
      </c>
      <c r="E38" s="145">
        <f t="shared" si="5"/>
        <v>-65.978108362723958</v>
      </c>
      <c r="F38" s="143">
        <f>Summary!I52</f>
        <v>28760.083333333336</v>
      </c>
      <c r="G38" s="143">
        <f t="shared" si="6"/>
        <v>177.00000000000364</v>
      </c>
      <c r="K38" s="51"/>
    </row>
    <row r="39" spans="1:16" x14ac:dyDescent="0.2">
      <c r="A39" s="141">
        <v>2010</v>
      </c>
      <c r="B39" s="144">
        <f>Summary!J11/1000000</f>
        <v>425.97788694999997</v>
      </c>
      <c r="C39" s="145">
        <f t="shared" si="4"/>
        <v>28.473560259999999</v>
      </c>
      <c r="D39" s="144">
        <f t="shared" si="3"/>
        <v>427.59347491082451</v>
      </c>
      <c r="E39" s="145">
        <f t="shared" si="5"/>
        <v>19.975938495613775</v>
      </c>
      <c r="F39" s="143">
        <f>Summary!J52</f>
        <v>28942.75</v>
      </c>
      <c r="G39" s="143">
        <f t="shared" si="6"/>
        <v>182.66666666666424</v>
      </c>
      <c r="H39" s="232"/>
      <c r="I39" s="232"/>
      <c r="J39" s="232"/>
    </row>
    <row r="40" spans="1:16" x14ac:dyDescent="0.2">
      <c r="A40" s="141">
        <v>2011</v>
      </c>
      <c r="B40" s="144">
        <f>Summary!K11/1000000</f>
        <v>429.972781</v>
      </c>
      <c r="C40" s="145">
        <f t="shared" si="4"/>
        <v>3.9948940500000276</v>
      </c>
      <c r="D40" s="144">
        <f t="shared" si="3"/>
        <v>429.64220994916559</v>
      </c>
      <c r="E40" s="145">
        <f t="shared" si="5"/>
        <v>2.0487350383410785</v>
      </c>
      <c r="F40" s="143">
        <f>Summary!K52</f>
        <v>29207.052083333339</v>
      </c>
      <c r="G40" s="143">
        <f t="shared" si="6"/>
        <v>264.3020833333394</v>
      </c>
      <c r="H40" s="232"/>
      <c r="I40" s="232"/>
      <c r="J40" s="232"/>
      <c r="K40" s="51"/>
    </row>
    <row r="41" spans="1:16" x14ac:dyDescent="0.2">
      <c r="A41" s="141">
        <v>2012</v>
      </c>
      <c r="B41" s="144">
        <f>Summary!L11/1000000</f>
        <v>405.48120532258065</v>
      </c>
      <c r="C41" s="145">
        <f t="shared" si="4"/>
        <v>-24.491575677419348</v>
      </c>
      <c r="D41" s="144">
        <f t="shared" si="3"/>
        <v>409.69664573300616</v>
      </c>
      <c r="E41" s="145">
        <f t="shared" si="5"/>
        <v>-19.945564216159426</v>
      </c>
      <c r="F41" s="143">
        <f>Summary!L52</f>
        <v>29579.62919560185</v>
      </c>
      <c r="G41" s="143">
        <f t="shared" si="6"/>
        <v>372.57711226851097</v>
      </c>
      <c r="H41" s="232"/>
      <c r="I41" s="232"/>
      <c r="J41" s="232"/>
      <c r="K41" s="51"/>
    </row>
    <row r="42" spans="1:16" x14ac:dyDescent="0.2">
      <c r="A42" s="141">
        <v>2013</v>
      </c>
      <c r="B42" s="144">
        <f>Summary!M11/1000000</f>
        <v>399.00232299999999</v>
      </c>
      <c r="C42" s="145">
        <f t="shared" si="4"/>
        <v>-6.4788823225806595</v>
      </c>
      <c r="D42" s="144">
        <f t="shared" si="3"/>
        <v>401.85316153643322</v>
      </c>
      <c r="E42" s="145">
        <f t="shared" si="5"/>
        <v>-7.8434841965729447</v>
      </c>
      <c r="F42" s="143">
        <f>Summary!M52</f>
        <v>29732.583333333336</v>
      </c>
      <c r="G42" s="143">
        <f t="shared" si="6"/>
        <v>152.95413773148539</v>
      </c>
      <c r="J42" s="232"/>
      <c r="K42" s="51"/>
    </row>
    <row r="43" spans="1:16" x14ac:dyDescent="0.2">
      <c r="A43" s="141">
        <v>2014</v>
      </c>
      <c r="B43" s="144">
        <f>Summary!N11/1000000</f>
        <v>380.88562899999999</v>
      </c>
      <c r="C43" s="145">
        <f t="shared" si="4"/>
        <v>-18.116693999999995</v>
      </c>
      <c r="D43" s="144">
        <f t="shared" si="3"/>
        <v>385.07507360372887</v>
      </c>
      <c r="E43" s="145">
        <f t="shared" si="5"/>
        <v>-16.778087932704352</v>
      </c>
      <c r="F43" s="143">
        <f>Summary!N52</f>
        <v>29944.25</v>
      </c>
      <c r="G43" s="143">
        <f t="shared" si="6"/>
        <v>211.66666666666424</v>
      </c>
      <c r="H43" s="232"/>
      <c r="I43" s="232"/>
      <c r="J43" s="232"/>
    </row>
    <row r="44" spans="1:16" ht="12.75" customHeight="1" x14ac:dyDescent="0.2">
      <c r="A44" s="141">
        <v>2015</v>
      </c>
      <c r="B44" s="144">
        <f>Summary!O11/1000000</f>
        <v>356.369056</v>
      </c>
      <c r="C44" s="145">
        <f t="shared" si="4"/>
        <v>-24.516572999999994</v>
      </c>
      <c r="D44" s="144">
        <f t="shared" si="3"/>
        <v>359.73285312183958</v>
      </c>
      <c r="E44" s="145">
        <f t="shared" si="5"/>
        <v>-25.342220481889285</v>
      </c>
      <c r="F44" s="143">
        <f>Summary!O52</f>
        <v>30128.749999999996</v>
      </c>
      <c r="G44" s="143">
        <f t="shared" si="6"/>
        <v>184.49999999999636</v>
      </c>
      <c r="H44" s="232"/>
      <c r="I44" s="232"/>
      <c r="J44" s="232"/>
      <c r="K44" s="51"/>
    </row>
    <row r="45" spans="1:16" x14ac:dyDescent="0.2">
      <c r="A45" s="127">
        <v>2016</v>
      </c>
      <c r="B45" s="144">
        <f>Summary!P11/1000000</f>
        <v>363.38852500000002</v>
      </c>
      <c r="C45" s="145">
        <f t="shared" si="4"/>
        <v>7.0194690000000151</v>
      </c>
      <c r="D45" s="144">
        <f t="shared" si="3"/>
        <v>357.27783138070822</v>
      </c>
      <c r="E45" s="145">
        <f t="shared" si="5"/>
        <v>-2.4550217411313611</v>
      </c>
      <c r="F45" s="143">
        <f>Summary!P52</f>
        <v>30347.166666666664</v>
      </c>
      <c r="G45" s="143">
        <f t="shared" si="6"/>
        <v>218.41666666666788</v>
      </c>
      <c r="H45"/>
      <c r="I45" s="232"/>
      <c r="J45" s="232"/>
      <c r="K45" s="51"/>
    </row>
    <row r="46" spans="1:16" x14ac:dyDescent="0.2">
      <c r="A46" s="141" t="s">
        <v>200</v>
      </c>
      <c r="B46" s="125"/>
      <c r="C46" s="145"/>
      <c r="D46" s="144">
        <f>Summary!Q11/1000000</f>
        <v>362.67500000000001</v>
      </c>
      <c r="E46" s="145">
        <f t="shared" si="5"/>
        <v>5.39716861929179</v>
      </c>
      <c r="F46" s="143">
        <f>Summary!Q52</f>
        <v>30582.788819384663</v>
      </c>
      <c r="G46" s="143">
        <f t="shared" si="6"/>
        <v>235.62215271799869</v>
      </c>
      <c r="H46" s="232"/>
      <c r="I46" s="232"/>
      <c r="J46" s="232"/>
      <c r="K46" s="51"/>
    </row>
    <row r="47" spans="1:16" x14ac:dyDescent="0.2">
      <c r="K47" s="51"/>
    </row>
    <row r="48" spans="1:16" x14ac:dyDescent="0.2">
      <c r="A48" s="19" t="s">
        <v>201</v>
      </c>
      <c r="B48" s="19"/>
      <c r="C48" s="19"/>
      <c r="D48" s="19"/>
    </row>
    <row r="49" spans="1:15" ht="51" x14ac:dyDescent="0.2">
      <c r="A49" s="146" t="s">
        <v>95</v>
      </c>
      <c r="B49" s="147" t="str">
        <f>Summary!A14</f>
        <v xml:space="preserve">Residential </v>
      </c>
      <c r="C49" s="147" t="str">
        <f>Summary!A18</f>
        <v>General Service 
&lt; 50 kW</v>
      </c>
      <c r="D49" s="147" t="str">
        <f>Summary!A22</f>
        <v>General Service 
50 to 
4,999 kW</v>
      </c>
      <c r="E49" s="147" t="str">
        <f>Summary!A27</f>
        <v>Large User</v>
      </c>
      <c r="F49" s="147" t="str">
        <f>Summary!A32</f>
        <v xml:space="preserve">Street Lights </v>
      </c>
      <c r="G49" s="147" t="str">
        <f>Summary!A37</f>
        <v>Sentinel Lights</v>
      </c>
      <c r="H49" s="147" t="str">
        <f>Summary!A42</f>
        <v xml:space="preserve">Unmetered Scattered Loads </v>
      </c>
      <c r="I49" s="147" t="s">
        <v>10</v>
      </c>
      <c r="J49" s="180"/>
    </row>
    <row r="50" spans="1:15" ht="14.25" customHeight="1" x14ac:dyDescent="0.2">
      <c r="A50" s="289" t="s">
        <v>202</v>
      </c>
      <c r="B50" s="290"/>
      <c r="C50" s="290"/>
      <c r="D50" s="290"/>
      <c r="E50" s="290"/>
      <c r="F50" s="290"/>
      <c r="G50" s="290"/>
      <c r="H50" s="290"/>
      <c r="I50" s="291"/>
      <c r="J50" s="233"/>
    </row>
    <row r="51" spans="1:15" x14ac:dyDescent="0.2">
      <c r="A51" s="148">
        <f t="shared" ref="A51:A65" si="7">A31</f>
        <v>2002</v>
      </c>
      <c r="B51" s="144">
        <f>Summary!B16/1000000</f>
        <v>163.75800756999999</v>
      </c>
      <c r="C51" s="144">
        <f>Summary!B20/1000000</f>
        <v>47.941435169999998</v>
      </c>
      <c r="D51" s="144">
        <f>Summary!B24/1000000</f>
        <v>220.59023765999999</v>
      </c>
      <c r="E51" s="144">
        <f>Summary!B29/1000000</f>
        <v>64.185900630000006</v>
      </c>
      <c r="F51" s="144">
        <f>Summary!B34/1000000</f>
        <v>4.5788739999999999</v>
      </c>
      <c r="G51" s="144">
        <f>Summary!B39/1000000</f>
        <v>0.60862450000000001</v>
      </c>
      <c r="H51" s="144">
        <f>Summary!B44/1000000</f>
        <v>1.0138360899999999</v>
      </c>
      <c r="I51" s="144">
        <f>SUM(B51:H51)</f>
        <v>502.67691561999993</v>
      </c>
      <c r="J51"/>
    </row>
    <row r="52" spans="1:15" x14ac:dyDescent="0.2">
      <c r="A52" s="148">
        <f t="shared" si="7"/>
        <v>2003</v>
      </c>
      <c r="B52" s="144">
        <f>Summary!C16/1000000</f>
        <v>157.61143394999999</v>
      </c>
      <c r="C52" s="144">
        <f>Summary!C20/1000000</f>
        <v>46.463108060000003</v>
      </c>
      <c r="D52" s="144">
        <f>Summary!C24/1000000</f>
        <v>148.75454144</v>
      </c>
      <c r="E52" s="144">
        <f>Summary!C29/1000000</f>
        <v>118.13669400000001</v>
      </c>
      <c r="F52" s="144">
        <f>Summary!C34/1000000</f>
        <v>4.6488250000000004</v>
      </c>
      <c r="G52" s="144">
        <f>Summary!C39/1000000</f>
        <v>1.02557067</v>
      </c>
      <c r="H52" s="144">
        <f>Summary!C44/1000000</f>
        <v>1.22262206</v>
      </c>
      <c r="I52" s="144">
        <f t="shared" ref="I52:I65" si="8">SUM(B52:H52)</f>
        <v>477.86279517999998</v>
      </c>
      <c r="J52"/>
    </row>
    <row r="53" spans="1:15" x14ac:dyDescent="0.2">
      <c r="A53" s="148">
        <f t="shared" si="7"/>
        <v>2004</v>
      </c>
      <c r="B53" s="144">
        <f>Summary!D16/1000000</f>
        <v>158.19854248000001</v>
      </c>
      <c r="C53" s="144">
        <f>Summary!D20/1000000</f>
        <v>49.935622290000005</v>
      </c>
      <c r="D53" s="144">
        <f>Summary!D24/1000000</f>
        <v>145.85831061000002</v>
      </c>
      <c r="E53" s="144">
        <f>Summary!D29/1000000</f>
        <v>123.252607</v>
      </c>
      <c r="F53" s="144">
        <f>Summary!D34/1000000</f>
        <v>4.6710529999999997</v>
      </c>
      <c r="G53" s="144">
        <f>Summary!D39/1000000</f>
        <v>1.0294316400000001</v>
      </c>
      <c r="H53" s="144">
        <f>Summary!D44/1000000</f>
        <v>1.1962225299999998</v>
      </c>
      <c r="I53" s="144">
        <f t="shared" si="8"/>
        <v>484.14178955</v>
      </c>
      <c r="J53"/>
    </row>
    <row r="54" spans="1:15" x14ac:dyDescent="0.2">
      <c r="A54" s="148">
        <f t="shared" si="7"/>
        <v>2005</v>
      </c>
      <c r="B54" s="144">
        <f>Summary!E16/1000000</f>
        <v>170.92587890000001</v>
      </c>
      <c r="C54" s="144">
        <f>Summary!E20/1000000</f>
        <v>52.581299459999997</v>
      </c>
      <c r="D54" s="144">
        <f>Summary!E24/1000000</f>
        <v>147.12529604999997</v>
      </c>
      <c r="E54" s="144">
        <f>Summary!E29/1000000</f>
        <v>124.361165</v>
      </c>
      <c r="F54" s="144">
        <f>Summary!E34/1000000</f>
        <v>4.6737710000000003</v>
      </c>
      <c r="G54" s="144">
        <f>Summary!E39/1000000</f>
        <v>0.99999971999999993</v>
      </c>
      <c r="H54" s="144">
        <f>Summary!E44/1000000</f>
        <v>1.1995881900000003</v>
      </c>
      <c r="I54" s="144">
        <f t="shared" si="8"/>
        <v>501.86699831999999</v>
      </c>
      <c r="J54"/>
    </row>
    <row r="55" spans="1:15" ht="12.75" customHeight="1" x14ac:dyDescent="0.2">
      <c r="A55" s="148">
        <f t="shared" si="7"/>
        <v>2006</v>
      </c>
      <c r="B55" s="144">
        <f>Summary!F16/1000000</f>
        <v>160.69439838</v>
      </c>
      <c r="C55" s="144">
        <f>Summary!F20/1000000</f>
        <v>50.343291239999999</v>
      </c>
      <c r="D55" s="144">
        <f>Summary!F24/1000000</f>
        <v>146.96868279000003</v>
      </c>
      <c r="E55" s="144">
        <f>Summary!F29/1000000</f>
        <v>111.878086</v>
      </c>
      <c r="F55" s="144">
        <f>Summary!F34/1000000</f>
        <v>4.6886520000000003</v>
      </c>
      <c r="G55" s="144">
        <f>Summary!F39/1000000</f>
        <v>1.0109627199999998</v>
      </c>
      <c r="H55" s="144">
        <f>Summary!F44/1000000</f>
        <v>1.2065976399999998</v>
      </c>
      <c r="I55" s="144">
        <f t="shared" si="8"/>
        <v>476.79067077000002</v>
      </c>
      <c r="J55"/>
    </row>
    <row r="56" spans="1:15" x14ac:dyDescent="0.2">
      <c r="A56" s="148">
        <f t="shared" si="7"/>
        <v>2007</v>
      </c>
      <c r="B56" s="144">
        <f>Summary!G16/1000000</f>
        <v>162.85607999000001</v>
      </c>
      <c r="C56" s="144">
        <f>Summary!G20/1000000</f>
        <v>53.416948359999999</v>
      </c>
      <c r="D56" s="144">
        <f>Summary!G24/1000000</f>
        <v>163.22457341000003</v>
      </c>
      <c r="E56" s="144">
        <f>Summary!G29/1000000</f>
        <v>82.520776999999995</v>
      </c>
      <c r="F56" s="144">
        <f>Summary!G34/1000000</f>
        <v>4.6912390000000004</v>
      </c>
      <c r="G56" s="144">
        <f>Summary!G39/1000000</f>
        <v>0.98063110999999981</v>
      </c>
      <c r="H56" s="144">
        <f>Summary!G44/1000000</f>
        <v>1.1441628699999999</v>
      </c>
      <c r="I56" s="144">
        <f t="shared" si="8"/>
        <v>468.83441174000006</v>
      </c>
      <c r="J56"/>
    </row>
    <row r="57" spans="1:15" x14ac:dyDescent="0.2">
      <c r="A57" s="148">
        <f t="shared" si="7"/>
        <v>2008</v>
      </c>
      <c r="B57" s="144">
        <f>Summary!H16/1000000</f>
        <v>157.94494805999997</v>
      </c>
      <c r="C57" s="144">
        <f>Summary!H20/1000000</f>
        <v>55.072082170000002</v>
      </c>
      <c r="D57" s="144">
        <f>Summary!H24/1000000</f>
        <v>145.11372681</v>
      </c>
      <c r="E57" s="144">
        <f>Summary!H29/1000000</f>
        <v>102.682486</v>
      </c>
      <c r="F57" s="144">
        <f>Summary!H34/1000000</f>
        <v>4.7246540000000001</v>
      </c>
      <c r="G57" s="144">
        <f>Summary!H39/1000000</f>
        <v>0.94965542000000003</v>
      </c>
      <c r="H57" s="144">
        <f>Summary!H44/1000000</f>
        <v>1.15779561</v>
      </c>
      <c r="I57" s="144">
        <f t="shared" si="8"/>
        <v>467.64534806999995</v>
      </c>
      <c r="J57"/>
    </row>
    <row r="58" spans="1:15" x14ac:dyDescent="0.2">
      <c r="A58" s="148">
        <f t="shared" si="7"/>
        <v>2009</v>
      </c>
      <c r="B58" s="144">
        <f>Summary!I16/1000000</f>
        <v>152.42851784000001</v>
      </c>
      <c r="C58" s="144">
        <f>Summary!I20/1000000</f>
        <v>54.644526329999998</v>
      </c>
      <c r="D58" s="144">
        <f>Summary!I24/1000000</f>
        <v>135.38116095000001</v>
      </c>
      <c r="E58" s="144">
        <f>Summary!I29/1000000</f>
        <v>48.153613</v>
      </c>
      <c r="F58" s="144">
        <f>Summary!I34/1000000</f>
        <v>4.6919570000000004</v>
      </c>
      <c r="G58" s="144">
        <f>Summary!I39/1000000</f>
        <v>1.05272524</v>
      </c>
      <c r="H58" s="144">
        <f>Summary!I44/1000000</f>
        <v>1.15182633</v>
      </c>
      <c r="I58" s="144">
        <f t="shared" si="8"/>
        <v>397.50432668999997</v>
      </c>
      <c r="J58"/>
    </row>
    <row r="59" spans="1:15" x14ac:dyDescent="0.2">
      <c r="A59" s="148">
        <f t="shared" si="7"/>
        <v>2010</v>
      </c>
      <c r="B59" s="144">
        <f>Summary!J16/1000000</f>
        <v>159.73333750999998</v>
      </c>
      <c r="C59" s="144">
        <f>Summary!J20/1000000</f>
        <v>54.184999660000003</v>
      </c>
      <c r="D59" s="144">
        <f>Summary!J24/1000000</f>
        <v>144.93247647000001</v>
      </c>
      <c r="E59" s="144">
        <f>Summary!J29/1000000</f>
        <v>60.389409000000001</v>
      </c>
      <c r="F59" s="144">
        <f>Summary!J34/1000000</f>
        <v>4.7005759999999999</v>
      </c>
      <c r="G59" s="144">
        <f>Summary!J39/1000000</f>
        <v>0.90896179999999993</v>
      </c>
      <c r="H59" s="144">
        <f>Summary!J44/1000000</f>
        <v>1.12812651</v>
      </c>
      <c r="I59" s="144">
        <f t="shared" si="8"/>
        <v>425.97788694999997</v>
      </c>
      <c r="J59"/>
    </row>
    <row r="60" spans="1:15" x14ac:dyDescent="0.2">
      <c r="A60" s="148">
        <f t="shared" si="7"/>
        <v>2011</v>
      </c>
      <c r="B60" s="144">
        <f>Summary!K16/1000000</f>
        <v>158.62192099999999</v>
      </c>
      <c r="C60" s="144">
        <f>Summary!K20/1000000</f>
        <v>54.435718999999999</v>
      </c>
      <c r="D60" s="144">
        <f>Summary!K24/1000000</f>
        <v>150.17415800000001</v>
      </c>
      <c r="E60" s="144">
        <f>Summary!K29/1000000</f>
        <v>59.993492000000003</v>
      </c>
      <c r="F60" s="144">
        <f>Summary!K34/1000000</f>
        <v>4.7303470000000001</v>
      </c>
      <c r="G60" s="144">
        <f>Summary!K39/1000000</f>
        <v>0.89424000000000003</v>
      </c>
      <c r="H60" s="144">
        <f>Summary!K44/1000000</f>
        <v>1.1229039999999999</v>
      </c>
      <c r="I60" s="144">
        <f t="shared" si="8"/>
        <v>429.97278100000005</v>
      </c>
      <c r="J60"/>
    </row>
    <row r="61" spans="1:15" x14ac:dyDescent="0.2">
      <c r="A61" s="148">
        <f t="shared" si="7"/>
        <v>2012</v>
      </c>
      <c r="B61" s="144">
        <f>Summary!L16/1000000</f>
        <v>159.179968</v>
      </c>
      <c r="C61" s="144">
        <f>Summary!L20/1000000</f>
        <v>50.022064999999998</v>
      </c>
      <c r="D61" s="144">
        <f>Summary!L24/1000000</f>
        <v>141.44086632258063</v>
      </c>
      <c r="E61" s="144">
        <f>Summary!L29/1000000</f>
        <v>48.424320000000002</v>
      </c>
      <c r="F61" s="144">
        <f>Summary!L34/1000000</f>
        <v>4.4793190000000003</v>
      </c>
      <c r="G61" s="144">
        <f>Summary!L39/1000000</f>
        <v>0.84927799999999998</v>
      </c>
      <c r="H61" s="144">
        <f>Summary!L44/1000000</f>
        <v>1.0853889999999999</v>
      </c>
      <c r="I61" s="144">
        <f t="shared" si="8"/>
        <v>405.48120532258071</v>
      </c>
      <c r="J61"/>
    </row>
    <row r="62" spans="1:15" x14ac:dyDescent="0.2">
      <c r="A62" s="148">
        <f t="shared" si="7"/>
        <v>2013</v>
      </c>
      <c r="B62" s="144">
        <f>Summary!M16/1000000</f>
        <v>158.72460699999999</v>
      </c>
      <c r="C62" s="144">
        <f>Summary!M20/1000000</f>
        <v>52.726526999999997</v>
      </c>
      <c r="D62" s="144">
        <f>Summary!M24/1000000</f>
        <v>138.149957</v>
      </c>
      <c r="E62" s="144">
        <f>Summary!M29/1000000</f>
        <v>44.784691000000002</v>
      </c>
      <c r="F62" s="144">
        <f>Summary!M34/1000000</f>
        <v>2.8443010000000002</v>
      </c>
      <c r="G62" s="144">
        <f>Summary!M39/1000000</f>
        <v>0.78298999999999996</v>
      </c>
      <c r="H62" s="144">
        <f>Summary!M44/1000000</f>
        <v>0.98924999999999996</v>
      </c>
      <c r="I62" s="144">
        <f t="shared" si="8"/>
        <v>399.00232299999999</v>
      </c>
      <c r="J62"/>
    </row>
    <row r="63" spans="1:15" x14ac:dyDescent="0.2">
      <c r="A63" s="148">
        <f t="shared" si="7"/>
        <v>2014</v>
      </c>
      <c r="B63" s="144">
        <f>Summary!N16/1000000</f>
        <v>158.18505300000001</v>
      </c>
      <c r="C63" s="144">
        <f>Summary!N20/1000000</f>
        <v>53.903008999999997</v>
      </c>
      <c r="D63" s="144">
        <f>Summary!N24/1000000</f>
        <v>144.19253399999999</v>
      </c>
      <c r="E63" s="144">
        <f>Summary!N29/1000000</f>
        <v>20.367511</v>
      </c>
      <c r="F63" s="144">
        <f>Summary!N34/1000000</f>
        <v>2.5033780000000001</v>
      </c>
      <c r="G63" s="144">
        <f>Summary!N39/1000000</f>
        <v>0.76719899999999996</v>
      </c>
      <c r="H63" s="144">
        <f>Summary!N44/1000000</f>
        <v>0.96694500000000005</v>
      </c>
      <c r="I63" s="144">
        <f t="shared" si="8"/>
        <v>380.88562899999999</v>
      </c>
      <c r="J63"/>
    </row>
    <row r="64" spans="1:15" x14ac:dyDescent="0.2">
      <c r="A64" s="148">
        <f t="shared" si="7"/>
        <v>2015</v>
      </c>
      <c r="B64" s="144">
        <f>Summary!O16/1000000</f>
        <v>157.97371899999999</v>
      </c>
      <c r="C64" s="144">
        <f>Summary!O20/1000000</f>
        <v>54.312604</v>
      </c>
      <c r="D64" s="144">
        <f>Summary!O24/1000000</f>
        <v>139.79696200000001</v>
      </c>
      <c r="E64" s="144">
        <f>Summary!O29/1000000</f>
        <v>0.27707900000000002</v>
      </c>
      <c r="F64" s="144">
        <f>Summary!O34/1000000</f>
        <v>2.2846869999999999</v>
      </c>
      <c r="G64" s="144">
        <f>Summary!O39/1000000</f>
        <v>0.75396399999999997</v>
      </c>
      <c r="H64" s="144">
        <f>Summary!O44/1000000</f>
        <v>0.97004100000000004</v>
      </c>
      <c r="I64" s="144">
        <f t="shared" si="8"/>
        <v>356.369056</v>
      </c>
      <c r="O64" s="144">
        <f>SUM(B64:M64)</f>
        <v>712.738112</v>
      </c>
    </row>
    <row r="65" spans="1:12" x14ac:dyDescent="0.2">
      <c r="A65" s="148">
        <f t="shared" si="7"/>
        <v>2016</v>
      </c>
      <c r="B65" s="144">
        <f>Summary!P16/1000000</f>
        <v>163.10969</v>
      </c>
      <c r="C65" s="144">
        <f>Summary!P20/1000000</f>
        <v>53.545592999999997</v>
      </c>
      <c r="D65" s="144">
        <f>Summary!P24/1000000</f>
        <v>143.43167099999999</v>
      </c>
      <c r="E65" s="144">
        <f>Summary!P29/1000000</f>
        <v>0</v>
      </c>
      <c r="F65" s="144">
        <f>Summary!P34/1000000</f>
        <v>1.575426</v>
      </c>
      <c r="G65" s="144">
        <f>Summary!P39/1000000</f>
        <v>0.74943700000000002</v>
      </c>
      <c r="H65" s="144">
        <f>Summary!P44/1000000</f>
        <v>0.97670800000000002</v>
      </c>
      <c r="I65" s="144">
        <f t="shared" si="8"/>
        <v>363.38852499999996</v>
      </c>
      <c r="J65"/>
    </row>
    <row r="66" spans="1:12" x14ac:dyDescent="0.2">
      <c r="A66" s="284" t="s">
        <v>203</v>
      </c>
      <c r="B66" s="284"/>
      <c r="C66" s="284"/>
      <c r="D66" s="284"/>
      <c r="E66" s="284"/>
      <c r="F66" s="284"/>
      <c r="G66" s="284"/>
      <c r="H66" s="284"/>
      <c r="I66" s="284"/>
      <c r="J66" s="233"/>
      <c r="K66"/>
      <c r="L66" s="150"/>
    </row>
    <row r="67" spans="1:12" x14ac:dyDescent="0.2">
      <c r="A67" s="148">
        <f t="shared" ref="A67:A77" si="9">A51</f>
        <v>2002</v>
      </c>
      <c r="B67" s="142">
        <f t="shared" ref="B67:B77" si="10">B51*F161</f>
        <v>159.84779037465199</v>
      </c>
      <c r="C67" s="142">
        <f t="shared" ref="C67:C77" si="11">C51*F161</f>
        <v>46.796688559112816</v>
      </c>
      <c r="D67" s="142">
        <f t="shared" ref="D67:D77" si="12">D51*F161</f>
        <v>215.32297926315289</v>
      </c>
      <c r="E67" s="142">
        <f t="shared" ref="E67:E77" si="13">E51*F161</f>
        <v>62.653268326599274</v>
      </c>
      <c r="F67" s="142">
        <f t="shared" ref="F67:F77" si="14">F51*F161</f>
        <v>4.4695395490267948</v>
      </c>
      <c r="G67" s="142">
        <f t="shared" ref="G67:G77" si="15">G51*F161</f>
        <v>0.59409175121583579</v>
      </c>
      <c r="H67" s="142">
        <f t="shared" ref="H67:H77" si="16">H51*F161</f>
        <v>0.98962769023250885</v>
      </c>
      <c r="I67" s="144">
        <f>SUM(B67:H67)</f>
        <v>490.67398551399219</v>
      </c>
      <c r="J67" s="153"/>
      <c r="K67" s="149"/>
    </row>
    <row r="68" spans="1:12" x14ac:dyDescent="0.2">
      <c r="A68" s="148">
        <f t="shared" si="9"/>
        <v>2003</v>
      </c>
      <c r="B68" s="142">
        <f t="shared" si="10"/>
        <v>157.73001896410491</v>
      </c>
      <c r="C68" s="142">
        <f t="shared" si="11"/>
        <v>46.498066363382996</v>
      </c>
      <c r="D68" s="142">
        <f t="shared" si="12"/>
        <v>148.8664626309488</v>
      </c>
      <c r="E68" s="142">
        <f t="shared" si="13"/>
        <v>118.22557867780036</v>
      </c>
      <c r="F68" s="142">
        <f t="shared" si="14"/>
        <v>4.6523227219886927</v>
      </c>
      <c r="G68" s="142">
        <f t="shared" si="15"/>
        <v>1.026342297472193</v>
      </c>
      <c r="H68" s="142">
        <f t="shared" si="16"/>
        <v>1.2235419466515995</v>
      </c>
      <c r="I68" s="144">
        <f t="shared" ref="I68:I83" si="17">SUM(B68:H68)</f>
        <v>478.22233360234952</v>
      </c>
      <c r="J68" s="153"/>
      <c r="K68" s="149"/>
    </row>
    <row r="69" spans="1:12" x14ac:dyDescent="0.2">
      <c r="A69" s="148">
        <f t="shared" si="9"/>
        <v>2004</v>
      </c>
      <c r="B69" s="142">
        <f t="shared" si="10"/>
        <v>159.8596870225154</v>
      </c>
      <c r="C69" s="142">
        <f t="shared" si="11"/>
        <v>50.459965214680423</v>
      </c>
      <c r="D69" s="142">
        <f t="shared" si="12"/>
        <v>147.38987804957327</v>
      </c>
      <c r="E69" s="142">
        <f t="shared" si="13"/>
        <v>124.54680599993533</v>
      </c>
      <c r="F69" s="142">
        <f t="shared" si="14"/>
        <v>4.7201008235583686</v>
      </c>
      <c r="G69" s="142">
        <f t="shared" si="15"/>
        <v>1.0402410616537732</v>
      </c>
      <c r="H69" s="142">
        <f t="shared" si="16"/>
        <v>1.2087833190957316</v>
      </c>
      <c r="I69" s="144">
        <f t="shared" si="17"/>
        <v>489.22546149101231</v>
      </c>
      <c r="J69" s="153"/>
      <c r="K69" s="149"/>
    </row>
    <row r="70" spans="1:12" x14ac:dyDescent="0.2">
      <c r="A70" s="148">
        <f t="shared" si="9"/>
        <v>2005</v>
      </c>
      <c r="B70" s="142">
        <f t="shared" si="10"/>
        <v>164.9702133546933</v>
      </c>
      <c r="C70" s="142">
        <f t="shared" si="11"/>
        <v>50.749179973256922</v>
      </c>
      <c r="D70" s="142">
        <f t="shared" si="12"/>
        <v>141.99892746165608</v>
      </c>
      <c r="E70" s="142">
        <f t="shared" si="13"/>
        <v>120.02797970160512</v>
      </c>
      <c r="F70" s="142">
        <f t="shared" si="14"/>
        <v>4.5109201953676674</v>
      </c>
      <c r="G70" s="142">
        <f t="shared" si="15"/>
        <v>0.96515617310090973</v>
      </c>
      <c r="H70" s="142">
        <f t="shared" si="16"/>
        <v>1.1577902709387233</v>
      </c>
      <c r="I70" s="144">
        <f t="shared" si="17"/>
        <v>484.3801671306187</v>
      </c>
      <c r="J70" s="153"/>
      <c r="K70" s="149"/>
    </row>
    <row r="71" spans="1:12" x14ac:dyDescent="0.2">
      <c r="A71" s="148">
        <f t="shared" si="9"/>
        <v>2006</v>
      </c>
      <c r="B71" s="142">
        <f t="shared" si="10"/>
        <v>160.69948000897588</v>
      </c>
      <c r="C71" s="142">
        <f t="shared" si="11"/>
        <v>50.344883242771012</v>
      </c>
      <c r="D71" s="142">
        <f t="shared" si="12"/>
        <v>146.97333037152461</v>
      </c>
      <c r="E71" s="142">
        <f t="shared" si="13"/>
        <v>111.8816239137625</v>
      </c>
      <c r="F71" s="142">
        <f t="shared" si="14"/>
        <v>4.6888002689508861</v>
      </c>
      <c r="G71" s="142">
        <f t="shared" si="15"/>
        <v>1.0109946896112825</v>
      </c>
      <c r="H71" s="142">
        <f t="shared" si="16"/>
        <v>1.2066357961622027</v>
      </c>
      <c r="I71" s="144">
        <f t="shared" si="17"/>
        <v>476.80574829175833</v>
      </c>
      <c r="J71" s="153"/>
      <c r="K71" s="149"/>
    </row>
    <row r="72" spans="1:12" x14ac:dyDescent="0.2">
      <c r="A72" s="148">
        <f t="shared" si="9"/>
        <v>2007</v>
      </c>
      <c r="B72" s="142">
        <f t="shared" si="10"/>
        <v>161.8523690962021</v>
      </c>
      <c r="C72" s="142">
        <f t="shared" si="11"/>
        <v>53.087730236945184</v>
      </c>
      <c r="D72" s="142">
        <f t="shared" si="12"/>
        <v>162.2185914259243</v>
      </c>
      <c r="E72" s="142">
        <f t="shared" si="13"/>
        <v>82.012186821207436</v>
      </c>
      <c r="F72" s="142">
        <f t="shared" si="14"/>
        <v>4.6623260623313616</v>
      </c>
      <c r="G72" s="142">
        <f t="shared" si="15"/>
        <v>0.97458730661258808</v>
      </c>
      <c r="H72" s="142">
        <f t="shared" si="16"/>
        <v>1.1371111913830971</v>
      </c>
      <c r="I72" s="144">
        <f t="shared" si="17"/>
        <v>465.94490214060608</v>
      </c>
      <c r="J72" s="153"/>
      <c r="K72" s="149"/>
    </row>
    <row r="73" spans="1:12" x14ac:dyDescent="0.2">
      <c r="A73" s="148">
        <f t="shared" si="9"/>
        <v>2008</v>
      </c>
      <c r="B73" s="142">
        <f t="shared" si="10"/>
        <v>159.95463191199386</v>
      </c>
      <c r="C73" s="142">
        <f t="shared" si="11"/>
        <v>55.772816670167018</v>
      </c>
      <c r="D73" s="142">
        <f t="shared" si="12"/>
        <v>146.96014682567485</v>
      </c>
      <c r="E73" s="142">
        <f t="shared" si="13"/>
        <v>103.98901296734812</v>
      </c>
      <c r="F73" s="142">
        <f t="shared" si="14"/>
        <v>4.7847702681471223</v>
      </c>
      <c r="G73" s="142">
        <f t="shared" si="15"/>
        <v>0.96173878946495728</v>
      </c>
      <c r="H73" s="142">
        <f t="shared" si="16"/>
        <v>1.1725273451387681</v>
      </c>
      <c r="I73" s="144">
        <f t="shared" si="17"/>
        <v>473.59564477793464</v>
      </c>
      <c r="J73" s="153"/>
      <c r="K73" s="149"/>
    </row>
    <row r="74" spans="1:12" x14ac:dyDescent="0.2">
      <c r="A74" s="148">
        <f t="shared" si="9"/>
        <v>2009</v>
      </c>
      <c r="B74" s="142">
        <f t="shared" si="10"/>
        <v>156.30656762591127</v>
      </c>
      <c r="C74" s="142">
        <f t="shared" si="11"/>
        <v>56.034779260607898</v>
      </c>
      <c r="D74" s="142">
        <f t="shared" si="12"/>
        <v>138.82549597128295</v>
      </c>
      <c r="E74" s="142">
        <f t="shared" si="13"/>
        <v>49.378725670724265</v>
      </c>
      <c r="F74" s="142">
        <f t="shared" si="14"/>
        <v>4.8113286444743917</v>
      </c>
      <c r="G74" s="142">
        <f t="shared" si="15"/>
        <v>1.0795084230254408</v>
      </c>
      <c r="H74" s="142">
        <f t="shared" si="16"/>
        <v>1.1811308191845775</v>
      </c>
      <c r="I74" s="144">
        <f t="shared" si="17"/>
        <v>407.61753641521079</v>
      </c>
      <c r="J74" s="153"/>
      <c r="K74" s="149"/>
    </row>
    <row r="75" spans="1:12" x14ac:dyDescent="0.2">
      <c r="A75" s="148">
        <f t="shared" si="9"/>
        <v>2010</v>
      </c>
      <c r="B75" s="142">
        <f t="shared" si="10"/>
        <v>160.33915125040613</v>
      </c>
      <c r="C75" s="142">
        <f t="shared" si="11"/>
        <v>54.390504771391512</v>
      </c>
      <c r="D75" s="142">
        <f t="shared" si="12"/>
        <v>145.48215562305168</v>
      </c>
      <c r="E75" s="142">
        <f t="shared" si="13"/>
        <v>60.618445307119771</v>
      </c>
      <c r="F75" s="142">
        <f t="shared" si="14"/>
        <v>4.7184036718749773</v>
      </c>
      <c r="G75" s="142">
        <f t="shared" si="15"/>
        <v>0.91240918021835804</v>
      </c>
      <c r="H75" s="142">
        <f t="shared" si="16"/>
        <v>1.1324051067621295</v>
      </c>
      <c r="I75" s="144">
        <f t="shared" si="17"/>
        <v>427.59347491082451</v>
      </c>
      <c r="J75" s="153"/>
      <c r="K75" s="149"/>
    </row>
    <row r="76" spans="1:12" x14ac:dyDescent="0.2">
      <c r="A76" s="148">
        <f t="shared" si="9"/>
        <v>2011</v>
      </c>
      <c r="B76" s="142">
        <f t="shared" si="10"/>
        <v>158.49996952440102</v>
      </c>
      <c r="C76" s="142">
        <f t="shared" si="11"/>
        <v>54.393867809348109</v>
      </c>
      <c r="D76" s="142">
        <f t="shared" si="12"/>
        <v>150.0587013213173</v>
      </c>
      <c r="E76" s="142">
        <f t="shared" si="13"/>
        <v>59.947367890358599</v>
      </c>
      <c r="F76" s="142">
        <f t="shared" si="14"/>
        <v>4.7267102214695909</v>
      </c>
      <c r="G76" s="142">
        <f t="shared" si="15"/>
        <v>0.89355249169817075</v>
      </c>
      <c r="H76" s="142">
        <f t="shared" si="16"/>
        <v>1.1220406905728244</v>
      </c>
      <c r="I76" s="144">
        <f t="shared" si="17"/>
        <v>429.64220994916559</v>
      </c>
      <c r="J76" s="153"/>
      <c r="K76" s="149"/>
    </row>
    <row r="77" spans="1:12" x14ac:dyDescent="0.2">
      <c r="A77" s="148">
        <f t="shared" si="9"/>
        <v>2012</v>
      </c>
      <c r="B77" s="142">
        <f t="shared" si="10"/>
        <v>160.83482563786171</v>
      </c>
      <c r="C77" s="142">
        <f t="shared" si="11"/>
        <v>50.54210151820601</v>
      </c>
      <c r="D77" s="142">
        <f t="shared" si="12"/>
        <v>142.91130573075853</v>
      </c>
      <c r="E77" s="142">
        <f t="shared" si="13"/>
        <v>48.927746133433196</v>
      </c>
      <c r="F77" s="142">
        <f t="shared" si="14"/>
        <v>4.5258866388348631</v>
      </c>
      <c r="G77" s="142">
        <f t="shared" si="15"/>
        <v>0.85810721514953381</v>
      </c>
      <c r="H77" s="142">
        <f t="shared" si="16"/>
        <v>1.0966728587623102</v>
      </c>
      <c r="I77" s="144">
        <f t="shared" si="17"/>
        <v>409.69664573300611</v>
      </c>
      <c r="J77" s="153"/>
      <c r="K77" s="149"/>
    </row>
    <row r="78" spans="1:12" x14ac:dyDescent="0.2">
      <c r="A78" s="148" t="str">
        <f>A29</f>
        <v>2013 Board Approved</v>
      </c>
      <c r="B78" s="237">
        <f>[13]Summary!$M$13/1000000</f>
        <v>162.56561849710243</v>
      </c>
      <c r="C78" s="237">
        <f>[13]Summary!$M$17/1000000</f>
        <v>54.784534147389493</v>
      </c>
      <c r="D78" s="237">
        <f>[13]Summary!$M$21/1000000</f>
        <v>141.53039374885864</v>
      </c>
      <c r="E78" s="237">
        <f>[13]Summary!$M$26/1000000</f>
        <v>59.538700549472246</v>
      </c>
      <c r="F78" s="237">
        <f>[13]Summary!$M$31/1000000</f>
        <v>1.2732809617749565</v>
      </c>
      <c r="G78" s="237">
        <f>[13]Summary!$M$36/1000000</f>
        <v>0.83197687357555672</v>
      </c>
      <c r="H78" s="237">
        <f>[13]Summary!$M$41/1000000</f>
        <v>1.1112296191108764</v>
      </c>
      <c r="I78" s="144">
        <f t="shared" si="17"/>
        <v>421.63573439728418</v>
      </c>
      <c r="K78" s="149"/>
    </row>
    <row r="79" spans="1:12" x14ac:dyDescent="0.2">
      <c r="A79" s="148">
        <f>A62</f>
        <v>2013</v>
      </c>
      <c r="B79" s="142">
        <f>B62*F172</f>
        <v>159.85868116506649</v>
      </c>
      <c r="C79" s="142">
        <f>C62*F172</f>
        <v>53.103253666485813</v>
      </c>
      <c r="D79" s="142">
        <f>D62*F172</f>
        <v>139.13702699563558</v>
      </c>
      <c r="E79" s="142">
        <f>E62*F172</f>
        <v>45.104673906327726</v>
      </c>
      <c r="F79" s="142">
        <f>F62*F172</f>
        <v>2.8646232949657255</v>
      </c>
      <c r="G79" s="142">
        <f>G62*F172</f>
        <v>0.78858439867131258</v>
      </c>
      <c r="H79" s="142">
        <f>H62*F172</f>
        <v>0.99631810928057318</v>
      </c>
      <c r="I79" s="144">
        <f t="shared" si="17"/>
        <v>401.85316153643322</v>
      </c>
      <c r="J79" s="153"/>
      <c r="K79" s="149"/>
    </row>
    <row r="80" spans="1:12" x14ac:dyDescent="0.2">
      <c r="A80" s="148">
        <f>A63</f>
        <v>2014</v>
      </c>
      <c r="B80" s="142">
        <f>B63*F173</f>
        <v>159.92496510543</v>
      </c>
      <c r="C80" s="142">
        <f>C63*F173</f>
        <v>54.495900022884456</v>
      </c>
      <c r="D80" s="142">
        <f>D63*F173</f>
        <v>145.7785393188415</v>
      </c>
      <c r="E80" s="142">
        <f>E63*F173</f>
        <v>20.591537722337531</v>
      </c>
      <c r="F80" s="142">
        <f>F63*F173</f>
        <v>2.5309132038897579</v>
      </c>
      <c r="G80" s="142">
        <f>G63*F173</f>
        <v>0.77563759013262001</v>
      </c>
      <c r="H80" s="142">
        <f>H63*F173</f>
        <v>0.97758064021301694</v>
      </c>
      <c r="I80" s="144">
        <f t="shared" si="17"/>
        <v>385.07507360372898</v>
      </c>
      <c r="J80" s="153"/>
      <c r="K80" s="149"/>
    </row>
    <row r="81" spans="1:11" ht="15" customHeight="1" x14ac:dyDescent="0.2">
      <c r="A81" s="148">
        <f>A64</f>
        <v>2015</v>
      </c>
      <c r="B81" s="142">
        <f>B64*F174</f>
        <v>159.46484605593184</v>
      </c>
      <c r="C81" s="142">
        <f>C64*F174</f>
        <v>54.825265180702552</v>
      </c>
      <c r="D81" s="142">
        <f>D64*F174</f>
        <v>141.11651713673308</v>
      </c>
      <c r="E81" s="142">
        <f>E64*F174</f>
        <v>0.27969437169692479</v>
      </c>
      <c r="F81" s="142">
        <f>F64*F174</f>
        <v>2.3062523503734744</v>
      </c>
      <c r="G81" s="142">
        <f>G64*F174</f>
        <v>0.76108072882499278</v>
      </c>
      <c r="H81" s="142">
        <f>H64*F174</f>
        <v>0.9791972975767077</v>
      </c>
      <c r="I81" s="144">
        <f t="shared" si="17"/>
        <v>359.73285312183958</v>
      </c>
      <c r="J81" s="153"/>
      <c r="K81" s="149"/>
    </row>
    <row r="82" spans="1:11" x14ac:dyDescent="0.2">
      <c r="A82" s="151">
        <f>A45</f>
        <v>2016</v>
      </c>
      <c r="B82" s="142">
        <f>B65*F175</f>
        <v>160.36685891603096</v>
      </c>
      <c r="C82" s="142">
        <f>C65*F175</f>
        <v>52.645177354001561</v>
      </c>
      <c r="D82" s="142">
        <f>D65*F175</f>
        <v>141.01974289416876</v>
      </c>
      <c r="E82" s="142">
        <f>E65*F175</f>
        <v>0</v>
      </c>
      <c r="F82" s="142">
        <f>F65*F175</f>
        <v>1.5489338436891578</v>
      </c>
      <c r="G82" s="142">
        <f>G65*F175</f>
        <v>0.73683456602396524</v>
      </c>
      <c r="H82" s="142">
        <f>H65*F175</f>
        <v>0.9602838067938132</v>
      </c>
      <c r="I82" s="144">
        <f t="shared" si="17"/>
        <v>357.27783138070822</v>
      </c>
      <c r="J82" s="263"/>
      <c r="K82" s="149"/>
    </row>
    <row r="83" spans="1:11" x14ac:dyDescent="0.2">
      <c r="A83" s="151" t="str">
        <f>A46</f>
        <v>2017 Test</v>
      </c>
      <c r="B83" s="142">
        <f>Summary!Q16/1000000</f>
        <v>165.52177236384145</v>
      </c>
      <c r="C83" s="144">
        <f>Summary!Q20/1000000</f>
        <v>54.016205037750971</v>
      </c>
      <c r="D83" s="144">
        <f>Summary!Q24/1000000</f>
        <v>139.84129042471801</v>
      </c>
      <c r="E83" s="142">
        <f>Summary!Q29/1000000</f>
        <v>0</v>
      </c>
      <c r="F83" s="144">
        <f>Summary!Q34/1000000</f>
        <v>1.5824703637279498</v>
      </c>
      <c r="G83" s="142">
        <f>Summary!Q39/1000000</f>
        <v>0.74943700000000002</v>
      </c>
      <c r="H83" s="142">
        <f>Summary!Q44/1000000</f>
        <v>0.96382480996160558</v>
      </c>
      <c r="I83" s="144">
        <f t="shared" si="17"/>
        <v>362.67499999999995</v>
      </c>
      <c r="J83" s="153"/>
      <c r="K83" s="149"/>
    </row>
    <row r="84" spans="1:11" x14ac:dyDescent="0.2">
      <c r="A84" s="152"/>
      <c r="B84" s="153"/>
      <c r="C84" s="153"/>
      <c r="D84" s="153"/>
      <c r="E84" s="154"/>
      <c r="F84" s="153"/>
      <c r="G84" s="153"/>
      <c r="H84" s="153"/>
      <c r="I84" s="153"/>
      <c r="J84" s="153"/>
      <c r="K84" s="149"/>
    </row>
    <row r="85" spans="1:11" x14ac:dyDescent="0.2">
      <c r="A85" s="292" t="s">
        <v>204</v>
      </c>
      <c r="B85" s="279"/>
      <c r="C85" s="279"/>
      <c r="D85" s="279"/>
      <c r="E85" s="279"/>
      <c r="F85" s="279"/>
      <c r="G85" s="279"/>
      <c r="H85" s="279"/>
      <c r="I85" s="279"/>
      <c r="J85" s="199"/>
    </row>
    <row r="86" spans="1:11" x14ac:dyDescent="0.2">
      <c r="A86" s="283" t="s">
        <v>117</v>
      </c>
      <c r="B86" s="283"/>
      <c r="C86" s="283"/>
      <c r="D86" s="283"/>
      <c r="E86" s="283"/>
      <c r="F86" s="283"/>
      <c r="G86" s="283"/>
      <c r="H86" s="283"/>
      <c r="I86" s="283"/>
      <c r="J86" s="199"/>
    </row>
    <row r="87" spans="1:11" ht="51" x14ac:dyDescent="0.2">
      <c r="A87" s="146" t="str">
        <f>A49</f>
        <v>Year</v>
      </c>
      <c r="B87" s="147" t="str">
        <f>B49</f>
        <v xml:space="preserve">Residential </v>
      </c>
      <c r="C87" s="147" t="str">
        <f t="shared" ref="C87:H87" si="18">C49</f>
        <v>General Service 
&lt; 50 kW</v>
      </c>
      <c r="D87" s="147" t="str">
        <f t="shared" si="18"/>
        <v>General Service 
50 to 
4,999 kW</v>
      </c>
      <c r="E87" s="147" t="str">
        <f t="shared" si="18"/>
        <v>Large User</v>
      </c>
      <c r="F87" s="147" t="str">
        <f t="shared" si="18"/>
        <v xml:space="preserve">Street Lights </v>
      </c>
      <c r="G87" s="147" t="str">
        <f t="shared" si="18"/>
        <v>Sentinel Lights</v>
      </c>
      <c r="H87" s="147" t="str">
        <f t="shared" si="18"/>
        <v xml:space="preserve">Unmetered Scattered Loads </v>
      </c>
      <c r="I87" s="147" t="str">
        <f>I49</f>
        <v>Total</v>
      </c>
      <c r="J87" s="180"/>
    </row>
    <row r="88" spans="1:11" x14ac:dyDescent="0.2">
      <c r="A88" s="148">
        <f t="shared" ref="A88:A98" si="19">A51</f>
        <v>2002</v>
      </c>
      <c r="B88" s="155">
        <f>Summary!B15</f>
        <v>18178</v>
      </c>
      <c r="C88" s="155">
        <f>Summary!B19</f>
        <v>1679.5</v>
      </c>
      <c r="D88" s="155">
        <f>Summary!B23</f>
        <v>239.41666666666666</v>
      </c>
      <c r="E88" s="155">
        <f>Summary!B28</f>
        <v>1.3333333333333333</v>
      </c>
      <c r="F88" s="155">
        <f>Summary!B33</f>
        <v>6411.75</v>
      </c>
      <c r="G88" s="155">
        <f>Summary!B38</f>
        <v>765</v>
      </c>
      <c r="H88" s="155">
        <f>Summary!B43</f>
        <v>225.25</v>
      </c>
      <c r="I88" s="156">
        <f>SUM(B88:H88)</f>
        <v>27500.25</v>
      </c>
      <c r="J88" s="140"/>
    </row>
    <row r="89" spans="1:11" ht="12.75" customHeight="1" x14ac:dyDescent="0.2">
      <c r="A89" s="148">
        <f t="shared" si="19"/>
        <v>2003</v>
      </c>
      <c r="B89" s="155">
        <f>Summary!C15</f>
        <v>18297.833333333332</v>
      </c>
      <c r="C89" s="155">
        <f>Summary!C19</f>
        <v>1684.3333333333333</v>
      </c>
      <c r="D89" s="155">
        <f>Summary!C23</f>
        <v>235.75</v>
      </c>
      <c r="E89" s="155">
        <f>Summary!C28</f>
        <v>2.75</v>
      </c>
      <c r="F89" s="155">
        <f>Summary!C33</f>
        <v>6457.5</v>
      </c>
      <c r="G89" s="155">
        <f>Summary!C38</f>
        <v>758.08333333333337</v>
      </c>
      <c r="H89" s="155">
        <f>Summary!C43</f>
        <v>228.58333333333334</v>
      </c>
      <c r="I89" s="156">
        <f t="shared" ref="I89:I104" si="20">SUM(B89:H89)</f>
        <v>27664.833333333328</v>
      </c>
      <c r="J89" s="140"/>
    </row>
    <row r="90" spans="1:11" x14ac:dyDescent="0.2">
      <c r="A90" s="148">
        <f t="shared" si="19"/>
        <v>2004</v>
      </c>
      <c r="B90" s="155">
        <f>Summary!D15</f>
        <v>18497.833333333332</v>
      </c>
      <c r="C90" s="155">
        <f>Summary!D19</f>
        <v>1682.9166666666667</v>
      </c>
      <c r="D90" s="155">
        <f>Summary!D23</f>
        <v>216.5</v>
      </c>
      <c r="E90" s="155">
        <f>Summary!D28</f>
        <v>2.8333333333333335</v>
      </c>
      <c r="F90" s="155">
        <f>Summary!D33</f>
        <v>6471.333333333333</v>
      </c>
      <c r="G90" s="155">
        <f>Summary!D38</f>
        <v>750.41666666666663</v>
      </c>
      <c r="H90" s="155">
        <f>Summary!D43</f>
        <v>232.41666666666666</v>
      </c>
      <c r="I90" s="156">
        <f t="shared" si="20"/>
        <v>27854.25</v>
      </c>
      <c r="J90" s="140"/>
    </row>
    <row r="91" spans="1:11" x14ac:dyDescent="0.2">
      <c r="A91" s="148">
        <f t="shared" si="19"/>
        <v>2005</v>
      </c>
      <c r="B91" s="155">
        <f>Summary!E15</f>
        <v>18756.166666666668</v>
      </c>
      <c r="C91" s="155">
        <f>Summary!E19</f>
        <v>1690.8333333333333</v>
      </c>
      <c r="D91" s="155">
        <f>Summary!E23</f>
        <v>208</v>
      </c>
      <c r="E91" s="155">
        <f>Summary!E28</f>
        <v>2.8333333333333335</v>
      </c>
      <c r="F91" s="155">
        <f>Summary!E33</f>
        <v>6520.166666666667</v>
      </c>
      <c r="G91" s="155">
        <f>Summary!E38</f>
        <v>739.25</v>
      </c>
      <c r="H91" s="155">
        <f>Summary!E43</f>
        <v>234</v>
      </c>
      <c r="I91" s="156">
        <f t="shared" si="20"/>
        <v>28151.25</v>
      </c>
      <c r="J91" s="140"/>
    </row>
    <row r="92" spans="1:11" x14ac:dyDescent="0.2">
      <c r="A92" s="148">
        <f t="shared" si="19"/>
        <v>2006</v>
      </c>
      <c r="B92" s="155">
        <f>Summary!F15</f>
        <v>18914.833333333332</v>
      </c>
      <c r="C92" s="155">
        <f>Summary!F19</f>
        <v>1668</v>
      </c>
      <c r="D92" s="155">
        <f>Summary!F23</f>
        <v>208.5</v>
      </c>
      <c r="E92" s="155">
        <f>Summary!F28</f>
        <v>3</v>
      </c>
      <c r="F92" s="155">
        <f>Summary!F33</f>
        <v>6557.75</v>
      </c>
      <c r="G92" s="155">
        <f>Summary!F38</f>
        <v>732.41666666666663</v>
      </c>
      <c r="H92" s="155">
        <f>Summary!F43</f>
        <v>232.58333333333334</v>
      </c>
      <c r="I92" s="156">
        <f t="shared" si="20"/>
        <v>28317.083333333332</v>
      </c>
      <c r="J92" s="140"/>
    </row>
    <row r="93" spans="1:11" ht="12.75" customHeight="1" x14ac:dyDescent="0.2">
      <c r="A93" s="148">
        <f t="shared" si="19"/>
        <v>2007</v>
      </c>
      <c r="B93" s="155">
        <f>Summary!G15</f>
        <v>18996.166666666668</v>
      </c>
      <c r="C93" s="155">
        <f>Summary!G19</f>
        <v>1656.5</v>
      </c>
      <c r="D93" s="155">
        <f>Summary!G23</f>
        <v>194.16666666666666</v>
      </c>
      <c r="E93" s="155">
        <f>Summary!G28</f>
        <v>2.4166666666666665</v>
      </c>
      <c r="F93" s="155">
        <f>Summary!G33</f>
        <v>6610.333333333333</v>
      </c>
      <c r="G93" s="155">
        <f>Summary!G38</f>
        <v>704.41666666666663</v>
      </c>
      <c r="H93" s="155">
        <f>Summary!G43</f>
        <v>231.66666666666666</v>
      </c>
      <c r="I93" s="156">
        <f t="shared" si="20"/>
        <v>28395.666666666672</v>
      </c>
      <c r="J93" s="140"/>
    </row>
    <row r="94" spans="1:11" x14ac:dyDescent="0.2">
      <c r="A94" s="148">
        <f t="shared" si="19"/>
        <v>2008</v>
      </c>
      <c r="B94" s="155">
        <f>Summary!H15</f>
        <v>19136.5</v>
      </c>
      <c r="C94" s="155">
        <f>Summary!H19</f>
        <v>1676.25</v>
      </c>
      <c r="D94" s="155">
        <f>Summary!H23</f>
        <v>176.25</v>
      </c>
      <c r="E94" s="155">
        <f>Summary!H28</f>
        <v>2.5</v>
      </c>
      <c r="F94" s="155">
        <f>Summary!H33</f>
        <v>6670.583333333333</v>
      </c>
      <c r="G94" s="155">
        <f>Summary!H38</f>
        <v>689</v>
      </c>
      <c r="H94" s="155">
        <f>Summary!H43</f>
        <v>232</v>
      </c>
      <c r="I94" s="156">
        <f t="shared" si="20"/>
        <v>28583.083333333332</v>
      </c>
      <c r="J94" s="140"/>
    </row>
    <row r="95" spans="1:11" x14ac:dyDescent="0.2">
      <c r="A95" s="148">
        <f t="shared" si="19"/>
        <v>2009</v>
      </c>
      <c r="B95" s="155">
        <f>Summary!I15</f>
        <v>19277.083333333332</v>
      </c>
      <c r="C95" s="155">
        <f>Summary!I19</f>
        <v>1690.1666666666667</v>
      </c>
      <c r="D95" s="155">
        <f>Summary!I23</f>
        <v>170.75</v>
      </c>
      <c r="E95" s="155">
        <f>Summary!I28</f>
        <v>2.5</v>
      </c>
      <c r="F95" s="155">
        <f>Summary!I33</f>
        <v>6709.416666666667</v>
      </c>
      <c r="G95" s="155">
        <f>Summary!I38</f>
        <v>679.66666666666663</v>
      </c>
      <c r="H95" s="155">
        <f>Summary!I43</f>
        <v>230.5</v>
      </c>
      <c r="I95" s="156">
        <f t="shared" si="20"/>
        <v>28760.083333333336</v>
      </c>
      <c r="J95" s="140"/>
    </row>
    <row r="96" spans="1:11" x14ac:dyDescent="0.2">
      <c r="A96" s="148">
        <f t="shared" si="19"/>
        <v>2010</v>
      </c>
      <c r="B96" s="155">
        <f>Summary!J15</f>
        <v>19434.333333333332</v>
      </c>
      <c r="C96" s="155">
        <f>Summary!J19</f>
        <v>1690.6666666666667</v>
      </c>
      <c r="D96" s="155">
        <f>Summary!J23</f>
        <v>172.33333333333334</v>
      </c>
      <c r="E96" s="155">
        <f>Summary!J28</f>
        <v>1.3333333333333333</v>
      </c>
      <c r="F96" s="155">
        <f>Summary!J33</f>
        <v>6737.666666666667</v>
      </c>
      <c r="G96" s="155">
        <f>Summary!J38</f>
        <v>679.16666666666663</v>
      </c>
      <c r="H96" s="155">
        <f>Summary!J43</f>
        <v>227.25</v>
      </c>
      <c r="I96" s="156">
        <f t="shared" si="20"/>
        <v>28942.75</v>
      </c>
      <c r="J96" s="140"/>
    </row>
    <row r="97" spans="1:20" x14ac:dyDescent="0.2">
      <c r="A97" s="148">
        <f t="shared" si="19"/>
        <v>2011</v>
      </c>
      <c r="B97" s="155">
        <f>Summary!K15</f>
        <v>19716.902777777785</v>
      </c>
      <c r="C97" s="155">
        <f>Summary!K19</f>
        <v>1690.8055555555559</v>
      </c>
      <c r="D97" s="155">
        <f>Summary!K23</f>
        <v>169.73611111111106</v>
      </c>
      <c r="E97" s="155">
        <f>Summary!K28</f>
        <v>1</v>
      </c>
      <c r="F97" s="155">
        <f>Summary!K33</f>
        <v>6739</v>
      </c>
      <c r="G97" s="155">
        <f>Summary!K38</f>
        <v>663.28472222222206</v>
      </c>
      <c r="H97" s="155">
        <f>Summary!K43</f>
        <v>226.32291666666671</v>
      </c>
      <c r="I97" s="156">
        <f t="shared" si="20"/>
        <v>29207.052083333339</v>
      </c>
      <c r="J97" s="140"/>
    </row>
    <row r="98" spans="1:20" x14ac:dyDescent="0.2">
      <c r="A98" s="148">
        <f t="shared" si="19"/>
        <v>2012</v>
      </c>
      <c r="B98" s="155">
        <f>Summary!L15</f>
        <v>20109.833333333332</v>
      </c>
      <c r="C98" s="155">
        <f>Summary!L19</f>
        <v>1698.8333333333333</v>
      </c>
      <c r="D98" s="155">
        <f>Summary!L23</f>
        <v>173.25</v>
      </c>
      <c r="E98" s="155">
        <f>Summary!L28</f>
        <v>1</v>
      </c>
      <c r="F98" s="155">
        <f>Summary!L33</f>
        <v>6749.166666666667</v>
      </c>
      <c r="G98" s="155">
        <f>Summary!L38</f>
        <v>626.84577546296293</v>
      </c>
      <c r="H98" s="155">
        <f>Summary!L43</f>
        <v>220.70008680555566</v>
      </c>
      <c r="I98" s="156">
        <f t="shared" si="20"/>
        <v>29579.62919560185</v>
      </c>
      <c r="J98" s="140"/>
    </row>
    <row r="99" spans="1:20" x14ac:dyDescent="0.2">
      <c r="A99" s="148" t="str">
        <f>A78</f>
        <v>2013 Board Approved</v>
      </c>
      <c r="B99" s="155">
        <f>[13]Summary!$M$12</f>
        <v>20432.24624822551</v>
      </c>
      <c r="C99" s="155">
        <f>[13]Summary!$M$16</f>
        <v>1695.799451063576</v>
      </c>
      <c r="D99" s="155">
        <f>[13]Summary!$M$20</f>
        <v>169</v>
      </c>
      <c r="E99" s="155">
        <f>[13]Summary!$M$25</f>
        <v>1</v>
      </c>
      <c r="F99" s="155">
        <f>[13]Summary!$M$30</f>
        <v>6749.5</v>
      </c>
      <c r="G99" s="155">
        <f>[13]Summary!$M$35</f>
        <v>574</v>
      </c>
      <c r="H99" s="155">
        <f>[13]Summary!$M$40</f>
        <v>225.35874142083784</v>
      </c>
      <c r="I99" s="156">
        <f t="shared" si="20"/>
        <v>29846.904440709925</v>
      </c>
    </row>
    <row r="100" spans="1:20" x14ac:dyDescent="0.2">
      <c r="A100" s="148">
        <f>A62</f>
        <v>2013</v>
      </c>
      <c r="B100" s="155">
        <f>Summary!M15</f>
        <v>20265.75</v>
      </c>
      <c r="C100" s="155">
        <f>Summary!M19</f>
        <v>1698.5</v>
      </c>
      <c r="D100" s="155">
        <f>Summary!M23</f>
        <v>172.66666666666666</v>
      </c>
      <c r="E100" s="155">
        <f>Summary!M28</f>
        <v>1</v>
      </c>
      <c r="F100" s="155">
        <f>Summary!M33</f>
        <v>6778.916666666667</v>
      </c>
      <c r="G100" s="155">
        <f>Summary!M38</f>
        <v>580.25</v>
      </c>
      <c r="H100" s="155">
        <f>Summary!M43</f>
        <v>235.5</v>
      </c>
      <c r="I100" s="156">
        <f t="shared" si="20"/>
        <v>29732.583333333336</v>
      </c>
      <c r="J100" s="140"/>
    </row>
    <row r="101" spans="1:20" x14ac:dyDescent="0.2">
      <c r="A101" s="148">
        <f>A63</f>
        <v>2014</v>
      </c>
      <c r="B101" s="155">
        <f>Summary!N15</f>
        <v>20472.166666666668</v>
      </c>
      <c r="C101" s="155">
        <f>Summary!N19</f>
        <v>1742.8333333333333</v>
      </c>
      <c r="D101" s="155">
        <f>Summary!N23</f>
        <v>165.41666666666666</v>
      </c>
      <c r="E101" s="155">
        <f>Summary!N28</f>
        <v>1</v>
      </c>
      <c r="F101" s="155">
        <f>Summary!N33</f>
        <v>6784.333333333333</v>
      </c>
      <c r="G101" s="155">
        <f>Summary!N38</f>
        <v>519.16666666666663</v>
      </c>
      <c r="H101" s="155">
        <f>Summary!N43</f>
        <v>259.33333333333331</v>
      </c>
      <c r="I101" s="156">
        <f t="shared" si="20"/>
        <v>29944.25</v>
      </c>
      <c r="J101" s="140"/>
    </row>
    <row r="102" spans="1:20" ht="12.75" customHeight="1" x14ac:dyDescent="0.2">
      <c r="A102" s="148">
        <f>A64</f>
        <v>2015</v>
      </c>
      <c r="B102" s="155">
        <f>Summary!O15</f>
        <v>20635.5</v>
      </c>
      <c r="C102" s="155">
        <f>Summary!O19</f>
        <v>1769.0833333333333</v>
      </c>
      <c r="D102" s="155">
        <f>Summary!O23</f>
        <v>158.83333333333334</v>
      </c>
      <c r="E102" s="155">
        <f>Summary!O28</f>
        <v>1</v>
      </c>
      <c r="F102" s="155">
        <f>Summary!O33</f>
        <v>6792.583333333333</v>
      </c>
      <c r="G102" s="155">
        <f>Summary!O38</f>
        <v>515.08333333333337</v>
      </c>
      <c r="H102" s="155">
        <f>Summary!O43</f>
        <v>256.66666666666669</v>
      </c>
      <c r="I102" s="156">
        <f t="shared" si="20"/>
        <v>30128.749999999996</v>
      </c>
      <c r="J102" s="140"/>
    </row>
    <row r="103" spans="1:20" ht="12.75" customHeight="1" x14ac:dyDescent="0.2">
      <c r="A103" s="151">
        <f>A82</f>
        <v>2016</v>
      </c>
      <c r="B103" s="155">
        <f>Summary!P15</f>
        <v>20822.5</v>
      </c>
      <c r="C103" s="155">
        <f>Summary!P19</f>
        <v>1770.5833333333333</v>
      </c>
      <c r="D103" s="155">
        <f>Summary!P23</f>
        <v>159</v>
      </c>
      <c r="E103" s="155">
        <f>Summary!P28</f>
        <v>0</v>
      </c>
      <c r="F103" s="155">
        <f>Summary!P33</f>
        <v>6825</v>
      </c>
      <c r="G103" s="155">
        <f>Summary!P38</f>
        <v>508.75</v>
      </c>
      <c r="H103" s="155">
        <f>Summary!P43</f>
        <v>261.33333333333331</v>
      </c>
      <c r="I103" s="156">
        <f t="shared" si="20"/>
        <v>30347.166666666664</v>
      </c>
      <c r="J103" s="140"/>
    </row>
    <row r="104" spans="1:20" ht="12.75" customHeight="1" x14ac:dyDescent="0.2">
      <c r="A104" s="148" t="str">
        <f>A83</f>
        <v>2017 Test</v>
      </c>
      <c r="B104" s="155">
        <f>Summary!Q15</f>
        <v>21025.494151407474</v>
      </c>
      <c r="C104" s="155">
        <f>Summary!Q19</f>
        <v>1777.2752111718162</v>
      </c>
      <c r="D104" s="155">
        <f>Summary!Q23</f>
        <v>154.41880152657515</v>
      </c>
      <c r="E104" s="155">
        <f>Summary!Q28</f>
        <v>0</v>
      </c>
      <c r="F104" s="155">
        <f>Summary!Q33</f>
        <v>6855.5173219454664</v>
      </c>
      <c r="G104" s="155">
        <f>Summary!Q38</f>
        <v>508.75</v>
      </c>
      <c r="H104" s="155">
        <f>Summary!Q43</f>
        <v>261.33333333333331</v>
      </c>
      <c r="I104" s="156">
        <f t="shared" si="20"/>
        <v>30582.788819384663</v>
      </c>
      <c r="J104" s="140"/>
      <c r="K104" s="140"/>
    </row>
    <row r="105" spans="1:20" x14ac:dyDescent="0.2">
      <c r="A105" s="283" t="s">
        <v>205</v>
      </c>
      <c r="B105" s="283"/>
      <c r="C105" s="283"/>
      <c r="D105" s="283"/>
      <c r="E105" s="283"/>
      <c r="F105" s="283"/>
      <c r="G105" s="283"/>
      <c r="H105" s="283"/>
    </row>
    <row r="106" spans="1:20" x14ac:dyDescent="0.2">
      <c r="A106" s="151">
        <f t="shared" ref="A106:A120" si="21">A31</f>
        <v>2002</v>
      </c>
      <c r="B106" s="157">
        <f t="shared" ref="B106:H116" si="22">B51*1000000/B88</f>
        <v>9008.5822186159094</v>
      </c>
      <c r="C106" s="157">
        <f t="shared" si="22"/>
        <v>28545.064108365586</v>
      </c>
      <c r="D106" s="157">
        <f t="shared" si="22"/>
        <v>921365.4200904977</v>
      </c>
      <c r="E106" s="157">
        <f t="shared" si="22"/>
        <v>48139425.472500004</v>
      </c>
      <c r="F106" s="157">
        <f t="shared" si="22"/>
        <v>714.13794985768311</v>
      </c>
      <c r="G106" s="157">
        <f t="shared" si="22"/>
        <v>795.5875816993464</v>
      </c>
      <c r="H106" s="157">
        <f t="shared" si="22"/>
        <v>4500.9371365149827</v>
      </c>
      <c r="K106" s="140"/>
      <c r="L106" s="140"/>
      <c r="M106" s="140"/>
      <c r="N106" s="140"/>
      <c r="O106" s="140"/>
      <c r="Q106" s="140"/>
      <c r="R106" s="140"/>
      <c r="S106" s="140"/>
      <c r="T106" s="140"/>
    </row>
    <row r="107" spans="1:20" x14ac:dyDescent="0.2">
      <c r="A107" s="151">
        <f t="shared" si="21"/>
        <v>2003</v>
      </c>
      <c r="B107" s="157">
        <f t="shared" si="22"/>
        <v>8613.6664969440826</v>
      </c>
      <c r="C107" s="157">
        <f t="shared" si="22"/>
        <v>27585.458970908374</v>
      </c>
      <c r="D107" s="157">
        <f t="shared" si="22"/>
        <v>630984.26909862144</v>
      </c>
      <c r="E107" s="157">
        <f t="shared" si="22"/>
        <v>42958797.81818182</v>
      </c>
      <c r="F107" s="157">
        <f t="shared" si="22"/>
        <v>719.91095625241962</v>
      </c>
      <c r="G107" s="157">
        <f t="shared" si="22"/>
        <v>1352.846876992415</v>
      </c>
      <c r="H107" s="157">
        <f t="shared" si="22"/>
        <v>5348.6929347429823</v>
      </c>
      <c r="K107" s="140"/>
      <c r="L107" s="140"/>
      <c r="M107" s="140"/>
      <c r="N107" s="140"/>
      <c r="O107" s="140"/>
      <c r="Q107" s="140"/>
      <c r="R107" s="140"/>
      <c r="S107" s="140"/>
      <c r="T107" s="140"/>
    </row>
    <row r="108" spans="1:20" x14ac:dyDescent="0.2">
      <c r="A108" s="151">
        <f t="shared" si="21"/>
        <v>2004</v>
      </c>
      <c r="B108" s="157">
        <f t="shared" si="22"/>
        <v>8552.2741841837342</v>
      </c>
      <c r="C108" s="157">
        <f t="shared" si="22"/>
        <v>29672.070684822978</v>
      </c>
      <c r="D108" s="157">
        <f t="shared" si="22"/>
        <v>673710.4416166282</v>
      </c>
      <c r="E108" s="157">
        <f t="shared" si="22"/>
        <v>43500920.117647059</v>
      </c>
      <c r="F108" s="157">
        <f t="shared" si="22"/>
        <v>721.80689193365617</v>
      </c>
      <c r="G108" s="157">
        <f t="shared" si="22"/>
        <v>1371.8134014436428</v>
      </c>
      <c r="H108" s="157">
        <f t="shared" si="22"/>
        <v>5146.8879024740045</v>
      </c>
      <c r="K108" s="140"/>
      <c r="L108" s="140"/>
      <c r="M108" s="140"/>
      <c r="N108" s="140"/>
      <c r="O108" s="140"/>
      <c r="Q108" s="140"/>
      <c r="R108" s="140"/>
      <c r="S108" s="140"/>
      <c r="T108" s="140"/>
    </row>
    <row r="109" spans="1:20" x14ac:dyDescent="0.2">
      <c r="A109" s="151">
        <f t="shared" si="21"/>
        <v>2005</v>
      </c>
      <c r="B109" s="157">
        <f t="shared" si="22"/>
        <v>9113.0496938784581</v>
      </c>
      <c r="C109" s="157">
        <f t="shared" si="22"/>
        <v>31097.860695909312</v>
      </c>
      <c r="D109" s="157">
        <f t="shared" si="22"/>
        <v>707333.15408653836</v>
      </c>
      <c r="E109" s="157">
        <f t="shared" si="22"/>
        <v>43892175.882352941</v>
      </c>
      <c r="F109" s="157">
        <f t="shared" si="22"/>
        <v>716.81771938345128</v>
      </c>
      <c r="G109" s="157">
        <f t="shared" si="22"/>
        <v>1352.7219749746364</v>
      </c>
      <c r="H109" s="157">
        <f t="shared" si="22"/>
        <v>5126.4452564102576</v>
      </c>
      <c r="K109" s="140"/>
      <c r="L109" s="140"/>
      <c r="M109" s="140"/>
      <c r="N109" s="140"/>
      <c r="O109" s="140"/>
      <c r="Q109" s="140"/>
      <c r="R109" s="140"/>
      <c r="S109" s="140"/>
      <c r="T109" s="140"/>
    </row>
    <row r="110" spans="1:20" x14ac:dyDescent="0.2">
      <c r="A110" s="151">
        <f t="shared" si="21"/>
        <v>2006</v>
      </c>
      <c r="B110" s="157">
        <f t="shared" si="22"/>
        <v>8495.6814341478039</v>
      </c>
      <c r="C110" s="157">
        <f t="shared" si="22"/>
        <v>30181.829280575541</v>
      </c>
      <c r="D110" s="157">
        <f t="shared" si="22"/>
        <v>704885.76877697848</v>
      </c>
      <c r="E110" s="157">
        <f t="shared" si="22"/>
        <v>37292695.333333336</v>
      </c>
      <c r="F110" s="157">
        <f t="shared" si="22"/>
        <v>714.97876558270752</v>
      </c>
      <c r="G110" s="157">
        <f t="shared" si="22"/>
        <v>1380.310915917624</v>
      </c>
      <c r="H110" s="157">
        <f t="shared" si="22"/>
        <v>5187.807839484055</v>
      </c>
      <c r="K110" s="140"/>
      <c r="L110" s="140"/>
      <c r="M110" s="140"/>
      <c r="N110" s="140"/>
      <c r="O110" s="140"/>
      <c r="Q110" s="140"/>
      <c r="R110" s="140"/>
      <c r="S110" s="140"/>
      <c r="T110" s="140"/>
    </row>
    <row r="111" spans="1:20" x14ac:dyDescent="0.2">
      <c r="A111" s="151">
        <f t="shared" si="21"/>
        <v>2007</v>
      </c>
      <c r="B111" s="157">
        <f t="shared" si="22"/>
        <v>8573.1022920413761</v>
      </c>
      <c r="C111" s="157">
        <f t="shared" si="22"/>
        <v>32246.87495321461</v>
      </c>
      <c r="D111" s="157">
        <f t="shared" si="22"/>
        <v>840641.57979399164</v>
      </c>
      <c r="E111" s="157">
        <f t="shared" si="22"/>
        <v>34146528.413793102</v>
      </c>
      <c r="F111" s="157">
        <f t="shared" si="22"/>
        <v>709.68266854924116</v>
      </c>
      <c r="G111" s="157">
        <f t="shared" si="22"/>
        <v>1392.1179841476396</v>
      </c>
      <c r="H111" s="157">
        <f t="shared" si="22"/>
        <v>4938.8325323741001</v>
      </c>
      <c r="K111" s="140"/>
      <c r="L111" s="140"/>
      <c r="M111" s="140"/>
      <c r="N111" s="140"/>
      <c r="O111" s="140"/>
      <c r="Q111" s="140"/>
      <c r="R111" s="140"/>
      <c r="S111" s="140"/>
      <c r="T111" s="140"/>
    </row>
    <row r="112" spans="1:20" x14ac:dyDescent="0.2">
      <c r="A112" s="151">
        <f t="shared" si="21"/>
        <v>2008</v>
      </c>
      <c r="B112" s="157">
        <f t="shared" si="22"/>
        <v>8253.5964288140458</v>
      </c>
      <c r="C112" s="157">
        <f t="shared" si="22"/>
        <v>32854.336865026104</v>
      </c>
      <c r="D112" s="157">
        <f t="shared" si="22"/>
        <v>823340.29395744682</v>
      </c>
      <c r="E112" s="157">
        <f t="shared" si="22"/>
        <v>41072994.399999999</v>
      </c>
      <c r="F112" s="157">
        <f t="shared" si="22"/>
        <v>708.28198433420368</v>
      </c>
      <c r="G112" s="157">
        <f t="shared" si="22"/>
        <v>1378.3097532656025</v>
      </c>
      <c r="H112" s="157">
        <f t="shared" si="22"/>
        <v>4990.4983189655168</v>
      </c>
      <c r="K112" s="140"/>
      <c r="L112" s="140"/>
      <c r="M112" s="140"/>
      <c r="N112" s="140"/>
      <c r="O112" s="140"/>
      <c r="Q112" s="140"/>
      <c r="R112" s="140"/>
      <c r="S112" s="140"/>
      <c r="T112" s="140"/>
    </row>
    <row r="113" spans="1:22" x14ac:dyDescent="0.2">
      <c r="A113" s="151">
        <f t="shared" si="21"/>
        <v>2009</v>
      </c>
      <c r="B113" s="157">
        <f t="shared" si="22"/>
        <v>7907.2396588349729</v>
      </c>
      <c r="C113" s="157">
        <f t="shared" si="22"/>
        <v>32330.850801696084</v>
      </c>
      <c r="D113" s="157">
        <f t="shared" si="22"/>
        <v>792861.85036603233</v>
      </c>
      <c r="E113" s="157">
        <f t="shared" si="22"/>
        <v>19261445.199999999</v>
      </c>
      <c r="F113" s="157">
        <f t="shared" si="22"/>
        <v>699.30922956541178</v>
      </c>
      <c r="G113" s="157">
        <f t="shared" si="22"/>
        <v>1548.8846101029917</v>
      </c>
      <c r="H113" s="157">
        <f t="shared" si="22"/>
        <v>4997.0773535791759</v>
      </c>
      <c r="K113" s="140"/>
      <c r="L113" s="140"/>
      <c r="M113" s="140"/>
      <c r="N113" s="140"/>
      <c r="O113" s="140"/>
      <c r="Q113" s="140"/>
      <c r="R113" s="140"/>
      <c r="S113" s="140"/>
      <c r="T113" s="140"/>
    </row>
    <row r="114" spans="1:22" x14ac:dyDescent="0.2">
      <c r="A114" s="151">
        <f t="shared" si="21"/>
        <v>2010</v>
      </c>
      <c r="B114" s="157">
        <f t="shared" si="22"/>
        <v>8219.1313059362292</v>
      </c>
      <c r="C114" s="157">
        <f t="shared" si="22"/>
        <v>32049.487180599372</v>
      </c>
      <c r="D114" s="157">
        <f t="shared" si="22"/>
        <v>841000.83058027073</v>
      </c>
      <c r="E114" s="157">
        <f t="shared" si="22"/>
        <v>45292056.75</v>
      </c>
      <c r="F114" s="157">
        <f t="shared" si="22"/>
        <v>697.65635976846579</v>
      </c>
      <c r="G114" s="157">
        <f t="shared" si="22"/>
        <v>1338.348662576687</v>
      </c>
      <c r="H114" s="157">
        <f t="shared" si="22"/>
        <v>4964.2530693069311</v>
      </c>
      <c r="K114" s="140"/>
      <c r="L114" s="140"/>
      <c r="M114" s="140"/>
      <c r="N114" s="140"/>
      <c r="O114" s="140"/>
      <c r="Q114" s="140"/>
      <c r="R114" s="140"/>
      <c r="S114" s="140"/>
      <c r="T114" s="140"/>
    </row>
    <row r="115" spans="1:22" x14ac:dyDescent="0.2">
      <c r="A115" s="151">
        <f t="shared" si="21"/>
        <v>2011</v>
      </c>
      <c r="B115" s="157">
        <f t="shared" si="22"/>
        <v>8044.9715042860125</v>
      </c>
      <c r="C115" s="157">
        <f t="shared" si="22"/>
        <v>32195.13847771443</v>
      </c>
      <c r="D115" s="157">
        <f t="shared" si="22"/>
        <v>884750.78766058455</v>
      </c>
      <c r="E115" s="157">
        <f t="shared" si="22"/>
        <v>59993492</v>
      </c>
      <c r="F115" s="157">
        <f t="shared" si="22"/>
        <v>701.93604392343082</v>
      </c>
      <c r="G115" s="157">
        <f t="shared" si="22"/>
        <v>1348.1993027127201</v>
      </c>
      <c r="H115" s="157">
        <f t="shared" si="22"/>
        <v>4961.5125880241167</v>
      </c>
      <c r="K115" s="140"/>
      <c r="L115" s="140"/>
      <c r="M115" s="140"/>
      <c r="N115" s="140"/>
      <c r="O115" s="140"/>
      <c r="Q115" s="140"/>
      <c r="R115" s="140"/>
      <c r="S115" s="140"/>
      <c r="T115" s="140"/>
    </row>
    <row r="116" spans="1:22" x14ac:dyDescent="0.2">
      <c r="A116" s="151">
        <f t="shared" si="21"/>
        <v>2012</v>
      </c>
      <c r="B116" s="157">
        <f t="shared" si="22"/>
        <v>7915.5289534970461</v>
      </c>
      <c r="C116" s="157">
        <f t="shared" si="22"/>
        <v>29444.951437260868</v>
      </c>
      <c r="D116" s="157">
        <f t="shared" si="22"/>
        <v>816397.49681143218</v>
      </c>
      <c r="E116" s="157">
        <f t="shared" si="22"/>
        <v>48424320</v>
      </c>
      <c r="F116" s="157">
        <f t="shared" si="22"/>
        <v>663.68475120385233</v>
      </c>
      <c r="G116" s="157">
        <f t="shared" si="22"/>
        <v>1354.8436206222457</v>
      </c>
      <c r="H116" s="157">
        <f t="shared" si="22"/>
        <v>4917.9364435695261</v>
      </c>
      <c r="K116" s="140"/>
      <c r="L116" s="140"/>
      <c r="M116" s="140"/>
      <c r="N116" s="140"/>
      <c r="O116" s="140"/>
      <c r="Q116" s="140"/>
      <c r="R116" s="140"/>
      <c r="S116" s="140"/>
      <c r="T116" s="140"/>
    </row>
    <row r="117" spans="1:22" x14ac:dyDescent="0.2">
      <c r="A117" s="151">
        <f t="shared" si="21"/>
        <v>2013</v>
      </c>
      <c r="B117" s="157">
        <f t="shared" ref="B117:H119" si="23">B62*1000000/B100</f>
        <v>7832.1605171286528</v>
      </c>
      <c r="C117" s="157">
        <f t="shared" si="23"/>
        <v>31042.99499558434</v>
      </c>
      <c r="D117" s="157">
        <f t="shared" si="23"/>
        <v>800096.27606177609</v>
      </c>
      <c r="E117" s="157">
        <f t="shared" si="23"/>
        <v>44784691</v>
      </c>
      <c r="F117" s="157">
        <f t="shared" si="23"/>
        <v>419.58046393843654</v>
      </c>
      <c r="G117" s="157">
        <f t="shared" si="23"/>
        <v>1349.4011202068075</v>
      </c>
      <c r="H117" s="157">
        <f t="shared" si="23"/>
        <v>4200.6369426751589</v>
      </c>
      <c r="K117" s="140"/>
      <c r="L117" s="140"/>
      <c r="M117" s="140"/>
      <c r="N117" s="140"/>
      <c r="O117" s="140"/>
      <c r="Q117" s="140"/>
      <c r="R117" s="140"/>
      <c r="S117" s="140"/>
      <c r="T117" s="140"/>
    </row>
    <row r="118" spans="1:22" x14ac:dyDescent="0.2">
      <c r="A118" s="151">
        <f t="shared" si="21"/>
        <v>2014</v>
      </c>
      <c r="B118" s="157">
        <f t="shared" si="23"/>
        <v>7726.8349547759963</v>
      </c>
      <c r="C118" s="157">
        <f t="shared" si="23"/>
        <v>30928.378502438558</v>
      </c>
      <c r="D118" s="157">
        <f t="shared" si="23"/>
        <v>871692.90075566759</v>
      </c>
      <c r="E118" s="157">
        <f t="shared" si="23"/>
        <v>20367511</v>
      </c>
      <c r="F118" s="157">
        <f t="shared" si="23"/>
        <v>368.99395666486515</v>
      </c>
      <c r="G118" s="157">
        <f t="shared" si="23"/>
        <v>1477.7508828250402</v>
      </c>
      <c r="H118" s="157">
        <f t="shared" si="23"/>
        <v>3728.5796915167098</v>
      </c>
      <c r="K118" s="140"/>
      <c r="L118" s="140"/>
      <c r="M118" s="140"/>
      <c r="N118" s="140"/>
      <c r="O118" s="140"/>
      <c r="Q118" s="140"/>
      <c r="R118" s="140"/>
      <c r="S118" s="140"/>
      <c r="T118" s="140"/>
    </row>
    <row r="119" spans="1:22" x14ac:dyDescent="0.2">
      <c r="A119" s="151">
        <f t="shared" si="21"/>
        <v>2015</v>
      </c>
      <c r="B119" s="157">
        <f t="shared" si="23"/>
        <v>7655.434518184682</v>
      </c>
      <c r="C119" s="157">
        <f t="shared" si="23"/>
        <v>30700.986763389705</v>
      </c>
      <c r="D119" s="157">
        <f t="shared" si="23"/>
        <v>880148.76390346268</v>
      </c>
      <c r="E119" s="157">
        <f t="shared" si="23"/>
        <v>277079</v>
      </c>
      <c r="F119" s="157">
        <f t="shared" si="23"/>
        <v>336.35023493761582</v>
      </c>
      <c r="G119" s="157">
        <f t="shared" si="23"/>
        <v>1463.7709108558486</v>
      </c>
      <c r="H119" s="157">
        <f t="shared" si="23"/>
        <v>3779.3805194805191</v>
      </c>
      <c r="K119" s="140"/>
      <c r="L119" s="140"/>
      <c r="M119" s="140"/>
      <c r="N119" s="140"/>
      <c r="O119" s="140"/>
      <c r="Q119" s="140"/>
      <c r="R119" s="140"/>
      <c r="S119" s="140"/>
      <c r="T119" s="140"/>
    </row>
    <row r="120" spans="1:22" x14ac:dyDescent="0.2">
      <c r="A120" s="151">
        <f t="shared" si="21"/>
        <v>2016</v>
      </c>
      <c r="B120" s="157">
        <f>B65*1000000/B103</f>
        <v>7833.3384559971182</v>
      </c>
      <c r="C120" s="157">
        <f>C65*1000000/C103</f>
        <v>30241.78076904975</v>
      </c>
      <c r="D120" s="157">
        <f>D65*1000000/D103</f>
        <v>902085.98113207542</v>
      </c>
      <c r="E120" s="157"/>
      <c r="F120" s="157">
        <f>F65*1000000/F103</f>
        <v>230.83164835164834</v>
      </c>
      <c r="G120" s="157">
        <f>G65*1000000/G103</f>
        <v>1473.0948402948402</v>
      </c>
      <c r="H120" s="157">
        <f>H65*1000000/H103</f>
        <v>3737.4030612244901</v>
      </c>
      <c r="K120" s="140"/>
      <c r="L120" s="140"/>
      <c r="M120" s="140"/>
      <c r="N120" s="140"/>
      <c r="O120" s="140"/>
      <c r="Q120" s="140"/>
      <c r="R120" s="140"/>
      <c r="S120" s="140"/>
      <c r="T120" s="140"/>
    </row>
    <row r="121" spans="1:22" x14ac:dyDescent="0.2">
      <c r="A121" s="283" t="s">
        <v>206</v>
      </c>
      <c r="B121" s="283"/>
      <c r="C121" s="283"/>
      <c r="D121" s="283"/>
      <c r="E121" s="283"/>
      <c r="F121" s="283"/>
      <c r="G121" s="283"/>
      <c r="H121" s="283"/>
    </row>
    <row r="122" spans="1:22" x14ac:dyDescent="0.2">
      <c r="A122" s="151">
        <f t="shared" ref="A122:A138" si="24">A67</f>
        <v>2002</v>
      </c>
      <c r="B122" s="157">
        <f t="shared" ref="B122:H136" si="25">B67*1000000/B88</f>
        <v>8793.4751003769397</v>
      </c>
      <c r="C122" s="157">
        <f t="shared" si="25"/>
        <v>27863.46445913237</v>
      </c>
      <c r="D122" s="157">
        <f t="shared" si="25"/>
        <v>899365.03695016878</v>
      </c>
      <c r="E122" s="157">
        <f t="shared" si="25"/>
        <v>46989951.24494946</v>
      </c>
      <c r="F122" s="157">
        <f t="shared" si="25"/>
        <v>697.08574866874017</v>
      </c>
      <c r="G122" s="157">
        <f t="shared" si="25"/>
        <v>776.59052446514488</v>
      </c>
      <c r="H122" s="157">
        <f t="shared" si="25"/>
        <v>4393.4636636293399</v>
      </c>
      <c r="U122" s="140"/>
      <c r="V122" s="140"/>
    </row>
    <row r="123" spans="1:22" x14ac:dyDescent="0.2">
      <c r="A123" s="151">
        <f t="shared" si="24"/>
        <v>2003</v>
      </c>
      <c r="B123" s="157">
        <f t="shared" si="25"/>
        <v>8620.1473196701754</v>
      </c>
      <c r="C123" s="157">
        <f t="shared" si="25"/>
        <v>27606.213950158122</v>
      </c>
      <c r="D123" s="157">
        <f t="shared" si="25"/>
        <v>631459.01434124634</v>
      </c>
      <c r="E123" s="157">
        <f t="shared" si="25"/>
        <v>42991119.519200131</v>
      </c>
      <c r="F123" s="157">
        <f t="shared" si="25"/>
        <v>720.45260890262375</v>
      </c>
      <c r="G123" s="157">
        <f t="shared" si="25"/>
        <v>1353.8647432852936</v>
      </c>
      <c r="H123" s="157">
        <f t="shared" si="25"/>
        <v>5352.7172292450578</v>
      </c>
      <c r="U123" s="140"/>
      <c r="V123" s="140"/>
    </row>
    <row r="124" spans="1:22" x14ac:dyDescent="0.2">
      <c r="A124" s="151">
        <f t="shared" si="24"/>
        <v>2004</v>
      </c>
      <c r="B124" s="157">
        <f t="shared" si="25"/>
        <v>8642.0762984411922</v>
      </c>
      <c r="C124" s="157">
        <f t="shared" si="25"/>
        <v>29983.638651951725</v>
      </c>
      <c r="D124" s="157">
        <f t="shared" si="25"/>
        <v>680784.65611812135</v>
      </c>
      <c r="E124" s="157">
        <f t="shared" si="25"/>
        <v>43957696.23527129</v>
      </c>
      <c r="F124" s="157">
        <f t="shared" si="25"/>
        <v>729.3861373583552</v>
      </c>
      <c r="G124" s="157">
        <f t="shared" si="25"/>
        <v>1386.2179611155223</v>
      </c>
      <c r="H124" s="157">
        <f t="shared" si="25"/>
        <v>5200.9321725165928</v>
      </c>
      <c r="U124" s="140"/>
      <c r="V124" s="140"/>
    </row>
    <row r="125" spans="1:22" x14ac:dyDescent="0.2">
      <c r="A125" s="151">
        <f t="shared" si="24"/>
        <v>2005</v>
      </c>
      <c r="B125" s="157">
        <f t="shared" si="25"/>
        <v>8795.5186305673669</v>
      </c>
      <c r="C125" s="157">
        <f t="shared" si="25"/>
        <v>30014.300624893203</v>
      </c>
      <c r="D125" s="157">
        <f t="shared" si="25"/>
        <v>682687.15125796199</v>
      </c>
      <c r="E125" s="157">
        <f t="shared" si="25"/>
        <v>42362816.365272395</v>
      </c>
      <c r="F125" s="157">
        <f t="shared" si="25"/>
        <v>691.84124056660119</v>
      </c>
      <c r="G125" s="157">
        <f t="shared" si="25"/>
        <v>1305.5883302007571</v>
      </c>
      <c r="H125" s="157">
        <f t="shared" si="25"/>
        <v>4947.8216706783051</v>
      </c>
      <c r="U125" s="140"/>
      <c r="V125" s="140"/>
    </row>
    <row r="126" spans="1:22" s="19" customFormat="1" x14ac:dyDescent="0.2">
      <c r="A126" s="151">
        <f t="shared" si="24"/>
        <v>2006</v>
      </c>
      <c r="B126" s="157">
        <f t="shared" si="25"/>
        <v>8495.9500925539523</v>
      </c>
      <c r="C126" s="157">
        <f t="shared" si="25"/>
        <v>30182.783718687657</v>
      </c>
      <c r="D126" s="157">
        <f t="shared" si="25"/>
        <v>704908.05933584936</v>
      </c>
      <c r="E126" s="157">
        <f t="shared" si="25"/>
        <v>37293874.637920834</v>
      </c>
      <c r="F126" s="157">
        <f t="shared" si="25"/>
        <v>715.00137531178927</v>
      </c>
      <c r="G126" s="157">
        <f t="shared" si="25"/>
        <v>1380.3545654039583</v>
      </c>
      <c r="H126" s="157">
        <f t="shared" si="25"/>
        <v>5187.9718932090409</v>
      </c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140"/>
      <c r="V126" s="140"/>
    </row>
    <row r="127" spans="1:22" s="19" customFormat="1" x14ac:dyDescent="0.2">
      <c r="A127" s="151">
        <f t="shared" si="24"/>
        <v>2007</v>
      </c>
      <c r="B127" s="157">
        <f t="shared" si="25"/>
        <v>8520.2647426867934</v>
      </c>
      <c r="C127" s="157">
        <f t="shared" si="25"/>
        <v>32048.13174581659</v>
      </c>
      <c r="D127" s="157">
        <f t="shared" si="25"/>
        <v>835460.55670003931</v>
      </c>
      <c r="E127" s="157">
        <f t="shared" si="25"/>
        <v>33936077.305327214</v>
      </c>
      <c r="F127" s="157">
        <f t="shared" si="25"/>
        <v>705.30876844304805</v>
      </c>
      <c r="G127" s="157">
        <f t="shared" si="25"/>
        <v>1383.5381142021836</v>
      </c>
      <c r="H127" s="157">
        <f t="shared" si="25"/>
        <v>4908.3936318694841</v>
      </c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140"/>
      <c r="V127" s="140"/>
    </row>
    <row r="128" spans="1:22" x14ac:dyDescent="0.2">
      <c r="A128" s="151">
        <f t="shared" si="24"/>
        <v>2008</v>
      </c>
      <c r="B128" s="157">
        <f t="shared" si="25"/>
        <v>8358.6147891199471</v>
      </c>
      <c r="C128" s="157">
        <f t="shared" si="25"/>
        <v>33272.373852448625</v>
      </c>
      <c r="D128" s="157">
        <f t="shared" si="25"/>
        <v>833816.43589035387</v>
      </c>
      <c r="E128" s="157">
        <f t="shared" si="25"/>
        <v>41595605.186939247</v>
      </c>
      <c r="F128" s="157">
        <f t="shared" si="25"/>
        <v>717.29412992073992</v>
      </c>
      <c r="G128" s="157">
        <f t="shared" si="25"/>
        <v>1395.8472996588641</v>
      </c>
      <c r="H128" s="157">
        <f t="shared" si="25"/>
        <v>5053.9971773222769</v>
      </c>
      <c r="U128" s="140"/>
      <c r="V128" s="140"/>
    </row>
    <row r="129" spans="1:22" x14ac:dyDescent="0.2">
      <c r="A129" s="151">
        <f t="shared" si="24"/>
        <v>2009</v>
      </c>
      <c r="B129" s="157">
        <f t="shared" si="25"/>
        <v>8108.4137534245556</v>
      </c>
      <c r="C129" s="157">
        <f t="shared" si="25"/>
        <v>33153.40455217901</v>
      </c>
      <c r="D129" s="157">
        <f t="shared" si="25"/>
        <v>813033.65136915352</v>
      </c>
      <c r="E129" s="157">
        <f t="shared" si="25"/>
        <v>19751490.268289708</v>
      </c>
      <c r="F129" s="157">
        <f t="shared" si="25"/>
        <v>717.1008872317849</v>
      </c>
      <c r="G129" s="157">
        <f t="shared" si="25"/>
        <v>1588.2909608025125</v>
      </c>
      <c r="H129" s="157">
        <f t="shared" si="25"/>
        <v>5124.2117968962148</v>
      </c>
      <c r="U129" s="140"/>
      <c r="V129" s="140"/>
    </row>
    <row r="130" spans="1:22" x14ac:dyDescent="0.2">
      <c r="A130" s="151">
        <f t="shared" si="24"/>
        <v>2010</v>
      </c>
      <c r="B130" s="157">
        <f t="shared" si="25"/>
        <v>8250.3036507764355</v>
      </c>
      <c r="C130" s="157">
        <f t="shared" si="25"/>
        <v>32171.039888441348</v>
      </c>
      <c r="D130" s="157">
        <f t="shared" si="25"/>
        <v>844190.45816084137</v>
      </c>
      <c r="E130" s="157">
        <f t="shared" si="25"/>
        <v>45463833.980339833</v>
      </c>
      <c r="F130" s="157">
        <f t="shared" si="25"/>
        <v>700.30233095655922</v>
      </c>
      <c r="G130" s="157">
        <f t="shared" si="25"/>
        <v>1343.4245598307114</v>
      </c>
      <c r="H130" s="157">
        <f t="shared" si="25"/>
        <v>4983.0807778311537</v>
      </c>
      <c r="U130" s="140"/>
      <c r="V130" s="140"/>
    </row>
    <row r="131" spans="1:22" x14ac:dyDescent="0.2">
      <c r="A131" s="151">
        <f t="shared" si="24"/>
        <v>2011</v>
      </c>
      <c r="B131" s="157">
        <f t="shared" si="25"/>
        <v>8038.786380944206</v>
      </c>
      <c r="C131" s="157">
        <f t="shared" si="25"/>
        <v>32170.386257972554</v>
      </c>
      <c r="D131" s="157">
        <f t="shared" si="25"/>
        <v>884070.57484124461</v>
      </c>
      <c r="E131" s="157">
        <f t="shared" si="25"/>
        <v>59947367.890358597</v>
      </c>
      <c r="F131" s="157">
        <f t="shared" si="25"/>
        <v>701.39638247063226</v>
      </c>
      <c r="G131" s="157">
        <f t="shared" si="25"/>
        <v>1347.1627820771689</v>
      </c>
      <c r="H131" s="157">
        <f t="shared" si="25"/>
        <v>4957.6980851010776</v>
      </c>
      <c r="U131" s="140"/>
      <c r="V131" s="140"/>
    </row>
    <row r="132" spans="1:22" ht="12.75" customHeight="1" x14ac:dyDescent="0.2">
      <c r="A132" s="151">
        <f t="shared" si="24"/>
        <v>2012</v>
      </c>
      <c r="B132" s="157">
        <f t="shared" si="25"/>
        <v>7997.819920827872</v>
      </c>
      <c r="C132" s="157">
        <f t="shared" si="25"/>
        <v>29751.065349674882</v>
      </c>
      <c r="D132" s="157">
        <f t="shared" si="25"/>
        <v>824884.8815628197</v>
      </c>
      <c r="E132" s="157">
        <f t="shared" si="25"/>
        <v>48927746.133433193</v>
      </c>
      <c r="F132" s="157">
        <f t="shared" si="25"/>
        <v>670.58451248324923</v>
      </c>
      <c r="G132" s="157">
        <f t="shared" si="25"/>
        <v>1368.928768030335</v>
      </c>
      <c r="H132" s="157">
        <f t="shared" si="25"/>
        <v>4969.0640118710817</v>
      </c>
      <c r="U132" s="140"/>
      <c r="V132" s="140"/>
    </row>
    <row r="133" spans="1:22" x14ac:dyDescent="0.2">
      <c r="A133" s="151" t="str">
        <f t="shared" si="24"/>
        <v>2013 Board Approved</v>
      </c>
      <c r="B133" s="157">
        <f t="shared" si="25"/>
        <v>7956.3263148916312</v>
      </c>
      <c r="C133" s="157">
        <f t="shared" si="25"/>
        <v>32306.021866577197</v>
      </c>
      <c r="D133" s="157">
        <f t="shared" si="25"/>
        <v>837457.9511766783</v>
      </c>
      <c r="E133" s="157">
        <f t="shared" si="25"/>
        <v>59538700.549472243</v>
      </c>
      <c r="F133" s="157">
        <f t="shared" si="25"/>
        <v>188.6481904992898</v>
      </c>
      <c r="G133" s="157">
        <f t="shared" si="25"/>
        <v>1449.4370619783217</v>
      </c>
      <c r="H133" s="157">
        <f t="shared" si="25"/>
        <v>4930.9363910395286</v>
      </c>
      <c r="U133" s="140"/>
      <c r="V133" s="140"/>
    </row>
    <row r="134" spans="1:22" x14ac:dyDescent="0.2">
      <c r="A134" s="151">
        <f t="shared" si="24"/>
        <v>2013</v>
      </c>
      <c r="B134" s="157">
        <f t="shared" si="25"/>
        <v>7888.1206550493553</v>
      </c>
      <c r="C134" s="157">
        <f t="shared" si="25"/>
        <v>31264.794622599831</v>
      </c>
      <c r="D134" s="157">
        <f t="shared" si="25"/>
        <v>805812.89765812107</v>
      </c>
      <c r="E134" s="157">
        <f t="shared" si="25"/>
        <v>45104673.906327724</v>
      </c>
      <c r="F134" s="157">
        <f t="shared" si="25"/>
        <v>422.57833158676658</v>
      </c>
      <c r="G134" s="157">
        <f t="shared" si="25"/>
        <v>1359.042479399074</v>
      </c>
      <c r="H134" s="157">
        <f t="shared" si="25"/>
        <v>4230.6501455650669</v>
      </c>
      <c r="U134" s="140"/>
      <c r="V134" s="140"/>
    </row>
    <row r="135" spans="1:22" x14ac:dyDescent="0.2">
      <c r="A135" s="151">
        <f t="shared" si="24"/>
        <v>2014</v>
      </c>
      <c r="B135" s="157">
        <f t="shared" si="25"/>
        <v>7811.8241077933453</v>
      </c>
      <c r="C135" s="157">
        <f t="shared" si="25"/>
        <v>31268.566523602061</v>
      </c>
      <c r="D135" s="157">
        <f t="shared" si="25"/>
        <v>881280.84222977224</v>
      </c>
      <c r="E135" s="157">
        <f t="shared" si="25"/>
        <v>20591537.722337529</v>
      </c>
      <c r="F135" s="157">
        <f t="shared" si="25"/>
        <v>373.05260215542052</v>
      </c>
      <c r="G135" s="157">
        <f t="shared" si="25"/>
        <v>1494.004989019493</v>
      </c>
      <c r="H135" s="157">
        <f t="shared" si="25"/>
        <v>3769.5911576337417</v>
      </c>
      <c r="U135" s="140"/>
      <c r="V135" s="140"/>
    </row>
    <row r="136" spans="1:22" x14ac:dyDescent="0.2">
      <c r="A136" s="151">
        <f t="shared" si="24"/>
        <v>2015</v>
      </c>
      <c r="B136" s="157">
        <f t="shared" si="25"/>
        <v>7727.694800510375</v>
      </c>
      <c r="C136" s="157">
        <f t="shared" si="25"/>
        <v>30990.775927666429</v>
      </c>
      <c r="D136" s="157">
        <f t="shared" si="25"/>
        <v>888456.5611966406</v>
      </c>
      <c r="E136" s="157">
        <f t="shared" si="25"/>
        <v>279694.37169692479</v>
      </c>
      <c r="F136" s="157">
        <f t="shared" si="25"/>
        <v>339.52507274455832</v>
      </c>
      <c r="G136" s="157">
        <f t="shared" si="25"/>
        <v>1477.5875660734368</v>
      </c>
      <c r="H136" s="157">
        <f t="shared" si="25"/>
        <v>3815.0544061430164</v>
      </c>
      <c r="U136" s="140"/>
      <c r="V136" s="140"/>
    </row>
    <row r="137" spans="1:22" ht="12.75" customHeight="1" x14ac:dyDescent="0.2">
      <c r="A137" s="151">
        <f t="shared" si="24"/>
        <v>2016</v>
      </c>
      <c r="B137" s="157">
        <f t="shared" ref="B137:D138" si="26">B82*1000000/B103</f>
        <v>7701.6140672844749</v>
      </c>
      <c r="C137" s="157">
        <f t="shared" si="26"/>
        <v>29733.238963054489</v>
      </c>
      <c r="D137" s="157">
        <f t="shared" si="26"/>
        <v>886916.62197590421</v>
      </c>
      <c r="E137" s="157"/>
      <c r="F137" s="157">
        <f t="shared" ref="F137:H138" si="27">F82*1000000/F103</f>
        <v>226.95001372734913</v>
      </c>
      <c r="G137" s="157">
        <f t="shared" si="27"/>
        <v>1448.3234713001773</v>
      </c>
      <c r="H137" s="157">
        <f t="shared" si="27"/>
        <v>3674.5553831395919</v>
      </c>
      <c r="U137" s="140"/>
      <c r="V137" s="140"/>
    </row>
    <row r="138" spans="1:22" x14ac:dyDescent="0.2">
      <c r="A138" s="151" t="str">
        <f t="shared" si="24"/>
        <v>2017 Test</v>
      </c>
      <c r="B138" s="157">
        <f t="shared" si="26"/>
        <v>7872.4319710108311</v>
      </c>
      <c r="C138" s="157">
        <f t="shared" si="26"/>
        <v>30392.707161057126</v>
      </c>
      <c r="D138" s="157">
        <f t="shared" si="26"/>
        <v>905597.5635237114</v>
      </c>
      <c r="E138" s="157"/>
      <c r="F138" s="157">
        <f t="shared" si="27"/>
        <v>230.83164835164834</v>
      </c>
      <c r="G138" s="157">
        <f t="shared" si="27"/>
        <v>1473.0948402948402</v>
      </c>
      <c r="H138" s="157">
        <f t="shared" si="27"/>
        <v>3688.1051401592053</v>
      </c>
      <c r="U138" s="140"/>
      <c r="V138" s="140"/>
    </row>
    <row r="140" spans="1:22" x14ac:dyDescent="0.2">
      <c r="K140" s="51"/>
    </row>
    <row r="141" spans="1:22" x14ac:dyDescent="0.2">
      <c r="K141" s="279" t="s">
        <v>144</v>
      </c>
      <c r="L141" s="279"/>
    </row>
    <row r="142" spans="1:22" x14ac:dyDescent="0.2">
      <c r="K142" s="148" t="s">
        <v>22</v>
      </c>
      <c r="L142" s="161">
        <f>'Purchased Power Model '!O6</f>
        <v>0.90491484291511926</v>
      </c>
    </row>
    <row r="143" spans="1:22" x14ac:dyDescent="0.2">
      <c r="F143" s="162"/>
      <c r="K143" s="148" t="s">
        <v>23</v>
      </c>
      <c r="L143" s="161">
        <f>'Purchased Power Model '!O7</f>
        <v>0.90161709180234872</v>
      </c>
    </row>
    <row r="144" spans="1:22" x14ac:dyDescent="0.2">
      <c r="K144" s="148" t="s">
        <v>118</v>
      </c>
      <c r="L144" s="163">
        <f>'Purchased Power Model '!R13</f>
        <v>274.40361991263279</v>
      </c>
    </row>
    <row r="145" spans="1:12" x14ac:dyDescent="0.2">
      <c r="K145" s="148" t="s">
        <v>207</v>
      </c>
      <c r="L145" s="161">
        <f>'Purchased Power Model '!M183</f>
        <v>3.413523417516421E-2</v>
      </c>
    </row>
    <row r="146" spans="1:12" x14ac:dyDescent="0.2">
      <c r="K146" s="148" t="s">
        <v>119</v>
      </c>
      <c r="L146" s="163"/>
    </row>
    <row r="147" spans="1:12" x14ac:dyDescent="0.2">
      <c r="K147" s="164" t="str">
        <f>'Purchased Power Model '!N19</f>
        <v>Heating Degree Days</v>
      </c>
      <c r="L147" s="165">
        <f>'Purchased Power Model '!Q19</f>
        <v>13.458022040130649</v>
      </c>
    </row>
    <row r="148" spans="1:12" x14ac:dyDescent="0.2">
      <c r="K148" s="164" t="str">
        <f>'Purchased Power Model '!N20</f>
        <v>Cooling Degree Days</v>
      </c>
      <c r="L148" s="165">
        <f>'Purchased Power Model '!Q20</f>
        <v>16.126721196622942</v>
      </c>
    </row>
    <row r="149" spans="1:12" x14ac:dyDescent="0.2">
      <c r="K149" s="164" t="str">
        <f>'Purchased Power Model '!N21</f>
        <v>Number of Days in Month</v>
      </c>
      <c r="L149" s="165">
        <f>'Purchased Power Model '!Q21</f>
        <v>4.1477657411796951</v>
      </c>
    </row>
    <row r="150" spans="1:12" x14ac:dyDescent="0.2">
      <c r="K150" s="164" t="str">
        <f>'Purchased Power Model '!N22</f>
        <v>CDM Activity</v>
      </c>
      <c r="L150" s="165">
        <f>'Purchased Power Model '!Q22</f>
        <v>-30.400726043683434</v>
      </c>
    </row>
    <row r="151" spans="1:12" x14ac:dyDescent="0.2">
      <c r="K151" s="166" t="str">
        <f>'Purchased Power Model '!N23</f>
        <v>Number of Peak Hours</v>
      </c>
      <c r="L151" s="165">
        <f>'Purchased Power Model '!Q23</f>
        <v>2.9743398130084349</v>
      </c>
    </row>
    <row r="152" spans="1:12" x14ac:dyDescent="0.2">
      <c r="K152" s="166" t="str">
        <f>'Purchased Power Model '!N24</f>
        <v>Spring Fall Flag</v>
      </c>
      <c r="L152" s="165">
        <f>'Purchased Power Model '!Q24</f>
        <v>-2.5251092251855192</v>
      </c>
    </row>
    <row r="153" spans="1:12" x14ac:dyDescent="0.2">
      <c r="K153" s="164" t="s">
        <v>208</v>
      </c>
      <c r="L153" s="165">
        <f>'Purchased Power Model '!Q18</f>
        <v>1.4430303278996335</v>
      </c>
    </row>
    <row r="155" spans="1:12" x14ac:dyDescent="0.2">
      <c r="A155" s="167"/>
      <c r="B155" s="168"/>
    </row>
    <row r="156" spans="1:12" x14ac:dyDescent="0.2">
      <c r="A156" s="167"/>
      <c r="B156" s="168"/>
    </row>
    <row r="157" spans="1:12" x14ac:dyDescent="0.2">
      <c r="K157" s="162"/>
    </row>
    <row r="158" spans="1:12" x14ac:dyDescent="0.2">
      <c r="A158" s="279" t="s">
        <v>209</v>
      </c>
      <c r="B158" s="279"/>
      <c r="C158" s="279"/>
      <c r="D158" s="279"/>
      <c r="E158" s="279"/>
      <c r="F158" s="279"/>
      <c r="G158" s="279"/>
      <c r="H158" s="199"/>
      <c r="I158" s="199"/>
      <c r="J158" s="199"/>
      <c r="K158" s="51"/>
    </row>
    <row r="159" spans="1:12" ht="63.75" x14ac:dyDescent="0.2">
      <c r="A159" s="136" t="s">
        <v>95</v>
      </c>
      <c r="B159" s="137" t="s">
        <v>120</v>
      </c>
      <c r="C159" s="137" t="s">
        <v>121</v>
      </c>
      <c r="D159" s="137" t="s">
        <v>9</v>
      </c>
      <c r="E159" s="137" t="s">
        <v>210</v>
      </c>
      <c r="F159" s="137" t="s">
        <v>211</v>
      </c>
      <c r="G159" s="137" t="s">
        <v>212</v>
      </c>
      <c r="H159" s="231"/>
      <c r="I159" s="231"/>
      <c r="J159" s="231"/>
      <c r="K159" s="51"/>
    </row>
    <row r="160" spans="1:12" x14ac:dyDescent="0.2">
      <c r="A160" s="280" t="s">
        <v>122</v>
      </c>
      <c r="B160" s="281"/>
      <c r="C160" s="281"/>
      <c r="D160" s="281"/>
      <c r="E160" s="281"/>
      <c r="F160" s="281"/>
      <c r="G160" s="282"/>
      <c r="H160" s="199"/>
      <c r="I160" s="199"/>
      <c r="J160" s="199"/>
      <c r="K160" s="51"/>
    </row>
    <row r="161" spans="1:11" x14ac:dyDescent="0.2">
      <c r="A161" s="148">
        <v>2002</v>
      </c>
      <c r="B161" s="144">
        <f>'Purchased Power Model '!B198/1000000</f>
        <v>522.66153999999995</v>
      </c>
      <c r="C161" s="144">
        <f>'Purchased Power Model '!K198/1000000</f>
        <v>512.03964579947103</v>
      </c>
      <c r="D161" s="230"/>
      <c r="E161" s="144">
        <f>'Purchased Power Model '!N198/1000000</f>
        <v>499.81315222266602</v>
      </c>
      <c r="F161" s="170">
        <f t="shared" ref="F161:F176" si="28">E161/C161</f>
        <v>0.97612197868445283</v>
      </c>
      <c r="G161" s="144">
        <f>B161*F161</f>
        <v>510.18141660706323</v>
      </c>
      <c r="H161" s="153"/>
      <c r="I161" s="153"/>
      <c r="J161" s="153"/>
      <c r="K161" s="51"/>
    </row>
    <row r="162" spans="1:11" x14ac:dyDescent="0.2">
      <c r="A162" s="148">
        <v>2003</v>
      </c>
      <c r="B162" s="144">
        <f>'Purchased Power Model '!B199/1000000</f>
        <v>497.11327</v>
      </c>
      <c r="C162" s="144">
        <f>'Purchased Power Model '!K199/1000000</f>
        <v>499.47350933795565</v>
      </c>
      <c r="D162" s="169">
        <f t="shared" ref="D162:D175" si="29">C162/B162-1</f>
        <v>4.7478904314013359E-3</v>
      </c>
      <c r="E162" s="144">
        <f>'Purchased Power Model '!N199/1000000</f>
        <v>499.84930741088391</v>
      </c>
      <c r="F162" s="170">
        <f t="shared" si="28"/>
        <v>1.0007523883967868</v>
      </c>
      <c r="G162" s="144">
        <f t="shared" ref="G162:G175" si="30">B162*F162</f>
        <v>497.48729225623674</v>
      </c>
      <c r="H162" s="153"/>
      <c r="I162" s="153"/>
      <c r="J162" s="153"/>
      <c r="K162" s="51"/>
    </row>
    <row r="163" spans="1:11" x14ac:dyDescent="0.2">
      <c r="A163" s="148">
        <v>2004</v>
      </c>
      <c r="B163" s="144">
        <f>'Purchased Power Model '!B200/1000000</f>
        <v>501.18543</v>
      </c>
      <c r="C163" s="144">
        <f>'Purchased Power Model '!K200/1000000</f>
        <v>495.77314059486821</v>
      </c>
      <c r="D163" s="169">
        <f t="shared" si="29"/>
        <v>-1.0798975950142453E-2</v>
      </c>
      <c r="E163" s="144">
        <f>'Purchased Power Model '!N200/1000000</f>
        <v>500.97894612198928</v>
      </c>
      <c r="F163" s="170">
        <f t="shared" si="28"/>
        <v>1.0105003782997899</v>
      </c>
      <c r="G163" s="144">
        <f t="shared" si="30"/>
        <v>506.44806661334286</v>
      </c>
      <c r="H163" s="153"/>
      <c r="I163" s="153"/>
      <c r="J163" s="153"/>
      <c r="K163" s="51"/>
    </row>
    <row r="164" spans="1:11" x14ac:dyDescent="0.2">
      <c r="A164" s="148">
        <v>2005</v>
      </c>
      <c r="B164" s="144">
        <f>'Purchased Power Model '!B201/1000000</f>
        <v>520.77485999999999</v>
      </c>
      <c r="C164" s="144">
        <f>'Purchased Power Model '!K201/1000000</f>
        <v>517.47270658177627</v>
      </c>
      <c r="D164" s="169">
        <f t="shared" si="29"/>
        <v>-6.340846442210557E-3</v>
      </c>
      <c r="E164" s="144">
        <f>'Purchased Power Model '!N201/1000000</f>
        <v>499.44211701242995</v>
      </c>
      <c r="F164" s="170">
        <f t="shared" si="28"/>
        <v>0.96515644334471395</v>
      </c>
      <c r="G164" s="144">
        <f t="shared" si="30"/>
        <v>502.62921166094134</v>
      </c>
      <c r="H164" s="153"/>
      <c r="I164" s="153"/>
      <c r="J164" s="153"/>
      <c r="K164" s="51"/>
    </row>
    <row r="165" spans="1:11" x14ac:dyDescent="0.2">
      <c r="A165" s="148">
        <v>2006</v>
      </c>
      <c r="B165" s="144">
        <f>'Purchased Power Model '!B202/1000000</f>
        <v>488.38198999999997</v>
      </c>
      <c r="C165" s="144">
        <f>'Purchased Power Model '!K202/1000000</f>
        <v>493.24067722552297</v>
      </c>
      <c r="D165" s="169">
        <f t="shared" si="29"/>
        <v>9.9485388998947766E-3</v>
      </c>
      <c r="E165" s="144">
        <f>'Purchased Power Model '!N202/1000000</f>
        <v>493.25627494481347</v>
      </c>
      <c r="F165" s="170">
        <f t="shared" si="28"/>
        <v>1.0000316229378692</v>
      </c>
      <c r="G165" s="144">
        <f t="shared" si="30"/>
        <v>488.39743407332617</v>
      </c>
      <c r="H165" s="153"/>
      <c r="I165" s="153"/>
      <c r="J165" s="153"/>
      <c r="K165" s="51"/>
    </row>
    <row r="166" spans="1:11" x14ac:dyDescent="0.2">
      <c r="A166" s="148">
        <v>2007</v>
      </c>
      <c r="B166" s="144">
        <f>'Purchased Power Model '!B203/1000000</f>
        <v>493.92703</v>
      </c>
      <c r="C166" s="144">
        <f>'Purchased Power Model '!K203/1000000</f>
        <v>487.51826445096145</v>
      </c>
      <c r="D166" s="169">
        <f t="shared" si="29"/>
        <v>-1.2975126202424137E-2</v>
      </c>
      <c r="E166" s="144">
        <f>'Purchased Power Model '!N203/1000000</f>
        <v>484.5136029548421</v>
      </c>
      <c r="F166" s="170">
        <f t="shared" si="28"/>
        <v>0.99383682270960005</v>
      </c>
      <c r="G166" s="144">
        <f t="shared" si="30"/>
        <v>490.88287014558932</v>
      </c>
      <c r="H166" s="153"/>
      <c r="I166" s="153"/>
      <c r="J166" s="153"/>
      <c r="K166" s="51"/>
    </row>
    <row r="167" spans="1:11" x14ac:dyDescent="0.2">
      <c r="A167" s="148">
        <v>2008</v>
      </c>
      <c r="B167" s="144">
        <f>'Purchased Power Model '!B204/1000000</f>
        <v>487.06290999999999</v>
      </c>
      <c r="C167" s="144">
        <f>'Purchased Power Model '!K204/1000000</f>
        <v>468.97537219405694</v>
      </c>
      <c r="D167" s="169">
        <f t="shared" si="29"/>
        <v>-3.713593754437805E-2</v>
      </c>
      <c r="E167" s="144">
        <f>'Purchased Power Model '!N204/1000000</f>
        <v>474.94259206438278</v>
      </c>
      <c r="F167" s="170">
        <f t="shared" si="28"/>
        <v>1.0127239514570003</v>
      </c>
      <c r="G167" s="144">
        <f t="shared" si="30"/>
        <v>493.2602748233453</v>
      </c>
      <c r="H167" s="153"/>
      <c r="I167" s="153"/>
      <c r="J167" s="153"/>
      <c r="K167" s="51"/>
    </row>
    <row r="168" spans="1:11" x14ac:dyDescent="0.2">
      <c r="A168" s="148">
        <v>2009</v>
      </c>
      <c r="B168" s="144">
        <f>'Purchased Power Model '!B205/1000000</f>
        <v>419.61721307692301</v>
      </c>
      <c r="C168" s="144">
        <f>'Purchased Power Model '!K205/1000000</f>
        <v>451.43046366173621</v>
      </c>
      <c r="D168" s="169">
        <f t="shared" si="29"/>
        <v>7.5814932260610757E-2</v>
      </c>
      <c r="E168" s="144">
        <f>'Purchased Power Model '!N205/1000000</f>
        <v>462.91564922783112</v>
      </c>
      <c r="F168" s="170">
        <f t="shared" si="28"/>
        <v>1.025441760117237</v>
      </c>
      <c r="G168" s="144">
        <f t="shared" si="30"/>
        <v>430.29301355308962</v>
      </c>
      <c r="H168" s="153"/>
      <c r="I168" s="153"/>
      <c r="J168" s="153"/>
      <c r="K168" s="51"/>
    </row>
    <row r="169" spans="1:11" x14ac:dyDescent="0.2">
      <c r="A169" s="148">
        <v>2010</v>
      </c>
      <c r="B169" s="144">
        <f>'Purchased Power Model '!B206/1000000</f>
        <v>443.59462307692291</v>
      </c>
      <c r="C169" s="144">
        <f>'Purchased Power Model '!K206/1000000</f>
        <v>457.97603017038699</v>
      </c>
      <c r="D169" s="169">
        <f t="shared" si="29"/>
        <v>3.242015647915153E-2</v>
      </c>
      <c r="E169" s="144">
        <f>'Purchased Power Model '!N206/1000000</f>
        <v>459.71297610902997</v>
      </c>
      <c r="F169" s="170">
        <f t="shared" si="28"/>
        <v>1.0037926568733231</v>
      </c>
      <c r="G169" s="144">
        <f t="shared" si="30"/>
        <v>445.27702527310475</v>
      </c>
      <c r="H169" s="153"/>
      <c r="I169" s="153"/>
      <c r="J169" s="153"/>
      <c r="K169" s="51"/>
    </row>
    <row r="170" spans="1:11" x14ac:dyDescent="0.2">
      <c r="A170" s="148">
        <v>2011</v>
      </c>
      <c r="B170" s="144">
        <f>'Purchased Power Model '!B207/1000000</f>
        <v>451.22084800000005</v>
      </c>
      <c r="C170" s="144">
        <f>'Purchased Power Model '!K207/1000000</f>
        <v>446.30704726310717</v>
      </c>
      <c r="D170" s="169">
        <f t="shared" si="29"/>
        <v>-1.0890012637210567E-2</v>
      </c>
      <c r="E170" s="144">
        <f>'Purchased Power Model '!N207/1000000</f>
        <v>445.96391812533841</v>
      </c>
      <c r="F170" s="170">
        <f t="shared" si="28"/>
        <v>0.99923118144812428</v>
      </c>
      <c r="G170" s="144">
        <f t="shared" si="30"/>
        <v>450.87394104106454</v>
      </c>
      <c r="H170" s="153"/>
      <c r="I170" s="153"/>
      <c r="J170" s="153"/>
      <c r="K170" s="51"/>
    </row>
    <row r="171" spans="1:11" x14ac:dyDescent="0.2">
      <c r="A171" s="148">
        <v>2012</v>
      </c>
      <c r="B171" s="144">
        <f>'Purchased Power Model '!B208/1000000</f>
        <v>421.67116432258064</v>
      </c>
      <c r="C171" s="144">
        <f>'Purchased Power Model '!K208/1000000</f>
        <v>428.91378708059369</v>
      </c>
      <c r="D171" s="169">
        <f t="shared" si="29"/>
        <v>1.7175997248112473E-2</v>
      </c>
      <c r="E171" s="144">
        <f>'Purchased Power Model '!N208/1000000</f>
        <v>433.37283595120607</v>
      </c>
      <c r="F171" s="170">
        <f t="shared" si="28"/>
        <v>1.0103961425464145</v>
      </c>
      <c r="G171" s="144">
        <f t="shared" si="30"/>
        <v>426.05491785459077</v>
      </c>
      <c r="H171" s="153"/>
      <c r="I171" s="153"/>
      <c r="J171" s="153"/>
      <c r="K171" s="51"/>
    </row>
    <row r="172" spans="1:11" x14ac:dyDescent="0.2">
      <c r="A172" s="148">
        <v>2013</v>
      </c>
      <c r="B172" s="144">
        <f>'Purchased Power Model '!B209/1000000</f>
        <v>415.36961600000001</v>
      </c>
      <c r="C172" s="144">
        <f>'Purchased Power Model '!K209/1000000</f>
        <v>408.4777324401511</v>
      </c>
      <c r="D172" s="169">
        <f t="shared" si="29"/>
        <v>-1.6592170670107209E-2</v>
      </c>
      <c r="E172" s="144">
        <f>'Purchased Power Model '!N209/1000000</f>
        <v>411.39627199190011</v>
      </c>
      <c r="F172" s="170">
        <f t="shared" si="28"/>
        <v>1.0071449171398263</v>
      </c>
      <c r="G172" s="144">
        <f t="shared" si="30"/>
        <v>418.33739748872148</v>
      </c>
      <c r="H172" s="153"/>
      <c r="I172" s="153"/>
      <c r="J172" s="153"/>
      <c r="K172" s="51"/>
    </row>
    <row r="173" spans="1:11" x14ac:dyDescent="0.2">
      <c r="A173" s="148">
        <v>2014</v>
      </c>
      <c r="B173" s="144">
        <f>'Purchased Power Model '!B210/1000000</f>
        <v>391.55499700000007</v>
      </c>
      <c r="C173" s="144">
        <f>'Purchased Power Model '!K210/1000000</f>
        <v>384.61425726620695</v>
      </c>
      <c r="D173" s="169">
        <f t="shared" si="29"/>
        <v>-1.7726091575823055E-2</v>
      </c>
      <c r="E173" s="144">
        <f>'Purchased Power Model '!N210/1000000</f>
        <v>388.84471387033653</v>
      </c>
      <c r="F173" s="170">
        <f t="shared" si="28"/>
        <v>1.0109992194106354</v>
      </c>
      <c r="G173" s="144">
        <f t="shared" si="30"/>
        <v>395.86179632333375</v>
      </c>
      <c r="H173" s="153"/>
      <c r="I173" s="153"/>
      <c r="J173" s="153"/>
      <c r="K173" s="51"/>
    </row>
    <row r="174" spans="1:11" x14ac:dyDescent="0.2">
      <c r="A174" s="148">
        <v>2015</v>
      </c>
      <c r="B174" s="144">
        <f>'Purchased Power Model '!B211/1000000</f>
        <v>372.48092999999994</v>
      </c>
      <c r="C174" s="144">
        <f>'Purchased Power Model '!K211/1000000</f>
        <v>377.29993341984732</v>
      </c>
      <c r="D174" s="169">
        <f t="shared" si="29"/>
        <v>1.2937584267327162E-2</v>
      </c>
      <c r="E174" s="144">
        <f>'Purchased Power Model '!N211/1000000</f>
        <v>380.86129883230325</v>
      </c>
      <c r="F174" s="170">
        <f t="shared" si="28"/>
        <v>1.0094390830662907</v>
      </c>
      <c r="G174" s="144">
        <f t="shared" si="30"/>
        <v>375.99680843887916</v>
      </c>
      <c r="H174" s="153"/>
      <c r="I174" s="153"/>
      <c r="J174" s="153"/>
      <c r="K174" s="51"/>
    </row>
    <row r="175" spans="1:11" ht="12.75" customHeight="1" x14ac:dyDescent="0.2">
      <c r="A175" s="148">
        <f>A137</f>
        <v>2016</v>
      </c>
      <c r="B175" s="144">
        <f>'Purchased Power Model '!B212/1000000</f>
        <v>380.58043784850003</v>
      </c>
      <c r="C175" s="144">
        <f>'Purchased Power Model '!K212/1000000</f>
        <v>377.68429183828664</v>
      </c>
      <c r="D175" s="169">
        <f t="shared" si="29"/>
        <v>-7.6098131227813059E-3</v>
      </c>
      <c r="E175" s="144">
        <f>'Purchased Power Model '!N212/1000000</f>
        <v>371.33320248497546</v>
      </c>
      <c r="F175" s="170">
        <f t="shared" si="28"/>
        <v>0.98318413158673135</v>
      </c>
      <c r="G175" s="144">
        <f t="shared" si="30"/>
        <v>374.18064728497546</v>
      </c>
      <c r="H175" s="178"/>
      <c r="I175" s="178"/>
      <c r="J175" s="178"/>
    </row>
    <row r="176" spans="1:11" x14ac:dyDescent="0.2">
      <c r="A176" s="148" t="str">
        <f>A138</f>
        <v>2017 Test</v>
      </c>
      <c r="B176" s="171"/>
      <c r="C176" s="144">
        <f>'Purchased Power Model '!K213/1000000</f>
        <v>377.66939221158884</v>
      </c>
      <c r="D176" s="172"/>
      <c r="E176" s="144">
        <f>'Purchased Power Model '!N213/1000000</f>
        <v>371.83429066016834</v>
      </c>
      <c r="F176" s="170">
        <f t="shared" si="28"/>
        <v>0.98454971021810689</v>
      </c>
      <c r="G176" s="125"/>
      <c r="H176" s="178"/>
      <c r="I176" s="178"/>
      <c r="J176" s="178"/>
      <c r="K176" s="162"/>
    </row>
    <row r="177" spans="1:12" s="51" customFormat="1" x14ac:dyDescent="0.2">
      <c r="A177" s="148" t="s">
        <v>213</v>
      </c>
      <c r="B177" s="171"/>
      <c r="C177" s="144">
        <f>'Purchased Power Model '!L233/1000000</f>
        <v>369.36830247748708</v>
      </c>
      <c r="D177" s="172"/>
      <c r="E177" s="132"/>
      <c r="F177" s="132"/>
      <c r="G177" s="132"/>
      <c r="H177" s="234"/>
      <c r="I177" s="234"/>
      <c r="J177" s="234"/>
    </row>
    <row r="178" spans="1:12" s="51" customFormat="1" x14ac:dyDescent="0.2">
      <c r="A178" s="148" t="s">
        <v>214</v>
      </c>
      <c r="B178" s="163"/>
      <c r="C178" s="144">
        <f>'Purchased Power Model '!L247/1000000</f>
        <v>370.33005681632017</v>
      </c>
      <c r="D178" s="169"/>
      <c r="E178" s="132"/>
      <c r="F178" s="132"/>
      <c r="G178" s="132"/>
      <c r="H178"/>
      <c r="I178"/>
      <c r="J178"/>
      <c r="K178"/>
    </row>
    <row r="181" spans="1:12" x14ac:dyDescent="0.2">
      <c r="A181" s="279" t="s">
        <v>146</v>
      </c>
      <c r="B181" s="279"/>
      <c r="C181" s="279"/>
      <c r="D181" s="279"/>
      <c r="E181" s="279"/>
      <c r="F181" s="279"/>
      <c r="G181" s="279"/>
      <c r="H181" s="199"/>
      <c r="I181" s="199"/>
      <c r="J181" s="199"/>
      <c r="L181" s="162"/>
    </row>
    <row r="182" spans="1:12" ht="51" x14ac:dyDescent="0.2">
      <c r="A182" s="136" t="s">
        <v>95</v>
      </c>
      <c r="B182" s="147" t="str">
        <f t="shared" ref="B182:I182" si="31">B87</f>
        <v xml:space="preserve">Residential </v>
      </c>
      <c r="C182" s="147" t="str">
        <f t="shared" si="31"/>
        <v>General Service 
&lt; 50 kW</v>
      </c>
      <c r="D182" s="147" t="str">
        <f t="shared" si="31"/>
        <v>General Service 
50 to 
4,999 kW</v>
      </c>
      <c r="E182" s="147" t="str">
        <f t="shared" si="31"/>
        <v>Large User</v>
      </c>
      <c r="F182" s="147" t="str">
        <f t="shared" si="31"/>
        <v xml:space="preserve">Street Lights </v>
      </c>
      <c r="G182" s="147" t="str">
        <f t="shared" si="31"/>
        <v>Sentinel Lights</v>
      </c>
      <c r="H182" s="147" t="str">
        <f t="shared" si="31"/>
        <v xml:space="preserve">Unmetered Scattered Loads </v>
      </c>
      <c r="I182" s="147" t="str">
        <f t="shared" si="31"/>
        <v>Total</v>
      </c>
      <c r="J182" s="180"/>
    </row>
    <row r="183" spans="1:12" x14ac:dyDescent="0.2">
      <c r="A183" s="283" t="s">
        <v>117</v>
      </c>
      <c r="B183" s="283"/>
      <c r="C183" s="283"/>
      <c r="D183" s="283"/>
      <c r="E183" s="283"/>
      <c r="F183" s="283"/>
      <c r="G183" s="283"/>
      <c r="H183" s="283"/>
      <c r="I183" s="283"/>
      <c r="J183" s="199"/>
    </row>
    <row r="184" spans="1:12" x14ac:dyDescent="0.2">
      <c r="A184" s="187">
        <f t="shared" ref="A184:A198" si="32">A31</f>
        <v>2002</v>
      </c>
      <c r="B184" s="173">
        <f>'Rate Class Customer Model'!B3</f>
        <v>18178</v>
      </c>
      <c r="C184" s="173">
        <f>'Rate Class Customer Model'!C3</f>
        <v>1679.5</v>
      </c>
      <c r="D184" s="173">
        <f>'Rate Class Customer Model'!D3</f>
        <v>239.41666666666666</v>
      </c>
      <c r="E184" s="173">
        <f>'Rate Class Customer Model'!E3</f>
        <v>1.3333333333333333</v>
      </c>
      <c r="F184" s="173">
        <f>'Rate Class Customer Model'!F3</f>
        <v>6411.75</v>
      </c>
      <c r="G184" s="173">
        <f>'Rate Class Customer Model'!G3</f>
        <v>765</v>
      </c>
      <c r="H184" s="173">
        <f>'Rate Class Customer Model'!H3</f>
        <v>225.25</v>
      </c>
      <c r="I184" s="173">
        <f>SUM(B184:H184)</f>
        <v>27500.25</v>
      </c>
      <c r="J184" s="175"/>
      <c r="L184" s="140"/>
    </row>
    <row r="185" spans="1:12" x14ac:dyDescent="0.2">
      <c r="A185" s="148">
        <f t="shared" si="32"/>
        <v>2003</v>
      </c>
      <c r="B185" s="173">
        <f>'Rate Class Customer Model'!B4</f>
        <v>18297.833333333332</v>
      </c>
      <c r="C185" s="173">
        <f>'Rate Class Customer Model'!C4</f>
        <v>1684.3333333333333</v>
      </c>
      <c r="D185" s="173">
        <f>'Rate Class Customer Model'!D4</f>
        <v>235.75</v>
      </c>
      <c r="E185" s="173">
        <f>'Rate Class Customer Model'!E4</f>
        <v>2.75</v>
      </c>
      <c r="F185" s="173">
        <f>'Rate Class Customer Model'!F4</f>
        <v>6457.5</v>
      </c>
      <c r="G185" s="173">
        <f>'Rate Class Customer Model'!G4</f>
        <v>758.08333333333337</v>
      </c>
      <c r="H185" s="173">
        <f>'Rate Class Customer Model'!H4</f>
        <v>228.58333333333334</v>
      </c>
      <c r="I185" s="173">
        <f t="shared" ref="I185:I198" si="33">SUM(B185:H185)</f>
        <v>27664.833333333328</v>
      </c>
      <c r="J185" s="175"/>
    </row>
    <row r="186" spans="1:12" x14ac:dyDescent="0.2">
      <c r="A186" s="148">
        <f t="shared" si="32"/>
        <v>2004</v>
      </c>
      <c r="B186" s="173">
        <f>'Rate Class Customer Model'!B5</f>
        <v>18497.833333333332</v>
      </c>
      <c r="C186" s="173">
        <f>'Rate Class Customer Model'!C5</f>
        <v>1682.9166666666667</v>
      </c>
      <c r="D186" s="173">
        <f>'Rate Class Customer Model'!D5</f>
        <v>216.5</v>
      </c>
      <c r="E186" s="173">
        <f>'Rate Class Customer Model'!E5</f>
        <v>2.8333333333333335</v>
      </c>
      <c r="F186" s="173">
        <f>'Rate Class Customer Model'!F5</f>
        <v>6471.333333333333</v>
      </c>
      <c r="G186" s="173">
        <f>'Rate Class Customer Model'!G5</f>
        <v>750.41666666666663</v>
      </c>
      <c r="H186" s="173">
        <f>'Rate Class Customer Model'!H5</f>
        <v>232.41666666666666</v>
      </c>
      <c r="I186" s="173">
        <f t="shared" si="33"/>
        <v>27854.25</v>
      </c>
      <c r="J186" s="175"/>
    </row>
    <row r="187" spans="1:12" x14ac:dyDescent="0.2">
      <c r="A187" s="148">
        <f t="shared" si="32"/>
        <v>2005</v>
      </c>
      <c r="B187" s="173">
        <f>'Rate Class Customer Model'!B6</f>
        <v>18756.166666666668</v>
      </c>
      <c r="C187" s="173">
        <f>'Rate Class Customer Model'!C6</f>
        <v>1690.8333333333333</v>
      </c>
      <c r="D187" s="173">
        <f>'Rate Class Customer Model'!D6</f>
        <v>208</v>
      </c>
      <c r="E187" s="173">
        <f>'Rate Class Customer Model'!E6</f>
        <v>2.8333333333333335</v>
      </c>
      <c r="F187" s="173">
        <f>'Rate Class Customer Model'!F6</f>
        <v>6520.166666666667</v>
      </c>
      <c r="G187" s="173">
        <f>'Rate Class Customer Model'!G6</f>
        <v>739.25</v>
      </c>
      <c r="H187" s="173">
        <f>'Rate Class Customer Model'!H6</f>
        <v>234</v>
      </c>
      <c r="I187" s="173">
        <f t="shared" si="33"/>
        <v>28151.25</v>
      </c>
      <c r="J187" s="175"/>
    </row>
    <row r="188" spans="1:12" x14ac:dyDescent="0.2">
      <c r="A188" s="148">
        <f t="shared" si="32"/>
        <v>2006</v>
      </c>
      <c r="B188" s="173">
        <f>'Rate Class Customer Model'!B7</f>
        <v>18914.833333333332</v>
      </c>
      <c r="C188" s="173">
        <f>'Rate Class Customer Model'!C7</f>
        <v>1668</v>
      </c>
      <c r="D188" s="173">
        <f>'Rate Class Customer Model'!D7</f>
        <v>208.5</v>
      </c>
      <c r="E188" s="173">
        <f>'Rate Class Customer Model'!E7</f>
        <v>3</v>
      </c>
      <c r="F188" s="173">
        <f>'Rate Class Customer Model'!F7</f>
        <v>6557.75</v>
      </c>
      <c r="G188" s="173">
        <f>'Rate Class Customer Model'!G7</f>
        <v>732.41666666666663</v>
      </c>
      <c r="H188" s="173">
        <f>'Rate Class Customer Model'!H7</f>
        <v>232.58333333333334</v>
      </c>
      <c r="I188" s="173">
        <f t="shared" si="33"/>
        <v>28317.083333333332</v>
      </c>
      <c r="J188" s="175"/>
    </row>
    <row r="189" spans="1:12" x14ac:dyDescent="0.2">
      <c r="A189" s="148">
        <f t="shared" si="32"/>
        <v>2007</v>
      </c>
      <c r="B189" s="173">
        <f>'Rate Class Customer Model'!B8</f>
        <v>18996.166666666668</v>
      </c>
      <c r="C189" s="173">
        <f>'Rate Class Customer Model'!C8</f>
        <v>1656.5</v>
      </c>
      <c r="D189" s="173">
        <f>'Rate Class Customer Model'!D8</f>
        <v>194.16666666666666</v>
      </c>
      <c r="E189" s="173">
        <f>'Rate Class Customer Model'!E8</f>
        <v>2.4166666666666665</v>
      </c>
      <c r="F189" s="173">
        <f>'Rate Class Customer Model'!F8</f>
        <v>6610.333333333333</v>
      </c>
      <c r="G189" s="173">
        <f>'Rate Class Customer Model'!G8</f>
        <v>704.41666666666663</v>
      </c>
      <c r="H189" s="173">
        <f>'Rate Class Customer Model'!H8</f>
        <v>231.66666666666666</v>
      </c>
      <c r="I189" s="173">
        <f t="shared" si="33"/>
        <v>28395.666666666672</v>
      </c>
      <c r="J189" s="175"/>
    </row>
    <row r="190" spans="1:12" x14ac:dyDescent="0.2">
      <c r="A190" s="148">
        <f t="shared" si="32"/>
        <v>2008</v>
      </c>
      <c r="B190" s="173">
        <f>'Rate Class Customer Model'!B9</f>
        <v>19136.5</v>
      </c>
      <c r="C190" s="173">
        <f>'Rate Class Customer Model'!C9</f>
        <v>1676.25</v>
      </c>
      <c r="D190" s="173">
        <f>'Rate Class Customer Model'!D9</f>
        <v>176.25</v>
      </c>
      <c r="E190" s="173">
        <f>'Rate Class Customer Model'!E9</f>
        <v>2.5</v>
      </c>
      <c r="F190" s="173">
        <f>'Rate Class Customer Model'!F9</f>
        <v>6670.583333333333</v>
      </c>
      <c r="G190" s="173">
        <f>'Rate Class Customer Model'!G9</f>
        <v>689</v>
      </c>
      <c r="H190" s="173">
        <f>'Rate Class Customer Model'!H9</f>
        <v>232</v>
      </c>
      <c r="I190" s="173">
        <f t="shared" si="33"/>
        <v>28583.083333333332</v>
      </c>
      <c r="J190" s="175"/>
    </row>
    <row r="191" spans="1:12" x14ac:dyDescent="0.2">
      <c r="A191" s="148">
        <f t="shared" si="32"/>
        <v>2009</v>
      </c>
      <c r="B191" s="173">
        <f>'Rate Class Customer Model'!B10</f>
        <v>19277.083333333332</v>
      </c>
      <c r="C191" s="173">
        <f>'Rate Class Customer Model'!C10</f>
        <v>1690.1666666666667</v>
      </c>
      <c r="D191" s="173">
        <f>'Rate Class Customer Model'!D10</f>
        <v>170.75</v>
      </c>
      <c r="E191" s="173">
        <f>'Rate Class Customer Model'!E10</f>
        <v>2.5</v>
      </c>
      <c r="F191" s="173">
        <f>'Rate Class Customer Model'!F10</f>
        <v>6709.416666666667</v>
      </c>
      <c r="G191" s="173">
        <f>'Rate Class Customer Model'!G10</f>
        <v>679.66666666666663</v>
      </c>
      <c r="H191" s="173">
        <f>'Rate Class Customer Model'!H10</f>
        <v>230.5</v>
      </c>
      <c r="I191" s="173">
        <f t="shared" si="33"/>
        <v>28760.083333333336</v>
      </c>
      <c r="J191" s="175"/>
    </row>
    <row r="192" spans="1:12" x14ac:dyDescent="0.2">
      <c r="A192" s="148">
        <f t="shared" si="32"/>
        <v>2010</v>
      </c>
      <c r="B192" s="173">
        <f>'Rate Class Customer Model'!B11</f>
        <v>19434.333333333332</v>
      </c>
      <c r="C192" s="173">
        <f>'Rate Class Customer Model'!C11</f>
        <v>1690.6666666666667</v>
      </c>
      <c r="D192" s="173">
        <f>'Rate Class Customer Model'!D11</f>
        <v>172.33333333333334</v>
      </c>
      <c r="E192" s="173">
        <f>'Rate Class Customer Model'!E11</f>
        <v>1.3333333333333333</v>
      </c>
      <c r="F192" s="173">
        <f>'Rate Class Customer Model'!F11</f>
        <v>6737.666666666667</v>
      </c>
      <c r="G192" s="173">
        <f>'Rate Class Customer Model'!G11</f>
        <v>679.16666666666663</v>
      </c>
      <c r="H192" s="173">
        <f>'Rate Class Customer Model'!H11</f>
        <v>227.25</v>
      </c>
      <c r="I192" s="173">
        <f t="shared" si="33"/>
        <v>28942.75</v>
      </c>
      <c r="J192" s="175"/>
    </row>
    <row r="193" spans="1:13" x14ac:dyDescent="0.2">
      <c r="A193" s="148">
        <f t="shared" si="32"/>
        <v>2011</v>
      </c>
      <c r="B193" s="173">
        <f>'Rate Class Customer Model'!B12</f>
        <v>19716.902777777785</v>
      </c>
      <c r="C193" s="173">
        <f>'Rate Class Customer Model'!C12</f>
        <v>1690.8055555555559</v>
      </c>
      <c r="D193" s="173">
        <f>'Rate Class Customer Model'!D12</f>
        <v>169.73611111111106</v>
      </c>
      <c r="E193" s="173">
        <f>'Rate Class Customer Model'!E12</f>
        <v>1</v>
      </c>
      <c r="F193" s="173">
        <f>'Rate Class Customer Model'!F12</f>
        <v>6739</v>
      </c>
      <c r="G193" s="173">
        <f>'Rate Class Customer Model'!G12</f>
        <v>663.28472222222206</v>
      </c>
      <c r="H193" s="173">
        <f>'Rate Class Customer Model'!H12</f>
        <v>226.32291666666671</v>
      </c>
      <c r="I193" s="173">
        <f t="shared" si="33"/>
        <v>29207.052083333339</v>
      </c>
      <c r="J193" s="175"/>
    </row>
    <row r="194" spans="1:13" x14ac:dyDescent="0.2">
      <c r="A194" s="148">
        <f t="shared" si="32"/>
        <v>2012</v>
      </c>
      <c r="B194" s="173">
        <f>'Rate Class Customer Model'!B13</f>
        <v>20109.833333333332</v>
      </c>
      <c r="C194" s="173">
        <f>'Rate Class Customer Model'!C13</f>
        <v>1698.8333333333333</v>
      </c>
      <c r="D194" s="173">
        <f>'Rate Class Customer Model'!D13</f>
        <v>173.25</v>
      </c>
      <c r="E194" s="173">
        <f>'Rate Class Customer Model'!E13</f>
        <v>1</v>
      </c>
      <c r="F194" s="173">
        <f>'Rate Class Customer Model'!F13</f>
        <v>6749.166666666667</v>
      </c>
      <c r="G194" s="173">
        <f>'Rate Class Customer Model'!G13</f>
        <v>626.84577546296293</v>
      </c>
      <c r="H194" s="173">
        <f>'Rate Class Customer Model'!H13</f>
        <v>220.70008680555566</v>
      </c>
      <c r="I194" s="173">
        <f t="shared" si="33"/>
        <v>29579.62919560185</v>
      </c>
      <c r="J194" s="175"/>
    </row>
    <row r="195" spans="1:13" x14ac:dyDescent="0.2">
      <c r="A195" s="148">
        <f t="shared" si="32"/>
        <v>2013</v>
      </c>
      <c r="B195" s="173">
        <f>'Rate Class Customer Model'!B14</f>
        <v>20265.75</v>
      </c>
      <c r="C195" s="173">
        <f>'Rate Class Customer Model'!C14</f>
        <v>1698.5</v>
      </c>
      <c r="D195" s="173">
        <f>'Rate Class Customer Model'!D14</f>
        <v>172.66666666666666</v>
      </c>
      <c r="E195" s="173">
        <f>'Rate Class Customer Model'!E14</f>
        <v>1</v>
      </c>
      <c r="F195" s="173">
        <f>'Rate Class Customer Model'!F14</f>
        <v>6778.916666666667</v>
      </c>
      <c r="G195" s="173">
        <f>'Rate Class Customer Model'!G14</f>
        <v>580.25</v>
      </c>
      <c r="H195" s="173">
        <f>'Rate Class Customer Model'!H14</f>
        <v>235.5</v>
      </c>
      <c r="I195" s="173">
        <f t="shared" si="33"/>
        <v>29732.583333333336</v>
      </c>
      <c r="J195" s="175"/>
    </row>
    <row r="196" spans="1:13" x14ac:dyDescent="0.2">
      <c r="A196" s="148">
        <f t="shared" si="32"/>
        <v>2014</v>
      </c>
      <c r="B196" s="173">
        <f>'Rate Class Customer Model'!B15</f>
        <v>20472.166666666668</v>
      </c>
      <c r="C196" s="173">
        <f>'Rate Class Customer Model'!C15</f>
        <v>1742.8333333333333</v>
      </c>
      <c r="D196" s="173">
        <f>'Rate Class Customer Model'!D15</f>
        <v>165.41666666666666</v>
      </c>
      <c r="E196" s="173">
        <f>'Rate Class Customer Model'!E15</f>
        <v>1</v>
      </c>
      <c r="F196" s="173">
        <f>'Rate Class Customer Model'!F15</f>
        <v>6784.333333333333</v>
      </c>
      <c r="G196" s="173">
        <f>'Rate Class Customer Model'!G15</f>
        <v>519.16666666666663</v>
      </c>
      <c r="H196" s="173">
        <f>'Rate Class Customer Model'!H15</f>
        <v>259.33333333333331</v>
      </c>
      <c r="I196" s="173">
        <f t="shared" si="33"/>
        <v>29944.25</v>
      </c>
      <c r="J196" s="175"/>
    </row>
    <row r="197" spans="1:13" x14ac:dyDescent="0.2">
      <c r="A197" s="148">
        <f t="shared" si="32"/>
        <v>2015</v>
      </c>
      <c r="B197" s="173">
        <f>'Rate Class Customer Model'!B16</f>
        <v>20635.5</v>
      </c>
      <c r="C197" s="173">
        <f>'Rate Class Customer Model'!C16</f>
        <v>1769.0833333333333</v>
      </c>
      <c r="D197" s="173">
        <f>'Rate Class Customer Model'!D16</f>
        <v>158.83333333333334</v>
      </c>
      <c r="E197" s="173">
        <f>'Rate Class Customer Model'!E16</f>
        <v>1</v>
      </c>
      <c r="F197" s="173">
        <f>'Rate Class Customer Model'!F16</f>
        <v>6792.583333333333</v>
      </c>
      <c r="G197" s="173">
        <f>'Rate Class Customer Model'!G16</f>
        <v>515.08333333333337</v>
      </c>
      <c r="H197" s="173">
        <f>'Rate Class Customer Model'!H16</f>
        <v>256.66666666666669</v>
      </c>
      <c r="I197" s="173">
        <f t="shared" si="33"/>
        <v>30128.749999999996</v>
      </c>
      <c r="J197" s="175"/>
    </row>
    <row r="198" spans="1:13" x14ac:dyDescent="0.2">
      <c r="A198" s="148">
        <f t="shared" si="32"/>
        <v>2016</v>
      </c>
      <c r="B198" s="173">
        <f>'Rate Class Customer Model'!B17</f>
        <v>20822.5</v>
      </c>
      <c r="C198" s="173">
        <f>'Rate Class Customer Model'!C17</f>
        <v>1770.5833333333333</v>
      </c>
      <c r="D198" s="173">
        <f>'Rate Class Customer Model'!D17</f>
        <v>159</v>
      </c>
      <c r="E198" s="173">
        <f>'Rate Class Customer Model'!E17</f>
        <v>0</v>
      </c>
      <c r="F198" s="173">
        <f>'Rate Class Customer Model'!F17</f>
        <v>6825</v>
      </c>
      <c r="G198" s="173">
        <f>'Rate Class Customer Model'!G17</f>
        <v>508.75</v>
      </c>
      <c r="H198" s="173">
        <f>'Rate Class Customer Model'!H17</f>
        <v>261.33333333333331</v>
      </c>
      <c r="I198" s="173">
        <f t="shared" si="33"/>
        <v>30347.166666666664</v>
      </c>
      <c r="J198" s="175"/>
    </row>
    <row r="200" spans="1:13" x14ac:dyDescent="0.2">
      <c r="A200" s="293" t="s">
        <v>147</v>
      </c>
      <c r="B200" s="294"/>
      <c r="C200" s="294"/>
      <c r="D200" s="294"/>
      <c r="E200" s="294"/>
      <c r="F200" s="294"/>
      <c r="K200" s="51"/>
    </row>
    <row r="201" spans="1:13" ht="51" x14ac:dyDescent="0.2">
      <c r="A201" s="176" t="s">
        <v>95</v>
      </c>
      <c r="B201" s="147" t="str">
        <f>B182</f>
        <v xml:space="preserve">Residential </v>
      </c>
      <c r="C201" s="147" t="str">
        <f t="shared" ref="C201:H201" si="34">C182</f>
        <v>General Service 
&lt; 50 kW</v>
      </c>
      <c r="D201" s="147" t="str">
        <f t="shared" si="34"/>
        <v>General Service 
50 to 
4,999 kW</v>
      </c>
      <c r="E201" s="147" t="str">
        <f t="shared" si="34"/>
        <v>Large User</v>
      </c>
      <c r="F201" s="147" t="str">
        <f t="shared" si="34"/>
        <v xml:space="preserve">Street Lights </v>
      </c>
      <c r="G201" s="147" t="str">
        <f t="shared" si="34"/>
        <v>Sentinel Lights</v>
      </c>
      <c r="H201" s="147" t="str">
        <f t="shared" si="34"/>
        <v xml:space="preserve">Unmetered Scattered Loads </v>
      </c>
      <c r="K201" s="162"/>
    </row>
    <row r="202" spans="1:13" x14ac:dyDescent="0.2">
      <c r="A202" s="283" t="s">
        <v>123</v>
      </c>
      <c r="B202" s="283"/>
      <c r="C202" s="283"/>
      <c r="D202" s="283"/>
      <c r="E202" s="283"/>
      <c r="F202" s="283"/>
      <c r="G202" s="283"/>
      <c r="H202" s="283"/>
    </row>
    <row r="203" spans="1:13" x14ac:dyDescent="0.2">
      <c r="A203" s="148">
        <f t="shared" ref="A203:A217" si="35">A184</f>
        <v>2002</v>
      </c>
      <c r="B203" s="177"/>
      <c r="C203" s="177"/>
      <c r="D203" s="177"/>
      <c r="E203" s="177"/>
      <c r="F203" s="177"/>
      <c r="G203" s="177"/>
      <c r="H203" s="177"/>
    </row>
    <row r="204" spans="1:13" x14ac:dyDescent="0.2">
      <c r="A204" s="148">
        <f t="shared" si="35"/>
        <v>2003</v>
      </c>
      <c r="B204" s="177">
        <f t="shared" ref="B204:B217" si="36">B185/B184-1</f>
        <v>6.5922176990500514E-3</v>
      </c>
      <c r="C204" s="177">
        <f t="shared" ref="C204:H204" si="37">C185/C184-1</f>
        <v>2.8778406271707802E-3</v>
      </c>
      <c r="D204" s="177">
        <f t="shared" si="37"/>
        <v>-1.5315001740341061E-2</v>
      </c>
      <c r="E204" s="177">
        <f t="shared" si="37"/>
        <v>1.0625</v>
      </c>
      <c r="F204" s="177">
        <f t="shared" si="37"/>
        <v>7.1353374663702951E-3</v>
      </c>
      <c r="G204" s="177">
        <f t="shared" si="37"/>
        <v>-9.0413943355119875E-3</v>
      </c>
      <c r="H204" s="177">
        <f t="shared" si="37"/>
        <v>1.4798372179060326E-2</v>
      </c>
    </row>
    <row r="205" spans="1:13" x14ac:dyDescent="0.2">
      <c r="A205" s="148">
        <f t="shared" si="35"/>
        <v>2004</v>
      </c>
      <c r="B205" s="177">
        <f t="shared" si="36"/>
        <v>1.093025585907248E-2</v>
      </c>
      <c r="C205" s="177">
        <f t="shared" ref="C205:H217" si="38">C186/C185-1</f>
        <v>-8.4108450425479653E-4</v>
      </c>
      <c r="D205" s="177">
        <f t="shared" si="38"/>
        <v>-8.1654294803817584E-2</v>
      </c>
      <c r="E205" s="177">
        <f t="shared" si="38"/>
        <v>3.0303030303030276E-2</v>
      </c>
      <c r="F205" s="177">
        <f t="shared" si="38"/>
        <v>2.1422118983094318E-3</v>
      </c>
      <c r="G205" s="177">
        <f t="shared" si="38"/>
        <v>-1.0113224139826404E-2</v>
      </c>
      <c r="H205" s="177">
        <f t="shared" si="38"/>
        <v>1.6769959897921849E-2</v>
      </c>
    </row>
    <row r="206" spans="1:13" x14ac:dyDescent="0.2">
      <c r="A206" s="148">
        <f t="shared" si="35"/>
        <v>2005</v>
      </c>
      <c r="B206" s="177">
        <f t="shared" si="36"/>
        <v>1.3965599574725207E-2</v>
      </c>
      <c r="C206" s="177">
        <f t="shared" si="38"/>
        <v>4.7041346868035294E-3</v>
      </c>
      <c r="D206" s="177">
        <f t="shared" si="38"/>
        <v>-3.9260969976905313E-2</v>
      </c>
      <c r="E206" s="177">
        <f t="shared" si="38"/>
        <v>0</v>
      </c>
      <c r="F206" s="177">
        <f t="shared" si="38"/>
        <v>7.5461007520347678E-3</v>
      </c>
      <c r="G206" s="177">
        <f t="shared" si="38"/>
        <v>-1.4880621876735112E-2</v>
      </c>
      <c r="H206" s="177">
        <f t="shared" si="38"/>
        <v>6.8124775905342716E-3</v>
      </c>
      <c r="M206" s="178"/>
    </row>
    <row r="207" spans="1:13" x14ac:dyDescent="0.2">
      <c r="A207" s="148">
        <f t="shared" si="35"/>
        <v>2006</v>
      </c>
      <c r="B207" s="177">
        <f t="shared" si="36"/>
        <v>8.459440006397756E-3</v>
      </c>
      <c r="C207" s="177">
        <f t="shared" si="38"/>
        <v>-1.3504189255790999E-2</v>
      </c>
      <c r="D207" s="177">
        <f t="shared" si="38"/>
        <v>2.4038461538462563E-3</v>
      </c>
      <c r="E207" s="177">
        <f t="shared" si="38"/>
        <v>5.8823529411764719E-2</v>
      </c>
      <c r="F207" s="177">
        <f t="shared" si="38"/>
        <v>5.7641675826280991E-3</v>
      </c>
      <c r="G207" s="177">
        <f t="shared" si="38"/>
        <v>-9.2436027505354845E-3</v>
      </c>
      <c r="H207" s="177">
        <f t="shared" si="38"/>
        <v>-6.0541310541309956E-3</v>
      </c>
    </row>
    <row r="208" spans="1:13" x14ac:dyDescent="0.2">
      <c r="A208" s="148">
        <f t="shared" si="35"/>
        <v>2007</v>
      </c>
      <c r="B208" s="177">
        <f t="shared" si="36"/>
        <v>4.2999762091482374E-3</v>
      </c>
      <c r="C208" s="177">
        <f t="shared" si="38"/>
        <v>-6.8944844124699811E-3</v>
      </c>
      <c r="D208" s="177">
        <f t="shared" si="38"/>
        <v>-6.8745003996802612E-2</v>
      </c>
      <c r="E208" s="177">
        <f t="shared" si="38"/>
        <v>-0.19444444444444453</v>
      </c>
      <c r="F208" s="177">
        <f t="shared" si="38"/>
        <v>8.0185022810159712E-3</v>
      </c>
      <c r="G208" s="177">
        <f t="shared" si="38"/>
        <v>-3.8229605188303539E-2</v>
      </c>
      <c r="H208" s="177">
        <f t="shared" si="38"/>
        <v>-3.9412396990327059E-3</v>
      </c>
    </row>
    <row r="209" spans="1:12" x14ac:dyDescent="0.2">
      <c r="A209" s="148">
        <f t="shared" si="35"/>
        <v>2008</v>
      </c>
      <c r="B209" s="177">
        <f t="shared" si="36"/>
        <v>7.3874553638013651E-3</v>
      </c>
      <c r="C209" s="177">
        <f t="shared" si="38"/>
        <v>1.1922728644732761E-2</v>
      </c>
      <c r="D209" s="177">
        <f t="shared" si="38"/>
        <v>-9.227467811158796E-2</v>
      </c>
      <c r="E209" s="177">
        <f t="shared" si="38"/>
        <v>3.4482758620689724E-2</v>
      </c>
      <c r="F209" s="177">
        <f t="shared" si="38"/>
        <v>9.1145176743483436E-3</v>
      </c>
      <c r="G209" s="177">
        <f t="shared" si="38"/>
        <v>-2.1885721045782458E-2</v>
      </c>
      <c r="H209" s="177">
        <f t="shared" si="38"/>
        <v>1.4388489208634336E-3</v>
      </c>
    </row>
    <row r="210" spans="1:12" x14ac:dyDescent="0.2">
      <c r="A210" s="148">
        <f t="shared" si="35"/>
        <v>2009</v>
      </c>
      <c r="B210" s="177">
        <f t="shared" si="36"/>
        <v>7.3463451170971972E-3</v>
      </c>
      <c r="C210" s="177">
        <f t="shared" si="38"/>
        <v>8.3022619935371189E-3</v>
      </c>
      <c r="D210" s="177">
        <f t="shared" si="38"/>
        <v>-3.1205673758865293E-2</v>
      </c>
      <c r="E210" s="177">
        <f t="shared" si="38"/>
        <v>0</v>
      </c>
      <c r="F210" s="177">
        <f t="shared" si="38"/>
        <v>5.8215798218548276E-3</v>
      </c>
      <c r="G210" s="177">
        <f t="shared" si="38"/>
        <v>-1.3546202225447557E-2</v>
      </c>
      <c r="H210" s="177">
        <f t="shared" si="38"/>
        <v>-6.4655172413793371E-3</v>
      </c>
    </row>
    <row r="211" spans="1:12" x14ac:dyDescent="0.2">
      <c r="A211" s="148">
        <f t="shared" si="35"/>
        <v>2010</v>
      </c>
      <c r="B211" s="177">
        <f t="shared" si="36"/>
        <v>8.1573543715551811E-3</v>
      </c>
      <c r="C211" s="177">
        <f t="shared" si="38"/>
        <v>2.9582881372647307E-4</v>
      </c>
      <c r="D211" s="177">
        <f t="shared" si="38"/>
        <v>9.2728160078088262E-3</v>
      </c>
      <c r="E211" s="177">
        <f t="shared" si="38"/>
        <v>-0.46666666666666667</v>
      </c>
      <c r="F211" s="177">
        <f t="shared" si="38"/>
        <v>4.2105001676748799E-3</v>
      </c>
      <c r="G211" s="177">
        <f t="shared" si="38"/>
        <v>-7.356547327120877E-4</v>
      </c>
      <c r="H211" s="177">
        <f t="shared" si="38"/>
        <v>-1.4099783080260275E-2</v>
      </c>
    </row>
    <row r="212" spans="1:12" x14ac:dyDescent="0.2">
      <c r="A212" s="148">
        <f t="shared" si="35"/>
        <v>2011</v>
      </c>
      <c r="B212" s="177">
        <f t="shared" si="36"/>
        <v>1.4539703502964851E-2</v>
      </c>
      <c r="C212" s="177">
        <f t="shared" si="38"/>
        <v>8.2150368033717669E-5</v>
      </c>
      <c r="D212" s="177">
        <f t="shared" si="38"/>
        <v>-1.5070921985815944E-2</v>
      </c>
      <c r="E212" s="177">
        <f t="shared" si="38"/>
        <v>-0.25</v>
      </c>
      <c r="F212" s="177">
        <f t="shared" si="38"/>
        <v>1.9789244545576068E-4</v>
      </c>
      <c r="G212" s="177">
        <f t="shared" si="38"/>
        <v>-2.3384458077709835E-2</v>
      </c>
      <c r="H212" s="177">
        <f t="shared" si="38"/>
        <v>-4.0795746241288899E-3</v>
      </c>
    </row>
    <row r="213" spans="1:12" x14ac:dyDescent="0.2">
      <c r="A213" s="148">
        <f t="shared" si="35"/>
        <v>2012</v>
      </c>
      <c r="B213" s="177">
        <f t="shared" si="36"/>
        <v>1.9928614548853307E-2</v>
      </c>
      <c r="C213" s="177">
        <f t="shared" si="38"/>
        <v>4.7479012305111645E-3</v>
      </c>
      <c r="D213" s="177">
        <f t="shared" si="38"/>
        <v>2.0702070207021084E-2</v>
      </c>
      <c r="E213" s="177">
        <f t="shared" si="38"/>
        <v>0</v>
      </c>
      <c r="F213" s="177">
        <f t="shared" si="38"/>
        <v>1.5086313498540171E-3</v>
      </c>
      <c r="G213" s="177">
        <f t="shared" si="38"/>
        <v>-5.4937111527575411E-2</v>
      </c>
      <c r="H213" s="177">
        <f t="shared" si="38"/>
        <v>-2.4844279774780764E-2</v>
      </c>
    </row>
    <row r="214" spans="1:12" x14ac:dyDescent="0.2">
      <c r="A214" s="148">
        <f t="shared" si="35"/>
        <v>2013</v>
      </c>
      <c r="B214" s="177">
        <f t="shared" si="36"/>
        <v>7.7532550410661649E-3</v>
      </c>
      <c r="C214" s="177">
        <f t="shared" si="38"/>
        <v>-1.9621308741291088E-4</v>
      </c>
      <c r="D214" s="177">
        <f t="shared" si="38"/>
        <v>-3.3670033670034627E-3</v>
      </c>
      <c r="E214" s="177">
        <f t="shared" si="38"/>
        <v>0</v>
      </c>
      <c r="F214" s="177">
        <f t="shared" si="38"/>
        <v>4.4079515989627893E-3</v>
      </c>
      <c r="G214" s="177">
        <f t="shared" si="38"/>
        <v>-7.4333715384057863E-2</v>
      </c>
      <c r="H214" s="177">
        <f t="shared" si="38"/>
        <v>6.7058936897852472E-2</v>
      </c>
    </row>
    <row r="215" spans="1:12" x14ac:dyDescent="0.2">
      <c r="A215" s="148">
        <f t="shared" si="35"/>
        <v>2014</v>
      </c>
      <c r="B215" s="177">
        <f t="shared" si="36"/>
        <v>1.018549358729226E-2</v>
      </c>
      <c r="C215" s="177">
        <f t="shared" si="38"/>
        <v>2.6101462074379356E-2</v>
      </c>
      <c r="D215" s="177">
        <f t="shared" si="38"/>
        <v>-4.1988416988417043E-2</v>
      </c>
      <c r="E215" s="177">
        <f t="shared" si="38"/>
        <v>0</v>
      </c>
      <c r="F215" s="177">
        <f t="shared" si="38"/>
        <v>7.9904606193204053E-4</v>
      </c>
      <c r="G215" s="177">
        <f t="shared" si="38"/>
        <v>-0.10527071664512433</v>
      </c>
      <c r="H215" s="177">
        <f t="shared" si="38"/>
        <v>0.10120311394196735</v>
      </c>
    </row>
    <row r="216" spans="1:12" x14ac:dyDescent="0.2">
      <c r="A216" s="148">
        <f t="shared" si="35"/>
        <v>2015</v>
      </c>
      <c r="B216" s="177">
        <f t="shared" si="36"/>
        <v>7.9783120171288413E-3</v>
      </c>
      <c r="C216" s="177">
        <f t="shared" si="38"/>
        <v>1.5061681170507768E-2</v>
      </c>
      <c r="D216" s="177">
        <f t="shared" si="38"/>
        <v>-3.9798488664987253E-2</v>
      </c>
      <c r="E216" s="177">
        <f t="shared" si="38"/>
        <v>0</v>
      </c>
      <c r="F216" s="177">
        <f t="shared" si="38"/>
        <v>1.2160369478702027E-3</v>
      </c>
      <c r="G216" s="177">
        <f t="shared" si="38"/>
        <v>-7.8651685393257287E-3</v>
      </c>
      <c r="H216" s="177">
        <f t="shared" si="38"/>
        <v>-1.0282776349614275E-2</v>
      </c>
    </row>
    <row r="217" spans="1:12" x14ac:dyDescent="0.2">
      <c r="A217" s="148">
        <f t="shared" si="35"/>
        <v>2016</v>
      </c>
      <c r="B217" s="177">
        <f t="shared" si="36"/>
        <v>9.0620532577354584E-3</v>
      </c>
      <c r="C217" s="177">
        <f t="shared" si="38"/>
        <v>8.4789674501850598E-4</v>
      </c>
      <c r="D217" s="177">
        <f t="shared" si="38"/>
        <v>1.0493179433368471E-3</v>
      </c>
      <c r="E217" s="177">
        <f t="shared" si="38"/>
        <v>-1</v>
      </c>
      <c r="F217" s="177">
        <f t="shared" si="38"/>
        <v>4.7723620124890953E-3</v>
      </c>
      <c r="G217" s="177">
        <f t="shared" si="38"/>
        <v>-1.229574502507691E-2</v>
      </c>
      <c r="H217" s="177">
        <f t="shared" si="38"/>
        <v>1.8181818181818077E-2</v>
      </c>
    </row>
    <row r="218" spans="1:12" x14ac:dyDescent="0.2">
      <c r="A218" s="148" t="s">
        <v>124</v>
      </c>
      <c r="B218" s="177">
        <f>'Rate Class Customer Model'!B38-1</f>
        <v>9.7487886376503852E-3</v>
      </c>
      <c r="C218" s="177">
        <f>'Rate Class Customer Model'!C38-1</f>
        <v>3.7794763525107467E-3</v>
      </c>
      <c r="D218" s="177">
        <f>'Rate Class Customer Model'!D38-1</f>
        <v>-2.8812569015250644E-2</v>
      </c>
      <c r="E218" s="177"/>
      <c r="F218" s="177">
        <f>'Rate Class Customer Model'!F38-1</f>
        <v>4.4714024828522714E-3</v>
      </c>
      <c r="G218" s="177">
        <f>'Rate Class Customer Model'!G38-1</f>
        <v>-2.8716686585011697E-2</v>
      </c>
      <c r="H218" s="177">
        <f>'Rate Class Customer Model'!H38-1</f>
        <v>1.0669794513433306E-2</v>
      </c>
    </row>
    <row r="219" spans="1:12" x14ac:dyDescent="0.2">
      <c r="L219" s="51"/>
    </row>
    <row r="220" spans="1:12" x14ac:dyDescent="0.2">
      <c r="A220" s="279" t="s">
        <v>148</v>
      </c>
      <c r="B220" s="279"/>
      <c r="C220" s="279"/>
      <c r="D220" s="279"/>
      <c r="E220" s="279"/>
      <c r="F220" s="279"/>
      <c r="L220" s="162"/>
    </row>
    <row r="221" spans="1:12" ht="51" x14ac:dyDescent="0.2">
      <c r="A221" s="136" t="s">
        <v>95</v>
      </c>
      <c r="B221" s="147" t="str">
        <f>B182</f>
        <v xml:space="preserve">Residential </v>
      </c>
      <c r="C221" s="147" t="str">
        <f t="shared" ref="C221:H221" si="39">C182</f>
        <v>General Service 
&lt; 50 kW</v>
      </c>
      <c r="D221" s="147" t="str">
        <f t="shared" si="39"/>
        <v>General Service 
50 to 
4,999 kW</v>
      </c>
      <c r="E221" s="147" t="str">
        <f t="shared" si="39"/>
        <v>Large User</v>
      </c>
      <c r="F221" s="147" t="str">
        <f t="shared" si="39"/>
        <v xml:space="preserve">Street Lights </v>
      </c>
      <c r="G221" s="147" t="str">
        <f t="shared" si="39"/>
        <v>Sentinel Lights</v>
      </c>
      <c r="H221" s="147" t="str">
        <f t="shared" si="39"/>
        <v xml:space="preserve">Unmetered Scattered Loads </v>
      </c>
      <c r="I221" s="147" t="str">
        <f>I182</f>
        <v>Total</v>
      </c>
    </row>
    <row r="222" spans="1:12" x14ac:dyDescent="0.2">
      <c r="A222" s="283" t="s">
        <v>125</v>
      </c>
      <c r="B222" s="283"/>
      <c r="C222" s="283"/>
      <c r="D222" s="283"/>
      <c r="E222" s="283"/>
      <c r="F222" s="283"/>
      <c r="G222" s="283"/>
      <c r="H222" s="283"/>
      <c r="I222" s="283"/>
    </row>
    <row r="223" spans="1:12" x14ac:dyDescent="0.2">
      <c r="A223" s="151" t="str">
        <f>A176</f>
        <v>2017 Test</v>
      </c>
      <c r="B223" s="173">
        <f>'Rate Class Customer Model'!B18</f>
        <v>21025.494151407474</v>
      </c>
      <c r="C223" s="173">
        <f>'Rate Class Customer Model'!C18</f>
        <v>1777.2752111718162</v>
      </c>
      <c r="D223" s="173">
        <f>'Rate Class Customer Model'!D18</f>
        <v>154.41880152657515</v>
      </c>
      <c r="E223" s="173">
        <f>'Rate Class Customer Model'!E18</f>
        <v>0</v>
      </c>
      <c r="F223" s="173">
        <f>'Rate Class Customer Model'!F18</f>
        <v>6855.5173219454664</v>
      </c>
      <c r="G223" s="173">
        <f>'Rate Class Customer Model'!G18</f>
        <v>508.75</v>
      </c>
      <c r="H223" s="173">
        <f>'Rate Class Customer Model'!H18</f>
        <v>261.33333333333331</v>
      </c>
      <c r="I223" s="173">
        <f>SUM(B223:H223)</f>
        <v>30582.788819384663</v>
      </c>
    </row>
    <row r="225" spans="1:11" x14ac:dyDescent="0.2">
      <c r="A225" s="293" t="s">
        <v>149</v>
      </c>
      <c r="B225" s="294"/>
      <c r="C225" s="294"/>
      <c r="D225" s="294"/>
      <c r="E225" s="294"/>
      <c r="F225" s="294"/>
      <c r="G225" s="294"/>
      <c r="H225" s="294"/>
    </row>
    <row r="226" spans="1:11" ht="51" x14ac:dyDescent="0.2">
      <c r="A226" s="146" t="s">
        <v>95</v>
      </c>
      <c r="B226" s="137" t="str">
        <f t="shared" ref="B226:H226" si="40">B221</f>
        <v xml:space="preserve">Residential </v>
      </c>
      <c r="C226" s="137" t="str">
        <f t="shared" si="40"/>
        <v>General Service 
&lt; 50 kW</v>
      </c>
      <c r="D226" s="137" t="str">
        <f t="shared" si="40"/>
        <v>General Service 
50 to 
4,999 kW</v>
      </c>
      <c r="E226" s="137" t="str">
        <f t="shared" si="40"/>
        <v>Large User</v>
      </c>
      <c r="F226" s="137" t="str">
        <f t="shared" si="40"/>
        <v xml:space="preserve">Street Lights </v>
      </c>
      <c r="G226" s="137" t="str">
        <f t="shared" si="40"/>
        <v>Sentinel Lights</v>
      </c>
      <c r="H226" s="137" t="str">
        <f t="shared" si="40"/>
        <v xml:space="preserve">Unmetered Scattered Loads </v>
      </c>
      <c r="K226" s="162"/>
    </row>
    <row r="227" spans="1:11" x14ac:dyDescent="0.2">
      <c r="A227" s="283" t="s">
        <v>126</v>
      </c>
      <c r="B227" s="283"/>
      <c r="C227" s="283"/>
      <c r="D227" s="283"/>
      <c r="E227" s="283"/>
      <c r="F227" s="283"/>
      <c r="G227" s="283"/>
      <c r="H227" s="283"/>
      <c r="K227" s="180"/>
    </row>
    <row r="228" spans="1:11" x14ac:dyDescent="0.2">
      <c r="A228" s="187">
        <f t="shared" ref="A228:A242" si="41">A203</f>
        <v>2002</v>
      </c>
      <c r="B228" s="173">
        <f t="shared" ref="B228:H241" si="42">B106</f>
        <v>9008.5822186159094</v>
      </c>
      <c r="C228" s="173">
        <f t="shared" si="42"/>
        <v>28545.064108365586</v>
      </c>
      <c r="D228" s="173">
        <f t="shared" si="42"/>
        <v>921365.4200904977</v>
      </c>
      <c r="E228" s="173">
        <f t="shared" si="42"/>
        <v>48139425.472500004</v>
      </c>
      <c r="F228" s="173">
        <f t="shared" si="42"/>
        <v>714.13794985768311</v>
      </c>
      <c r="G228" s="173">
        <f t="shared" si="42"/>
        <v>795.5875816993464</v>
      </c>
      <c r="H228" s="173">
        <f t="shared" si="42"/>
        <v>4500.9371365149827</v>
      </c>
      <c r="K228" s="181"/>
    </row>
    <row r="229" spans="1:11" x14ac:dyDescent="0.2">
      <c r="A229" s="148">
        <f t="shared" si="41"/>
        <v>2003</v>
      </c>
      <c r="B229" s="173">
        <f t="shared" si="42"/>
        <v>8613.6664969440826</v>
      </c>
      <c r="C229" s="173">
        <f t="shared" si="42"/>
        <v>27585.458970908374</v>
      </c>
      <c r="D229" s="173">
        <f t="shared" si="42"/>
        <v>630984.26909862144</v>
      </c>
      <c r="E229" s="173">
        <f t="shared" si="42"/>
        <v>42958797.81818182</v>
      </c>
      <c r="F229" s="173">
        <f t="shared" si="42"/>
        <v>719.91095625241962</v>
      </c>
      <c r="G229" s="173">
        <f t="shared" si="42"/>
        <v>1352.846876992415</v>
      </c>
      <c r="H229" s="173">
        <f t="shared" si="42"/>
        <v>5348.6929347429823</v>
      </c>
      <c r="K229" s="182"/>
    </row>
    <row r="230" spans="1:11" x14ac:dyDescent="0.2">
      <c r="A230" s="148">
        <f t="shared" si="41"/>
        <v>2004</v>
      </c>
      <c r="B230" s="173">
        <f t="shared" si="42"/>
        <v>8552.2741841837342</v>
      </c>
      <c r="C230" s="173">
        <f t="shared" si="42"/>
        <v>29672.070684822978</v>
      </c>
      <c r="D230" s="173">
        <f t="shared" si="42"/>
        <v>673710.4416166282</v>
      </c>
      <c r="E230" s="173">
        <f t="shared" si="42"/>
        <v>43500920.117647059</v>
      </c>
      <c r="F230" s="173">
        <f t="shared" si="42"/>
        <v>721.80689193365617</v>
      </c>
      <c r="G230" s="173">
        <f t="shared" si="42"/>
        <v>1371.8134014436428</v>
      </c>
      <c r="H230" s="173">
        <f t="shared" si="42"/>
        <v>5146.8879024740045</v>
      </c>
      <c r="K230" s="182"/>
    </row>
    <row r="231" spans="1:11" x14ac:dyDescent="0.2">
      <c r="A231" s="148">
        <f t="shared" si="41"/>
        <v>2005</v>
      </c>
      <c r="B231" s="173">
        <f t="shared" si="42"/>
        <v>9113.0496938784581</v>
      </c>
      <c r="C231" s="173">
        <f t="shared" si="42"/>
        <v>31097.860695909312</v>
      </c>
      <c r="D231" s="173">
        <f t="shared" si="42"/>
        <v>707333.15408653836</v>
      </c>
      <c r="E231" s="173">
        <f t="shared" si="42"/>
        <v>43892175.882352941</v>
      </c>
      <c r="F231" s="173">
        <f t="shared" si="42"/>
        <v>716.81771938345128</v>
      </c>
      <c r="G231" s="173">
        <f t="shared" si="42"/>
        <v>1352.7219749746364</v>
      </c>
      <c r="H231" s="173">
        <f t="shared" si="42"/>
        <v>5126.4452564102576</v>
      </c>
    </row>
    <row r="232" spans="1:11" x14ac:dyDescent="0.2">
      <c r="A232" s="148">
        <f t="shared" si="41"/>
        <v>2006</v>
      </c>
      <c r="B232" s="173">
        <f t="shared" si="42"/>
        <v>8495.6814341478039</v>
      </c>
      <c r="C232" s="173">
        <f t="shared" si="42"/>
        <v>30181.829280575541</v>
      </c>
      <c r="D232" s="173">
        <f t="shared" si="42"/>
        <v>704885.76877697848</v>
      </c>
      <c r="E232" s="173">
        <f t="shared" si="42"/>
        <v>37292695.333333336</v>
      </c>
      <c r="F232" s="173">
        <f t="shared" si="42"/>
        <v>714.97876558270752</v>
      </c>
      <c r="G232" s="173">
        <f t="shared" si="42"/>
        <v>1380.310915917624</v>
      </c>
      <c r="H232" s="173">
        <f t="shared" si="42"/>
        <v>5187.807839484055</v>
      </c>
      <c r="K232" s="162"/>
    </row>
    <row r="233" spans="1:11" x14ac:dyDescent="0.2">
      <c r="A233" s="148">
        <f t="shared" si="41"/>
        <v>2007</v>
      </c>
      <c r="B233" s="173">
        <f t="shared" si="42"/>
        <v>8573.1022920413761</v>
      </c>
      <c r="C233" s="173">
        <f t="shared" si="42"/>
        <v>32246.87495321461</v>
      </c>
      <c r="D233" s="173">
        <f t="shared" si="42"/>
        <v>840641.57979399164</v>
      </c>
      <c r="E233" s="173">
        <f t="shared" si="42"/>
        <v>34146528.413793102</v>
      </c>
      <c r="F233" s="173">
        <f t="shared" si="42"/>
        <v>709.68266854924116</v>
      </c>
      <c r="G233" s="173">
        <f t="shared" si="42"/>
        <v>1392.1179841476396</v>
      </c>
      <c r="H233" s="173">
        <f t="shared" si="42"/>
        <v>4938.8325323741001</v>
      </c>
    </row>
    <row r="234" spans="1:11" x14ac:dyDescent="0.2">
      <c r="A234" s="148">
        <f t="shared" si="41"/>
        <v>2008</v>
      </c>
      <c r="B234" s="173">
        <f t="shared" si="42"/>
        <v>8253.5964288140458</v>
      </c>
      <c r="C234" s="173">
        <f t="shared" si="42"/>
        <v>32854.336865026104</v>
      </c>
      <c r="D234" s="173">
        <f t="shared" si="42"/>
        <v>823340.29395744682</v>
      </c>
      <c r="E234" s="173">
        <f t="shared" si="42"/>
        <v>41072994.399999999</v>
      </c>
      <c r="F234" s="173">
        <f t="shared" si="42"/>
        <v>708.28198433420368</v>
      </c>
      <c r="G234" s="173">
        <f t="shared" si="42"/>
        <v>1378.3097532656025</v>
      </c>
      <c r="H234" s="173">
        <f t="shared" si="42"/>
        <v>4990.4983189655168</v>
      </c>
    </row>
    <row r="235" spans="1:11" x14ac:dyDescent="0.2">
      <c r="A235" s="148">
        <f t="shared" si="41"/>
        <v>2009</v>
      </c>
      <c r="B235" s="173">
        <f t="shared" si="42"/>
        <v>7907.2396588349729</v>
      </c>
      <c r="C235" s="173">
        <f t="shared" si="42"/>
        <v>32330.850801696084</v>
      </c>
      <c r="D235" s="173">
        <f t="shared" si="42"/>
        <v>792861.85036603233</v>
      </c>
      <c r="E235" s="173">
        <f t="shared" si="42"/>
        <v>19261445.199999999</v>
      </c>
      <c r="F235" s="173">
        <f t="shared" si="42"/>
        <v>699.30922956541178</v>
      </c>
      <c r="G235" s="173">
        <f t="shared" si="42"/>
        <v>1548.8846101029917</v>
      </c>
      <c r="H235" s="173">
        <f t="shared" si="42"/>
        <v>4997.0773535791759</v>
      </c>
    </row>
    <row r="236" spans="1:11" x14ac:dyDescent="0.2">
      <c r="A236" s="148">
        <f t="shared" si="41"/>
        <v>2010</v>
      </c>
      <c r="B236" s="173">
        <f t="shared" si="42"/>
        <v>8219.1313059362292</v>
      </c>
      <c r="C236" s="173">
        <f t="shared" si="42"/>
        <v>32049.487180599372</v>
      </c>
      <c r="D236" s="173">
        <f t="shared" si="42"/>
        <v>841000.83058027073</v>
      </c>
      <c r="E236" s="173">
        <f t="shared" si="42"/>
        <v>45292056.75</v>
      </c>
      <c r="F236" s="173">
        <f t="shared" si="42"/>
        <v>697.65635976846579</v>
      </c>
      <c r="G236" s="173">
        <f t="shared" si="42"/>
        <v>1338.348662576687</v>
      </c>
      <c r="H236" s="173">
        <f t="shared" si="42"/>
        <v>4964.2530693069311</v>
      </c>
    </row>
    <row r="237" spans="1:11" x14ac:dyDescent="0.2">
      <c r="A237" s="148">
        <f t="shared" si="41"/>
        <v>2011</v>
      </c>
      <c r="B237" s="173">
        <f t="shared" si="42"/>
        <v>8044.9715042860125</v>
      </c>
      <c r="C237" s="173">
        <f t="shared" si="42"/>
        <v>32195.13847771443</v>
      </c>
      <c r="D237" s="173">
        <f t="shared" si="42"/>
        <v>884750.78766058455</v>
      </c>
      <c r="E237" s="173">
        <f t="shared" si="42"/>
        <v>59993492</v>
      </c>
      <c r="F237" s="173">
        <f t="shared" si="42"/>
        <v>701.93604392343082</v>
      </c>
      <c r="G237" s="173">
        <f t="shared" si="42"/>
        <v>1348.1993027127201</v>
      </c>
      <c r="H237" s="173">
        <f t="shared" si="42"/>
        <v>4961.5125880241167</v>
      </c>
    </row>
    <row r="238" spans="1:11" x14ac:dyDescent="0.2">
      <c r="A238" s="148">
        <f t="shared" si="41"/>
        <v>2012</v>
      </c>
      <c r="B238" s="173">
        <f t="shared" si="42"/>
        <v>7915.5289534970461</v>
      </c>
      <c r="C238" s="173">
        <f t="shared" si="42"/>
        <v>29444.951437260868</v>
      </c>
      <c r="D238" s="173">
        <f t="shared" si="42"/>
        <v>816397.49681143218</v>
      </c>
      <c r="E238" s="173">
        <f t="shared" si="42"/>
        <v>48424320</v>
      </c>
      <c r="F238" s="173">
        <f t="shared" si="42"/>
        <v>663.68475120385233</v>
      </c>
      <c r="G238" s="173">
        <f t="shared" si="42"/>
        <v>1354.8436206222457</v>
      </c>
      <c r="H238" s="173">
        <f t="shared" si="42"/>
        <v>4917.9364435695261</v>
      </c>
    </row>
    <row r="239" spans="1:11" x14ac:dyDescent="0.2">
      <c r="A239" s="148">
        <f t="shared" si="41"/>
        <v>2013</v>
      </c>
      <c r="B239" s="173">
        <f t="shared" si="42"/>
        <v>7832.1605171286528</v>
      </c>
      <c r="C239" s="173">
        <f t="shared" si="42"/>
        <v>31042.99499558434</v>
      </c>
      <c r="D239" s="173">
        <f t="shared" si="42"/>
        <v>800096.27606177609</v>
      </c>
      <c r="E239" s="173">
        <f t="shared" si="42"/>
        <v>44784691</v>
      </c>
      <c r="F239" s="173">
        <f t="shared" si="42"/>
        <v>419.58046393843654</v>
      </c>
      <c r="G239" s="173">
        <f t="shared" si="42"/>
        <v>1349.4011202068075</v>
      </c>
      <c r="H239" s="173">
        <f t="shared" si="42"/>
        <v>4200.6369426751589</v>
      </c>
    </row>
    <row r="240" spans="1:11" x14ac:dyDescent="0.2">
      <c r="A240" s="148">
        <f t="shared" si="41"/>
        <v>2014</v>
      </c>
      <c r="B240" s="173">
        <f t="shared" si="42"/>
        <v>7726.8349547759963</v>
      </c>
      <c r="C240" s="173">
        <f t="shared" si="42"/>
        <v>30928.378502438558</v>
      </c>
      <c r="D240" s="173">
        <f t="shared" si="42"/>
        <v>871692.90075566759</v>
      </c>
      <c r="E240" s="173">
        <f t="shared" si="42"/>
        <v>20367511</v>
      </c>
      <c r="F240" s="173">
        <f t="shared" si="42"/>
        <v>368.99395666486515</v>
      </c>
      <c r="G240" s="173">
        <f t="shared" si="42"/>
        <v>1477.7508828250402</v>
      </c>
      <c r="H240" s="173">
        <f t="shared" si="42"/>
        <v>3728.5796915167098</v>
      </c>
    </row>
    <row r="241" spans="1:11" x14ac:dyDescent="0.2">
      <c r="A241" s="148">
        <f t="shared" si="41"/>
        <v>2015</v>
      </c>
      <c r="B241" s="173">
        <f t="shared" si="42"/>
        <v>7655.434518184682</v>
      </c>
      <c r="C241" s="173">
        <f t="shared" si="42"/>
        <v>30700.986763389705</v>
      </c>
      <c r="D241" s="173">
        <f t="shared" si="42"/>
        <v>880148.76390346268</v>
      </c>
      <c r="E241" s="173">
        <f t="shared" si="42"/>
        <v>277079</v>
      </c>
      <c r="F241" s="173">
        <f t="shared" si="42"/>
        <v>336.35023493761582</v>
      </c>
      <c r="G241" s="173">
        <f t="shared" si="42"/>
        <v>1463.7709108558486</v>
      </c>
      <c r="H241" s="173">
        <f t="shared" si="42"/>
        <v>3779.3805194805191</v>
      </c>
    </row>
    <row r="242" spans="1:11" x14ac:dyDescent="0.2">
      <c r="A242" s="148">
        <f t="shared" si="41"/>
        <v>2016</v>
      </c>
      <c r="B242" s="173">
        <f>B120</f>
        <v>7833.3384559971182</v>
      </c>
      <c r="C242" s="173">
        <f t="shared" ref="C242:H242" si="43">C120</f>
        <v>30241.78076904975</v>
      </c>
      <c r="D242" s="173">
        <f t="shared" si="43"/>
        <v>902085.98113207542</v>
      </c>
      <c r="E242" s="173">
        <f t="shared" si="43"/>
        <v>0</v>
      </c>
      <c r="F242" s="173">
        <f t="shared" si="43"/>
        <v>230.83164835164834</v>
      </c>
      <c r="G242" s="173">
        <f t="shared" si="43"/>
        <v>1473.0948402948402</v>
      </c>
      <c r="H242" s="173">
        <f t="shared" si="43"/>
        <v>3737.4030612244901</v>
      </c>
      <c r="I242" s="175"/>
      <c r="J242" s="175"/>
    </row>
    <row r="244" spans="1:11" x14ac:dyDescent="0.2">
      <c r="A244" s="279" t="s">
        <v>150</v>
      </c>
      <c r="B244" s="279"/>
      <c r="C244" s="279"/>
      <c r="D244" s="279"/>
      <c r="E244" s="279"/>
      <c r="F244" s="279"/>
      <c r="G244" s="279"/>
      <c r="H244" s="279"/>
    </row>
    <row r="245" spans="1:11" ht="51" x14ac:dyDescent="0.2">
      <c r="A245" s="136" t="s">
        <v>95</v>
      </c>
      <c r="B245" s="137" t="str">
        <f>B226</f>
        <v xml:space="preserve">Residential </v>
      </c>
      <c r="C245" s="137" t="str">
        <f t="shared" ref="C245:H245" si="44">C226</f>
        <v>General Service 
&lt; 50 kW</v>
      </c>
      <c r="D245" s="137" t="str">
        <f t="shared" si="44"/>
        <v>General Service 
50 to 
4,999 kW</v>
      </c>
      <c r="E245" s="137" t="str">
        <f t="shared" si="44"/>
        <v>Large User</v>
      </c>
      <c r="F245" s="137" t="str">
        <f t="shared" si="44"/>
        <v xml:space="preserve">Street Lights </v>
      </c>
      <c r="G245" s="137" t="str">
        <f t="shared" si="44"/>
        <v>Sentinel Lights</v>
      </c>
      <c r="H245" s="137" t="str">
        <f t="shared" si="44"/>
        <v xml:space="preserve">Unmetered Scattered Loads </v>
      </c>
      <c r="K245" s="183"/>
    </row>
    <row r="246" spans="1:11" x14ac:dyDescent="0.2">
      <c r="A246" s="283" t="s">
        <v>127</v>
      </c>
      <c r="B246" s="283"/>
      <c r="C246" s="283"/>
      <c r="D246" s="283"/>
      <c r="E246" s="283"/>
      <c r="F246" s="283"/>
      <c r="G246" s="283"/>
      <c r="H246" s="283"/>
      <c r="K246" s="180"/>
    </row>
    <row r="247" spans="1:11" x14ac:dyDescent="0.2">
      <c r="A247" s="148">
        <f t="shared" ref="A247:A261" si="45">A228</f>
        <v>2002</v>
      </c>
      <c r="B247" s="177"/>
      <c r="C247" s="177"/>
      <c r="D247" s="177"/>
      <c r="E247" s="177"/>
      <c r="F247" s="177"/>
      <c r="G247" s="177"/>
      <c r="H247" s="177"/>
      <c r="K247" s="181"/>
    </row>
    <row r="248" spans="1:11" x14ac:dyDescent="0.2">
      <c r="A248" s="148">
        <f t="shared" si="45"/>
        <v>2003</v>
      </c>
      <c r="B248" s="177">
        <f>B229/B228-1</f>
        <v>-4.3837721862131418E-2</v>
      </c>
      <c r="C248" s="177">
        <f t="shared" ref="C248:G248" si="46">C229/C228-1</f>
        <v>-3.3617200291240046E-2</v>
      </c>
      <c r="D248" s="177">
        <f t="shared" si="46"/>
        <v>-0.31516393459107095</v>
      </c>
      <c r="E248" s="177">
        <f t="shared" si="46"/>
        <v>-0.10761714755564866</v>
      </c>
      <c r="F248" s="177">
        <f t="shared" si="46"/>
        <v>8.0838812667594073E-3</v>
      </c>
      <c r="G248" s="177">
        <f t="shared" si="46"/>
        <v>0.70043739760590884</v>
      </c>
      <c r="H248" s="177">
        <f>H229/H228-1</f>
        <v>0.18835095281610759</v>
      </c>
      <c r="K248" s="182"/>
    </row>
    <row r="249" spans="1:11" x14ac:dyDescent="0.2">
      <c r="A249" s="148">
        <f t="shared" si="45"/>
        <v>2004</v>
      </c>
      <c r="B249" s="177">
        <f t="shared" ref="B249:G261" si="47">B230/B229-1</f>
        <v>-7.1273148063172309E-3</v>
      </c>
      <c r="C249" s="177">
        <f t="shared" si="47"/>
        <v>7.5641725450903197E-2</v>
      </c>
      <c r="D249" s="177">
        <f t="shared" si="47"/>
        <v>6.7713530448298309E-2</v>
      </c>
      <c r="E249" s="177">
        <f t="shared" si="47"/>
        <v>1.2619587302226343E-2</v>
      </c>
      <c r="F249" s="177">
        <f t="shared" si="47"/>
        <v>2.6335697002113356E-3</v>
      </c>
      <c r="G249" s="177">
        <f t="shared" si="47"/>
        <v>1.4019712632514114E-2</v>
      </c>
      <c r="H249" s="177">
        <f t="shared" ref="H249" si="48">H230/H229-1</f>
        <v>-3.7729784590573967E-2</v>
      </c>
      <c r="K249" s="182"/>
    </row>
    <row r="250" spans="1:11" x14ac:dyDescent="0.2">
      <c r="A250" s="148">
        <f t="shared" si="45"/>
        <v>2005</v>
      </c>
      <c r="B250" s="177">
        <f t="shared" si="47"/>
        <v>6.5570338089931957E-2</v>
      </c>
      <c r="C250" s="177">
        <f t="shared" si="47"/>
        <v>4.8051584475889531E-2</v>
      </c>
      <c r="D250" s="177">
        <f t="shared" si="47"/>
        <v>4.9906770613840301E-2</v>
      </c>
      <c r="E250" s="177">
        <f t="shared" si="47"/>
        <v>8.9941951491541161E-3</v>
      </c>
      <c r="F250" s="177">
        <f t="shared" si="47"/>
        <v>-6.9120600065750715E-3</v>
      </c>
      <c r="G250" s="177">
        <f t="shared" si="47"/>
        <v>-1.3916926638065541E-2</v>
      </c>
      <c r="H250" s="177">
        <f t="shared" ref="H250" si="49">H231/H230-1</f>
        <v>-3.9718459875375256E-3</v>
      </c>
      <c r="K250" s="181"/>
    </row>
    <row r="251" spans="1:11" x14ac:dyDescent="0.2">
      <c r="A251" s="148">
        <f t="shared" si="45"/>
        <v>2006</v>
      </c>
      <c r="B251" s="177">
        <f t="shared" si="47"/>
        <v>-6.7745516645800974E-2</v>
      </c>
      <c r="C251" s="177">
        <f t="shared" si="47"/>
        <v>-2.9456412590280423E-2</v>
      </c>
      <c r="D251" s="177">
        <f t="shared" si="47"/>
        <v>-3.4600178083274979E-3</v>
      </c>
      <c r="E251" s="177">
        <f t="shared" si="47"/>
        <v>-0.15035665050437741</v>
      </c>
      <c r="F251" s="177">
        <f t="shared" si="47"/>
        <v>-2.5654413263186404E-3</v>
      </c>
      <c r="G251" s="177">
        <f t="shared" si="47"/>
        <v>2.0395130302740094E-2</v>
      </c>
      <c r="H251" s="177">
        <f t="shared" ref="H251" si="50">H232/H231-1</f>
        <v>1.1969811439431322E-2</v>
      </c>
      <c r="K251" s="184"/>
    </row>
    <row r="252" spans="1:11" x14ac:dyDescent="0.2">
      <c r="A252" s="148">
        <f t="shared" si="45"/>
        <v>2007</v>
      </c>
      <c r="B252" s="177">
        <f t="shared" si="47"/>
        <v>9.1129662162690028E-3</v>
      </c>
      <c r="C252" s="177">
        <f t="shared" si="47"/>
        <v>6.842016278874441E-2</v>
      </c>
      <c r="D252" s="177">
        <f t="shared" si="47"/>
        <v>0.19259263987207187</v>
      </c>
      <c r="E252" s="177">
        <f t="shared" si="47"/>
        <v>-8.4364160096738749E-2</v>
      </c>
      <c r="F252" s="177">
        <f t="shared" si="47"/>
        <v>-7.4073487051745657E-3</v>
      </c>
      <c r="G252" s="177">
        <f t="shared" si="47"/>
        <v>8.5539193335772978E-3</v>
      </c>
      <c r="H252" s="177">
        <f t="shared" ref="H252" si="51">H233/H232-1</f>
        <v>-4.7992391933837752E-2</v>
      </c>
      <c r="K252" s="184"/>
    </row>
    <row r="253" spans="1:11" x14ac:dyDescent="0.2">
      <c r="A253" s="148">
        <f t="shared" si="45"/>
        <v>2008</v>
      </c>
      <c r="B253" s="177">
        <f t="shared" si="47"/>
        <v>-3.7268406738122706E-2</v>
      </c>
      <c r="C253" s="177">
        <f t="shared" si="47"/>
        <v>1.8837853673970839E-2</v>
      </c>
      <c r="D253" s="177">
        <f t="shared" si="47"/>
        <v>-2.0581049346601099E-2</v>
      </c>
      <c r="E253" s="177">
        <f t="shared" si="47"/>
        <v>0.20284539330824125</v>
      </c>
      <c r="F253" s="177">
        <f t="shared" si="47"/>
        <v>-1.9736767954342538E-3</v>
      </c>
      <c r="G253" s="177">
        <f t="shared" si="47"/>
        <v>-9.9188653830167839E-3</v>
      </c>
      <c r="H253" s="177">
        <f t="shared" ref="H253" si="52">H234/H233-1</f>
        <v>1.0461133527558841E-2</v>
      </c>
      <c r="K253" s="181"/>
    </row>
    <row r="254" spans="1:11" x14ac:dyDescent="0.2">
      <c r="A254" s="148">
        <f t="shared" si="45"/>
        <v>2009</v>
      </c>
      <c r="B254" s="177">
        <f t="shared" si="47"/>
        <v>-4.1964345236206402E-2</v>
      </c>
      <c r="C254" s="177">
        <f t="shared" si="47"/>
        <v>-1.5933545257073134E-2</v>
      </c>
      <c r="D254" s="177">
        <f t="shared" si="47"/>
        <v>-3.7018039582294215E-2</v>
      </c>
      <c r="E254" s="177">
        <f t="shared" si="47"/>
        <v>-0.53104356082691651</v>
      </c>
      <c r="F254" s="177">
        <f t="shared" si="47"/>
        <v>-1.2668336859120388E-2</v>
      </c>
      <c r="G254" s="177">
        <f t="shared" si="47"/>
        <v>0.12375654778125855</v>
      </c>
      <c r="H254" s="177">
        <f t="shared" ref="H254" si="53">H235/H234-1</f>
        <v>1.3183121590596425E-3</v>
      </c>
      <c r="K254" s="181"/>
    </row>
    <row r="255" spans="1:11" x14ac:dyDescent="0.2">
      <c r="A255" s="148">
        <f t="shared" si="45"/>
        <v>2010</v>
      </c>
      <c r="B255" s="177">
        <f t="shared" si="47"/>
        <v>3.9443808529664448E-2</v>
      </c>
      <c r="C255" s="177">
        <f t="shared" si="47"/>
        <v>-8.7026358453254904E-3</v>
      </c>
      <c r="D255" s="177">
        <f t="shared" si="47"/>
        <v>6.0715470408892358E-2</v>
      </c>
      <c r="E255" s="177">
        <f t="shared" si="47"/>
        <v>1.3514360568333679</v>
      </c>
      <c r="F255" s="177">
        <f t="shared" si="47"/>
        <v>-2.3635749780868132E-3</v>
      </c>
      <c r="G255" s="177">
        <f t="shared" si="47"/>
        <v>-0.13592745783193316</v>
      </c>
      <c r="H255" s="177">
        <f t="shared" ref="H255" si="54">H236/H235-1</f>
        <v>-6.5686964498826717E-3</v>
      </c>
      <c r="K255" s="181"/>
    </row>
    <row r="256" spans="1:11" x14ac:dyDescent="0.2">
      <c r="A256" s="148">
        <f t="shared" si="45"/>
        <v>2011</v>
      </c>
      <c r="B256" s="177">
        <f t="shared" si="47"/>
        <v>-2.1189563126267408E-2</v>
      </c>
      <c r="C256" s="177">
        <f t="shared" si="47"/>
        <v>4.5445749660302237E-3</v>
      </c>
      <c r="D256" s="177">
        <f t="shared" si="47"/>
        <v>5.202130068067512E-2</v>
      </c>
      <c r="E256" s="177">
        <f t="shared" si="47"/>
        <v>0.3245919109204507</v>
      </c>
      <c r="F256" s="177">
        <f t="shared" si="47"/>
        <v>6.1343727395897218E-3</v>
      </c>
      <c r="G256" s="177">
        <f t="shared" si="47"/>
        <v>7.3602943773021234E-3</v>
      </c>
      <c r="H256" s="177">
        <f t="shared" ref="H256" si="55">H237/H236-1</f>
        <v>-5.520430253159736E-4</v>
      </c>
      <c r="K256" s="181"/>
    </row>
    <row r="257" spans="1:12" x14ac:dyDescent="0.2">
      <c r="A257" s="148">
        <f t="shared" si="45"/>
        <v>2012</v>
      </c>
      <c r="B257" s="177">
        <f t="shared" si="47"/>
        <v>-1.6089870637826964E-2</v>
      </c>
      <c r="C257" s="177">
        <f t="shared" si="47"/>
        <v>-8.5422432407217364E-2</v>
      </c>
      <c r="D257" s="177">
        <f t="shared" si="47"/>
        <v>-7.7257112174931031E-2</v>
      </c>
      <c r="E257" s="177">
        <f t="shared" si="47"/>
        <v>-0.19284045009415351</v>
      </c>
      <c r="F257" s="177">
        <f t="shared" si="47"/>
        <v>-5.4493985671080658E-2</v>
      </c>
      <c r="G257" s="177">
        <f t="shared" si="47"/>
        <v>4.9282905696186319E-3</v>
      </c>
      <c r="H257" s="177">
        <f t="shared" ref="H257" si="56">H238/H237-1</f>
        <v>-8.7828346056750828E-3</v>
      </c>
      <c r="K257" s="181"/>
    </row>
    <row r="258" spans="1:12" x14ac:dyDescent="0.2">
      <c r="A258" s="148">
        <f t="shared" si="45"/>
        <v>2013</v>
      </c>
      <c r="B258" s="177">
        <f t="shared" si="47"/>
        <v>-1.0532263460619529E-2</v>
      </c>
      <c r="C258" s="177">
        <f t="shared" si="47"/>
        <v>5.4272242959152672E-2</v>
      </c>
      <c r="D258" s="177">
        <f t="shared" si="47"/>
        <v>-1.9967259592689857E-2</v>
      </c>
      <c r="E258" s="177">
        <f t="shared" si="47"/>
        <v>-7.516117934128963E-2</v>
      </c>
      <c r="F258" s="177">
        <f t="shared" si="47"/>
        <v>-0.36780156063950098</v>
      </c>
      <c r="G258" s="177">
        <f t="shared" si="47"/>
        <v>-4.0170690791152541E-3</v>
      </c>
      <c r="H258" s="177">
        <f t="shared" ref="H258" si="57">H239/H238-1</f>
        <v>-0.14585375576219084</v>
      </c>
      <c r="K258" s="181"/>
    </row>
    <row r="259" spans="1:12" x14ac:dyDescent="0.2">
      <c r="A259" s="148">
        <f t="shared" si="45"/>
        <v>2014</v>
      </c>
      <c r="B259" s="177">
        <f t="shared" si="47"/>
        <v>-1.3447829896018226E-2</v>
      </c>
      <c r="C259" s="177">
        <f t="shared" si="47"/>
        <v>-3.6921854080795846E-3</v>
      </c>
      <c r="D259" s="177">
        <f t="shared" si="47"/>
        <v>8.9485011786710755E-2</v>
      </c>
      <c r="E259" s="177">
        <f t="shared" si="47"/>
        <v>-0.54521264867050223</v>
      </c>
      <c r="F259" s="177">
        <f t="shared" si="47"/>
        <v>-0.12056449625594046</v>
      </c>
      <c r="G259" s="177">
        <f t="shared" si="47"/>
        <v>9.5116093129196555E-2</v>
      </c>
      <c r="H259" s="177">
        <f t="shared" ref="H259" si="58">H240/H239-1</f>
        <v>-0.1123775412158855</v>
      </c>
      <c r="K259" s="181"/>
    </row>
    <row r="260" spans="1:12" x14ac:dyDescent="0.2">
      <c r="A260" s="148">
        <f t="shared" si="45"/>
        <v>2015</v>
      </c>
      <c r="B260" s="177">
        <f t="shared" si="47"/>
        <v>-9.2405800058122933E-3</v>
      </c>
      <c r="C260" s="177">
        <f t="shared" si="47"/>
        <v>-7.3522037060858025E-3</v>
      </c>
      <c r="D260" s="177">
        <f t="shared" si="47"/>
        <v>9.7005070713145347E-3</v>
      </c>
      <c r="E260" s="177">
        <f t="shared" si="47"/>
        <v>-0.98639603042315771</v>
      </c>
      <c r="F260" s="177">
        <f t="shared" si="47"/>
        <v>-8.846681940890877E-2</v>
      </c>
      <c r="G260" s="177">
        <f t="shared" si="47"/>
        <v>-9.4603035813898284E-3</v>
      </c>
      <c r="H260" s="177">
        <f t="shared" ref="H260:H261" si="59">H241/H240-1</f>
        <v>1.3624712938117289E-2</v>
      </c>
      <c r="K260" s="181"/>
    </row>
    <row r="261" spans="1:12" x14ac:dyDescent="0.2">
      <c r="A261" s="148">
        <f t="shared" si="45"/>
        <v>2016</v>
      </c>
      <c r="B261" s="177">
        <f t="shared" si="47"/>
        <v>2.3238907914350682E-2</v>
      </c>
      <c r="C261" s="177">
        <f t="shared" si="47"/>
        <v>-1.4957369216794913E-2</v>
      </c>
      <c r="D261" s="177">
        <f t="shared" si="47"/>
        <v>2.4924442467340491E-2</v>
      </c>
      <c r="E261" s="177">
        <f t="shared" si="47"/>
        <v>-1</v>
      </c>
      <c r="F261" s="177">
        <f t="shared" si="47"/>
        <v>-0.31371640517967359</v>
      </c>
      <c r="G261" s="177">
        <f t="shared" si="47"/>
        <v>6.3698010186170606E-3</v>
      </c>
      <c r="H261" s="177">
        <f t="shared" si="59"/>
        <v>-1.1106967938173895E-2</v>
      </c>
      <c r="K261" s="181"/>
    </row>
    <row r="262" spans="1:12" x14ac:dyDescent="0.2">
      <c r="A262" s="148" t="str">
        <f>A218</f>
        <v>Geometric Mean</v>
      </c>
      <c r="B262" s="177">
        <f>'Rate Class Energy Model'!H63-1</f>
        <v>-9.9352387591761238E-3</v>
      </c>
      <c r="C262" s="177">
        <f>'Rate Class Energy Model'!I63-1</f>
        <v>4.1328311292034847E-3</v>
      </c>
      <c r="D262" s="177">
        <f>'Rate Class Energy Model'!J63-1</f>
        <v>-1.5093514792531293E-3</v>
      </c>
      <c r="E262" s="177">
        <f>'Rate Class Energy Model'!K63-1</f>
        <v>-1</v>
      </c>
      <c r="F262" s="177">
        <f>'Rate Class Energy Model'!L63-1</f>
        <v>-7.750242867636592E-2</v>
      </c>
      <c r="G262" s="177">
        <f>'Rate Class Energy Model'!M63-1</f>
        <v>4.4985330260751466E-2</v>
      </c>
      <c r="H262" s="177">
        <f>'Rate Class Energy Model'!N63-1</f>
        <v>-1.3190421332060831E-2</v>
      </c>
      <c r="K262" s="185"/>
    </row>
    <row r="263" spans="1:12" x14ac:dyDescent="0.2">
      <c r="K263" s="185"/>
    </row>
    <row r="264" spans="1:12" x14ac:dyDescent="0.2">
      <c r="A264" s="292" t="s">
        <v>285</v>
      </c>
      <c r="B264" s="279"/>
      <c r="C264" s="279"/>
      <c r="D264" s="279"/>
      <c r="E264" s="279"/>
      <c r="F264" s="279"/>
      <c r="G264" s="279"/>
      <c r="H264" s="279"/>
    </row>
    <row r="265" spans="1:12" ht="51" x14ac:dyDescent="0.2">
      <c r="A265" s="194" t="s">
        <v>95</v>
      </c>
      <c r="B265" s="186" t="str">
        <f t="shared" ref="B265:H265" si="60">B245</f>
        <v xml:space="preserve">Residential </v>
      </c>
      <c r="C265" s="186" t="str">
        <f t="shared" si="60"/>
        <v>General Service 
&lt; 50 kW</v>
      </c>
      <c r="D265" s="186" t="str">
        <f t="shared" si="60"/>
        <v>General Service 
50 to 
4,999 kW</v>
      </c>
      <c r="E265" s="186" t="str">
        <f t="shared" si="60"/>
        <v>Large User</v>
      </c>
      <c r="F265" s="186" t="str">
        <f t="shared" si="60"/>
        <v xml:space="preserve">Street Lights </v>
      </c>
      <c r="G265" s="186" t="str">
        <f t="shared" si="60"/>
        <v>Sentinel Lights</v>
      </c>
      <c r="H265" s="186" t="str">
        <f t="shared" si="60"/>
        <v xml:space="preserve">Unmetered Scattered Loads </v>
      </c>
    </row>
    <row r="266" spans="1:12" x14ac:dyDescent="0.2">
      <c r="A266" s="283" t="s">
        <v>286</v>
      </c>
      <c r="B266" s="283"/>
      <c r="C266" s="283"/>
      <c r="D266" s="283"/>
      <c r="E266" s="283"/>
      <c r="F266" s="283"/>
      <c r="G266" s="283"/>
      <c r="H266" s="283"/>
    </row>
    <row r="267" spans="1:12" x14ac:dyDescent="0.2">
      <c r="A267" s="151" t="s">
        <v>287</v>
      </c>
      <c r="B267" s="173">
        <f>'Rate Class Energy Model'!H44</f>
        <v>7833.3384559971182</v>
      </c>
      <c r="C267" s="173">
        <f>'Rate Class Energy Model'!I44</f>
        <v>30241.78076904975</v>
      </c>
      <c r="D267" s="173">
        <f>'Rate Class Energy Model'!J44</f>
        <v>902085.98113207542</v>
      </c>
      <c r="E267" s="173">
        <f>'Rate Class Energy Model'!K44</f>
        <v>0</v>
      </c>
      <c r="F267" s="173">
        <f>'Rate Class Energy Model'!L44</f>
        <v>230.83164835164834</v>
      </c>
      <c r="G267" s="173">
        <f>'Rate Class Energy Model'!M44</f>
        <v>1473.0948402948402</v>
      </c>
      <c r="H267" s="173">
        <f>'Rate Class Energy Model'!N44</f>
        <v>3688.1051401592053</v>
      </c>
    </row>
    <row r="269" spans="1:12" x14ac:dyDescent="0.2">
      <c r="A269" s="279" t="s">
        <v>215</v>
      </c>
      <c r="B269" s="279"/>
      <c r="C269" s="279"/>
      <c r="D269" s="279"/>
      <c r="E269" s="279"/>
      <c r="F269" s="279"/>
      <c r="G269" s="279"/>
      <c r="H269" s="279"/>
      <c r="I269" s="279"/>
      <c r="L269" s="162"/>
    </row>
    <row r="270" spans="1:12" ht="51" x14ac:dyDescent="0.2">
      <c r="A270" s="136" t="s">
        <v>95</v>
      </c>
      <c r="B270" s="137" t="str">
        <f t="shared" ref="B270:H270" si="61">B265</f>
        <v xml:space="preserve">Residential </v>
      </c>
      <c r="C270" s="137" t="str">
        <f t="shared" si="61"/>
        <v>General Service 
&lt; 50 kW</v>
      </c>
      <c r="D270" s="137" t="str">
        <f t="shared" si="61"/>
        <v>General Service 
50 to 
4,999 kW</v>
      </c>
      <c r="E270" s="137" t="str">
        <f t="shared" si="61"/>
        <v>Large User</v>
      </c>
      <c r="F270" s="137" t="str">
        <f t="shared" si="61"/>
        <v xml:space="preserve">Street Lights </v>
      </c>
      <c r="G270" s="137" t="str">
        <f t="shared" si="61"/>
        <v>Sentinel Lights</v>
      </c>
      <c r="H270" s="137" t="str">
        <f t="shared" si="61"/>
        <v xml:space="preserve">Unmetered Scattered Loads </v>
      </c>
      <c r="I270" s="147" t="str">
        <f>I221</f>
        <v>Total</v>
      </c>
    </row>
    <row r="271" spans="1:12" x14ac:dyDescent="0.2">
      <c r="A271" s="283" t="s">
        <v>128</v>
      </c>
      <c r="B271" s="283"/>
      <c r="C271" s="283"/>
      <c r="D271" s="283"/>
      <c r="E271" s="283"/>
      <c r="F271" s="283"/>
      <c r="G271" s="283"/>
      <c r="H271" s="283"/>
      <c r="I271" s="283"/>
    </row>
    <row r="272" spans="1:12" x14ac:dyDescent="0.2">
      <c r="A272" s="187" t="str">
        <f>A267</f>
        <v>2017 Test - Forecast</v>
      </c>
      <c r="B272" s="188">
        <f t="shared" ref="B272:H272" si="62">B267*B223/1000000</f>
        <v>164.69981189256265</v>
      </c>
      <c r="C272" s="188">
        <f t="shared" si="62"/>
        <v>53.747967302524664</v>
      </c>
      <c r="D272" s="188">
        <f t="shared" si="62"/>
        <v>139.29903608033976</v>
      </c>
      <c r="E272" s="188">
        <f t="shared" si="62"/>
        <v>0</v>
      </c>
      <c r="F272" s="188">
        <f t="shared" si="62"/>
        <v>1.5824703637279498</v>
      </c>
      <c r="G272" s="188">
        <f t="shared" si="62"/>
        <v>0.74943700000000002</v>
      </c>
      <c r="H272" s="188">
        <f t="shared" si="62"/>
        <v>0.96382480996160558</v>
      </c>
      <c r="I272" s="188">
        <f>SUM(B272:H272)</f>
        <v>361.04254744911663</v>
      </c>
    </row>
    <row r="274" spans="1:11" x14ac:dyDescent="0.2">
      <c r="B274" s="279" t="s">
        <v>151</v>
      </c>
      <c r="C274" s="279"/>
      <c r="D274" s="279"/>
      <c r="E274" s="279"/>
    </row>
    <row r="275" spans="1:11" ht="51" x14ac:dyDescent="0.2">
      <c r="B275" s="137" t="str">
        <f t="shared" ref="B275:H275" si="63">B270</f>
        <v xml:space="preserve">Residential </v>
      </c>
      <c r="C275" s="137" t="str">
        <f t="shared" si="63"/>
        <v>General Service 
&lt; 50 kW</v>
      </c>
      <c r="D275" s="137" t="str">
        <f t="shared" si="63"/>
        <v>General Service 
50 to 
4,999 kW</v>
      </c>
      <c r="E275" s="137" t="str">
        <f t="shared" si="63"/>
        <v>Large User</v>
      </c>
      <c r="F275" s="137" t="str">
        <f t="shared" si="63"/>
        <v xml:space="preserve">Street Lights </v>
      </c>
      <c r="G275" s="137" t="str">
        <f t="shared" si="63"/>
        <v>Sentinel Lights</v>
      </c>
      <c r="H275" s="137" t="str">
        <f t="shared" si="63"/>
        <v xml:space="preserve">Unmetered Scattered Loads </v>
      </c>
    </row>
    <row r="276" spans="1:11" x14ac:dyDescent="0.2">
      <c r="B276" s="283" t="s">
        <v>129</v>
      </c>
      <c r="C276" s="283"/>
      <c r="D276" s="283"/>
      <c r="E276" s="283"/>
      <c r="F276" s="283"/>
      <c r="G276" s="283"/>
      <c r="H276" s="283"/>
    </row>
    <row r="277" spans="1:11" x14ac:dyDescent="0.2">
      <c r="B277" s="240">
        <f>'Rate Class Energy Model'!H71</f>
        <v>0.81967514412601028</v>
      </c>
      <c r="C277" s="240">
        <f>'Rate Class Energy Model'!I71</f>
        <v>0.81967514412601028</v>
      </c>
      <c r="D277" s="240">
        <f>'Rate Class Energy Model'!J71</f>
        <v>0.63935028825202056</v>
      </c>
      <c r="E277" s="240">
        <f>'Rate Class Energy Model'!K71</f>
        <v>0</v>
      </c>
      <c r="F277" s="240">
        <f>'Rate Class Energy Model'!L71</f>
        <v>0</v>
      </c>
      <c r="G277" s="240">
        <f>'Rate Class Energy Model'!M71</f>
        <v>0</v>
      </c>
      <c r="H277" s="240">
        <f>'Rate Class Energy Model'!N71</f>
        <v>0</v>
      </c>
    </row>
    <row r="278" spans="1:11" x14ac:dyDescent="0.2">
      <c r="B278" s="189"/>
      <c r="C278" s="189"/>
      <c r="D278" s="189"/>
      <c r="E278" s="189"/>
    </row>
    <row r="279" spans="1:11" x14ac:dyDescent="0.2">
      <c r="A279" s="302" t="s">
        <v>256</v>
      </c>
      <c r="B279" s="303"/>
      <c r="C279" s="303"/>
      <c r="D279" s="303"/>
      <c r="E279" s="303"/>
      <c r="F279"/>
    </row>
    <row r="280" spans="1:11" x14ac:dyDescent="0.2">
      <c r="A280" s="190"/>
      <c r="B280" s="190">
        <v>2017</v>
      </c>
      <c r="D280"/>
      <c r="E280"/>
    </row>
    <row r="281" spans="1:11" x14ac:dyDescent="0.2">
      <c r="A281" s="191" t="s">
        <v>217</v>
      </c>
      <c r="B281" s="157"/>
      <c r="D281"/>
      <c r="E281"/>
      <c r="F281"/>
      <c r="G281"/>
    </row>
    <row r="282" spans="1:11" ht="25.5" x14ac:dyDescent="0.2">
      <c r="A282" s="192" t="s">
        <v>218</v>
      </c>
      <c r="B282" s="157">
        <f>B281</f>
        <v>0</v>
      </c>
      <c r="D282"/>
      <c r="E282"/>
    </row>
    <row r="283" spans="1:11" ht="25.5" x14ac:dyDescent="0.2">
      <c r="A283" s="192" t="s">
        <v>219</v>
      </c>
      <c r="B283" s="157">
        <f>SUM(B281:B281)</f>
        <v>0</v>
      </c>
      <c r="D283"/>
      <c r="E283"/>
    </row>
    <row r="284" spans="1:11" x14ac:dyDescent="0.2">
      <c r="E284"/>
      <c r="F284"/>
      <c r="G284"/>
      <c r="H284"/>
      <c r="I284"/>
      <c r="J284"/>
      <c r="K284"/>
    </row>
    <row r="285" spans="1:11" customFormat="1" x14ac:dyDescent="0.2">
      <c r="A285" s="302" t="s">
        <v>258</v>
      </c>
      <c r="B285" s="303"/>
      <c r="C285" s="303"/>
      <c r="D285" s="303"/>
      <c r="E285" s="303"/>
    </row>
    <row r="286" spans="1:11" customFormat="1" ht="51" x14ac:dyDescent="0.2">
      <c r="A286" s="194" t="s">
        <v>95</v>
      </c>
      <c r="B286" s="137" t="str">
        <f>B245</f>
        <v xml:space="preserve">Residential </v>
      </c>
      <c r="C286" s="137" t="str">
        <f>C245</f>
        <v>General Service 
&lt; 50 kW</v>
      </c>
      <c r="D286" s="137" t="str">
        <f>D245</f>
        <v>General Service 
50 to 
4,999 kW</v>
      </c>
      <c r="E286" s="137" t="str">
        <f>'Exhibit 3 Tables'!F270</f>
        <v xml:space="preserve">Street Lights </v>
      </c>
      <c r="F286" s="137" t="s">
        <v>10</v>
      </c>
    </row>
    <row r="287" spans="1:11" customFormat="1" x14ac:dyDescent="0.2">
      <c r="A287" s="304" t="s">
        <v>257</v>
      </c>
      <c r="B287" s="304"/>
      <c r="C287" s="304"/>
      <c r="D287" s="304"/>
      <c r="E287" s="304"/>
      <c r="F287" s="304"/>
    </row>
    <row r="288" spans="1:11" customFormat="1" x14ac:dyDescent="0.2">
      <c r="A288" s="191" t="str">
        <f>A272</f>
        <v>2017 Test - Forecast</v>
      </c>
      <c r="B288" s="241">
        <f>'Rate Class Energy Model'!H80</f>
        <v>0.21597271182785555</v>
      </c>
      <c r="C288" s="241">
        <f>'Rate Class Energy Model'!I80</f>
        <v>8.6389084731142221E-2</v>
      </c>
      <c r="D288" s="241">
        <f>'Rate Class Energy Model'!J80</f>
        <v>0.56152905075242443</v>
      </c>
      <c r="E288" s="241">
        <f>'Rate Class Energy Model'!L80</f>
        <v>0.13610915268857782</v>
      </c>
      <c r="F288" s="242">
        <f>SUM(B288:E288)</f>
        <v>1</v>
      </c>
    </row>
    <row r="289" spans="1:12" customFormat="1" x14ac:dyDescent="0.2">
      <c r="A289" s="244" t="s">
        <v>233</v>
      </c>
      <c r="B289" s="244"/>
      <c r="C289" s="244"/>
      <c r="D289" s="244"/>
      <c r="E289" s="244"/>
      <c r="F289" s="244"/>
    </row>
    <row r="290" spans="1:12" customFormat="1" x14ac:dyDescent="0.2">
      <c r="A290" s="191" t="str">
        <f>A267</f>
        <v>2017 Test - Forecast</v>
      </c>
      <c r="B290" s="157">
        <f>0.5*($B$281)*B288</f>
        <v>0</v>
      </c>
      <c r="C290" s="157">
        <f>0.5*($B$281)*C288</f>
        <v>0</v>
      </c>
      <c r="D290" s="157">
        <f>0.5*($B$281)*D288</f>
        <v>0</v>
      </c>
      <c r="E290" s="157">
        <f>0.5*($B$281)*E288</f>
        <v>0</v>
      </c>
      <c r="F290" s="243">
        <f>SUM(B290:E290)</f>
        <v>0</v>
      </c>
    </row>
    <row r="291" spans="1:12" customFormat="1" x14ac:dyDescent="0.2"/>
    <row r="292" spans="1:12" customFormat="1" x14ac:dyDescent="0.2">
      <c r="A292" s="302" t="s">
        <v>259</v>
      </c>
      <c r="B292" s="303"/>
      <c r="C292" s="303"/>
      <c r="D292" s="303"/>
      <c r="E292" s="303"/>
    </row>
    <row r="293" spans="1:12" customFormat="1" ht="51" x14ac:dyDescent="0.2">
      <c r="A293" s="194" t="s">
        <v>95</v>
      </c>
      <c r="B293" s="137" t="str">
        <f>B286</f>
        <v xml:space="preserve">Residential </v>
      </c>
      <c r="C293" s="137" t="str">
        <f>C286</f>
        <v>General Service 
&lt; 50 kW</v>
      </c>
      <c r="D293" s="137" t="str">
        <f>D286</f>
        <v>General Service 
50 to 
4,999 kW</v>
      </c>
      <c r="E293" s="137" t="str">
        <f>E286</f>
        <v xml:space="preserve">Street Lights </v>
      </c>
      <c r="F293" s="137" t="s">
        <v>10</v>
      </c>
    </row>
    <row r="294" spans="1:12" customFormat="1" x14ac:dyDescent="0.2">
      <c r="A294" s="191" t="s">
        <v>220</v>
      </c>
      <c r="B294" s="157">
        <f>B288*$B$283</f>
        <v>0</v>
      </c>
      <c r="C294" s="157">
        <f>C288*$B$283</f>
        <v>0</v>
      </c>
      <c r="D294" s="157">
        <f>D288*$B$283</f>
        <v>0</v>
      </c>
      <c r="E294" s="157">
        <f>E288*$B$283</f>
        <v>0</v>
      </c>
      <c r="F294" s="157">
        <f>SUM(B294:E294)</f>
        <v>0</v>
      </c>
    </row>
    <row r="295" spans="1:12" customFormat="1" x14ac:dyDescent="0.2">
      <c r="A295" s="191" t="s">
        <v>221</v>
      </c>
      <c r="B295" s="157"/>
      <c r="C295" s="157"/>
      <c r="D295" s="157">
        <f>D294*B349</f>
        <v>0</v>
      </c>
      <c r="E295" s="157">
        <f>E294*C349</f>
        <v>0</v>
      </c>
      <c r="F295" s="157">
        <f>SUM(B295:D295)</f>
        <v>0</v>
      </c>
    </row>
    <row r="296" spans="1:12" x14ac:dyDescent="0.2">
      <c r="A296" s="191" t="s">
        <v>222</v>
      </c>
      <c r="B296" s="157"/>
      <c r="C296" s="157"/>
      <c r="D296" s="157">
        <f>D295/12</f>
        <v>0</v>
      </c>
      <c r="E296" s="157">
        <f>E295/12</f>
        <v>0</v>
      </c>
      <c r="F296" s="157">
        <f>SUM(B296:D296)</f>
        <v>0</v>
      </c>
    </row>
    <row r="297" spans="1:12" x14ac:dyDescent="0.2">
      <c r="B297" s="189"/>
      <c r="C297" s="189"/>
      <c r="D297" s="189"/>
      <c r="E297" s="189"/>
    </row>
    <row r="299" spans="1:12" x14ac:dyDescent="0.2">
      <c r="A299" s="279" t="s">
        <v>260</v>
      </c>
      <c r="B299" s="279"/>
      <c r="C299" s="279"/>
      <c r="D299" s="279"/>
      <c r="E299" s="279"/>
      <c r="F299" s="279"/>
      <c r="L299" s="162"/>
    </row>
    <row r="300" spans="1:12" ht="51" x14ac:dyDescent="0.2">
      <c r="A300" s="136" t="s">
        <v>95</v>
      </c>
      <c r="B300" s="137" t="str">
        <f>B275</f>
        <v xml:space="preserve">Residential </v>
      </c>
      <c r="C300" s="137" t="str">
        <f>C275</f>
        <v>General Service 
&lt; 50 kW</v>
      </c>
      <c r="D300" s="137" t="str">
        <f>D275</f>
        <v>General Service 
50 to 
4,999 kW</v>
      </c>
      <c r="E300" s="137" t="str">
        <f>E275</f>
        <v>Large User</v>
      </c>
      <c r="F300" s="137" t="str">
        <f>F275</f>
        <v xml:space="preserve">Street Lights </v>
      </c>
      <c r="G300" s="137" t="str">
        <f>G275</f>
        <v>Sentinel Lights</v>
      </c>
      <c r="H300" s="137" t="str">
        <f>H275</f>
        <v xml:space="preserve">Unmetered Scattered Loads </v>
      </c>
      <c r="I300" s="147" t="str">
        <f>I270</f>
        <v>Total</v>
      </c>
    </row>
    <row r="301" spans="1:12" x14ac:dyDescent="0.2">
      <c r="A301" s="283" t="s">
        <v>135</v>
      </c>
      <c r="B301" s="283"/>
      <c r="C301" s="283"/>
      <c r="D301" s="283"/>
      <c r="E301" s="283"/>
      <c r="F301" s="283"/>
      <c r="G301" s="283"/>
      <c r="H301" s="283"/>
      <c r="I301" s="283"/>
    </row>
    <row r="302" spans="1:12" x14ac:dyDescent="0.2">
      <c r="A302" s="141" t="str">
        <f>A290</f>
        <v>2017 Test - Forecast</v>
      </c>
      <c r="B302" s="245">
        <f>B272</f>
        <v>164.69981189256265</v>
      </c>
      <c r="C302" s="245">
        <f>C272</f>
        <v>53.747967302524664</v>
      </c>
      <c r="D302" s="245">
        <f>D272</f>
        <v>139.29903608033976</v>
      </c>
      <c r="E302" s="245">
        <f>E272</f>
        <v>0</v>
      </c>
      <c r="F302" s="245">
        <f>F272</f>
        <v>1.5824703637279498</v>
      </c>
      <c r="G302" s="245">
        <f>G272</f>
        <v>0.74943700000000002</v>
      </c>
      <c r="H302" s="245">
        <f>H272</f>
        <v>0.96382480996160558</v>
      </c>
      <c r="I302" s="245">
        <f>SUM(B302:H302)</f>
        <v>361.04254744911663</v>
      </c>
    </row>
    <row r="303" spans="1:12" x14ac:dyDescent="0.2">
      <c r="A303" s="283" t="s">
        <v>136</v>
      </c>
      <c r="B303" s="283"/>
      <c r="C303" s="283"/>
      <c r="D303" s="283"/>
      <c r="E303" s="283"/>
      <c r="F303" s="283"/>
      <c r="G303" s="283"/>
      <c r="H303" s="283"/>
      <c r="I303" s="283"/>
    </row>
    <row r="304" spans="1:12" x14ac:dyDescent="0.2">
      <c r="A304" s="127" t="str">
        <f>A267</f>
        <v>2017 Test - Forecast</v>
      </c>
      <c r="B304" s="246">
        <f>'Rate Class Energy Model'!H75/1000000</f>
        <v>0.8219604712787838</v>
      </c>
      <c r="C304" s="246">
        <f>'Rate Class Energy Model'!I75/1000000</f>
        <v>0.26823773522630723</v>
      </c>
      <c r="D304" s="246">
        <f>'Rate Class Energy Model'!J75/1000000</f>
        <v>0.54225434437826181</v>
      </c>
      <c r="E304" s="246">
        <f>'Rate Class Energy Model'!K75/1000000</f>
        <v>0</v>
      </c>
      <c r="F304" s="246">
        <f>'Rate Class Energy Model'!L75/1000000</f>
        <v>0</v>
      </c>
      <c r="G304" s="246">
        <f>'Rate Class Energy Model'!M75/1000000</f>
        <v>0</v>
      </c>
      <c r="H304" s="246">
        <f>'Rate Class Energy Model'!N75/1000000</f>
        <v>0</v>
      </c>
      <c r="I304" s="246">
        <f>SUM(B304:H304)</f>
        <v>1.6324525508833529</v>
      </c>
    </row>
    <row r="305" spans="1:11" x14ac:dyDescent="0.2">
      <c r="A305" s="283" t="s">
        <v>137</v>
      </c>
      <c r="B305" s="283"/>
      <c r="C305" s="283"/>
      <c r="D305" s="283"/>
      <c r="E305" s="283"/>
      <c r="F305" s="283"/>
      <c r="G305" s="283"/>
      <c r="H305" s="283"/>
      <c r="I305" s="283"/>
    </row>
    <row r="306" spans="1:11" x14ac:dyDescent="0.2">
      <c r="A306" s="127" t="str">
        <f>A304</f>
        <v>2017 Test - Forecast</v>
      </c>
      <c r="B306" s="246">
        <f>'Rate Class Energy Model'!H82/1000000</f>
        <v>0</v>
      </c>
      <c r="C306" s="246">
        <f>'Rate Class Energy Model'!I82/1000000</f>
        <v>0</v>
      </c>
      <c r="D306" s="246">
        <f>'Rate Class Energy Model'!J82/1000000</f>
        <v>0</v>
      </c>
      <c r="E306" s="246">
        <f>'Rate Class Energy Model'!K82/1000000</f>
        <v>0</v>
      </c>
      <c r="F306" s="246">
        <f>'Rate Class Energy Model'!L82/1000000</f>
        <v>0</v>
      </c>
      <c r="G306" s="246">
        <f>'Rate Class Energy Model'!M82/1000000</f>
        <v>0</v>
      </c>
      <c r="H306" s="246">
        <f>'Rate Class Energy Model'!N82/1000000</f>
        <v>0</v>
      </c>
      <c r="I306" s="246">
        <f>SUM(B306:H306)</f>
        <v>0</v>
      </c>
    </row>
    <row r="307" spans="1:11" x14ac:dyDescent="0.2">
      <c r="A307" s="283" t="s">
        <v>138</v>
      </c>
      <c r="B307" s="283"/>
      <c r="C307" s="283"/>
      <c r="D307" s="283"/>
      <c r="E307" s="283"/>
      <c r="F307" s="283"/>
      <c r="G307" s="283"/>
      <c r="H307" s="283"/>
      <c r="I307" s="283"/>
    </row>
    <row r="308" spans="1:11" x14ac:dyDescent="0.2">
      <c r="A308" s="141" t="str">
        <f>A306</f>
        <v>2017 Test - Forecast</v>
      </c>
      <c r="B308" s="247">
        <f t="shared" ref="B308:H308" si="64">B302+B304+B306</f>
        <v>165.52177236384142</v>
      </c>
      <c r="C308" s="247">
        <f t="shared" si="64"/>
        <v>54.016205037750971</v>
      </c>
      <c r="D308" s="247">
        <f t="shared" si="64"/>
        <v>139.84129042471801</v>
      </c>
      <c r="E308" s="247">
        <f t="shared" si="64"/>
        <v>0</v>
      </c>
      <c r="F308" s="247">
        <f t="shared" si="64"/>
        <v>1.5824703637279498</v>
      </c>
      <c r="G308" s="247">
        <f t="shared" si="64"/>
        <v>0.74943700000000002</v>
      </c>
      <c r="H308" s="247">
        <f t="shared" si="64"/>
        <v>0.96382480996160558</v>
      </c>
      <c r="I308" s="245">
        <f>SUM(B308:H308)</f>
        <v>362.67499999999995</v>
      </c>
    </row>
    <row r="310" spans="1:11" x14ac:dyDescent="0.2">
      <c r="A310" s="279" t="s">
        <v>152</v>
      </c>
      <c r="B310" s="279"/>
      <c r="C310" s="279"/>
      <c r="D310" s="279"/>
      <c r="F310" s="193"/>
    </row>
    <row r="311" spans="1:11" ht="51" x14ac:dyDescent="0.2">
      <c r="A311" s="136" t="s">
        <v>95</v>
      </c>
      <c r="B311" s="137" t="str">
        <f>D300</f>
        <v>General Service 
50 to 
4,999 kW</v>
      </c>
      <c r="C311" s="137" t="str">
        <f>F300</f>
        <v xml:space="preserve">Street Lights </v>
      </c>
      <c r="D311" s="137" t="str">
        <f>G300</f>
        <v>Sentinel Lights</v>
      </c>
      <c r="E311" s="137" t="str">
        <f>I300</f>
        <v>Total</v>
      </c>
      <c r="F311" s="248" t="str">
        <f>B311</f>
        <v>General Service 
50 to 
4,999 kW</v>
      </c>
      <c r="G311" s="186" t="str">
        <f t="shared" ref="G311:H311" si="65">C311</f>
        <v xml:space="preserve">Street Lights </v>
      </c>
      <c r="H311" s="186" t="str">
        <f t="shared" si="65"/>
        <v>Sentinel Lights</v>
      </c>
      <c r="I311" s="186" t="str">
        <f>E311</f>
        <v>Total</v>
      </c>
      <c r="J311" s="231"/>
      <c r="K311" s="231"/>
    </row>
    <row r="312" spans="1:11" x14ac:dyDescent="0.2">
      <c r="A312" s="296" t="s">
        <v>139</v>
      </c>
      <c r="B312" s="296"/>
      <c r="C312" s="296"/>
      <c r="D312" s="296"/>
      <c r="E312" s="296"/>
      <c r="F312" s="283"/>
      <c r="G312" s="283"/>
      <c r="H312" s="283"/>
      <c r="I312" s="283"/>
      <c r="J312" s="199"/>
      <c r="K312" s="199"/>
    </row>
    <row r="313" spans="1:11" x14ac:dyDescent="0.2">
      <c r="A313" s="195"/>
      <c r="B313" s="299" t="s">
        <v>223</v>
      </c>
      <c r="C313" s="300"/>
      <c r="D313" s="300"/>
      <c r="E313" s="301"/>
      <c r="F313" s="276" t="s">
        <v>67</v>
      </c>
      <c r="G313" s="276"/>
      <c r="H313" s="276"/>
      <c r="I313" s="276"/>
      <c r="J313" s="235"/>
      <c r="K313" s="235"/>
    </row>
    <row r="314" spans="1:11" x14ac:dyDescent="0.2">
      <c r="A314" s="148">
        <f>A247</f>
        <v>2002</v>
      </c>
      <c r="B314" s="173">
        <f>'Rate Class Load Model'!B2</f>
        <v>551945.62</v>
      </c>
      <c r="C314" s="173">
        <f>'Rate Class Load Model'!D2</f>
        <v>11856.554</v>
      </c>
      <c r="D314" s="173">
        <f>'Rate Class Load Model'!E2</f>
        <v>2536</v>
      </c>
      <c r="E314" s="173">
        <f>SUM(B314:D314)</f>
        <v>566338.174</v>
      </c>
      <c r="F314" s="173">
        <f>B314*F161</f>
        <v>538766.25072061713</v>
      </c>
      <c r="G314" s="173">
        <f>C314*F161</f>
        <v>11573.442950859064</v>
      </c>
      <c r="H314" s="173">
        <f>D314*F161</f>
        <v>2475.4453379437723</v>
      </c>
      <c r="I314" s="173">
        <f>SUM(F314:H314)</f>
        <v>552815.13900941995</v>
      </c>
      <c r="J314"/>
      <c r="K314"/>
    </row>
    <row r="315" spans="1:11" x14ac:dyDescent="0.2">
      <c r="A315" s="148">
        <f>A248</f>
        <v>2003</v>
      </c>
      <c r="B315" s="173">
        <f>'Rate Class Load Model'!B3</f>
        <v>449454.27000000008</v>
      </c>
      <c r="C315" s="173">
        <f>'Rate Class Load Model'!D3</f>
        <v>12974.98</v>
      </c>
      <c r="D315" s="173">
        <f>'Rate Class Load Model'!E3</f>
        <v>2928.96</v>
      </c>
      <c r="E315" s="173">
        <f t="shared" ref="E315:E327" si="66">SUM(B315:D315)</f>
        <v>465358.21000000008</v>
      </c>
      <c r="F315" s="173">
        <f>B315*F162</f>
        <v>449792.43417763436</v>
      </c>
      <c r="G315" s="173">
        <f>C315*F162</f>
        <v>12984.742224400541</v>
      </c>
      <c r="H315" s="173">
        <f>D315*F162</f>
        <v>2931.1637155186527</v>
      </c>
      <c r="I315" s="173">
        <f t="shared" ref="I315:I328" si="67">SUM(F315:H315)</f>
        <v>465708.34011755354</v>
      </c>
      <c r="J315"/>
      <c r="K315"/>
    </row>
    <row r="316" spans="1:11" x14ac:dyDescent="0.2">
      <c r="A316" s="148">
        <f>A249</f>
        <v>2004</v>
      </c>
      <c r="B316" s="173">
        <f>'Rate Class Load Model'!B4</f>
        <v>418532.51999999996</v>
      </c>
      <c r="C316" s="173">
        <f>'Rate Class Load Model'!D4</f>
        <v>13023.570000000002</v>
      </c>
      <c r="D316" s="173">
        <f>'Rate Class Load Model'!E4</f>
        <v>3192.2000000000003</v>
      </c>
      <c r="E316" s="173">
        <f t="shared" si="66"/>
        <v>434748.29</v>
      </c>
      <c r="F316" s="173">
        <f>B316*F163</f>
        <v>422927.26979076432</v>
      </c>
      <c r="G316" s="173">
        <f>C316*F163</f>
        <v>13160.322411813797</v>
      </c>
      <c r="H316" s="173">
        <f>D316*F163</f>
        <v>3225.7193076085896</v>
      </c>
      <c r="I316" s="173">
        <f t="shared" si="67"/>
        <v>439313.3115101867</v>
      </c>
      <c r="J316"/>
      <c r="K316"/>
    </row>
    <row r="317" spans="1:11" x14ac:dyDescent="0.2">
      <c r="A317" s="148">
        <f>A250</f>
        <v>2005</v>
      </c>
      <c r="B317" s="173">
        <f>'Rate Class Load Model'!B5</f>
        <v>415116.47000000003</v>
      </c>
      <c r="C317" s="173">
        <f>'Rate Class Load Model'!D5</f>
        <v>13038.970000000003</v>
      </c>
      <c r="D317" s="173">
        <f>'Rate Class Load Model'!E5</f>
        <v>2843.5</v>
      </c>
      <c r="E317" s="173">
        <f t="shared" si="66"/>
        <v>430998.94000000006</v>
      </c>
      <c r="F317" s="173">
        <f>B317*F164</f>
        <v>400652.33575901267</v>
      </c>
      <c r="G317" s="173">
        <f>C317*F164</f>
        <v>12584.645910078429</v>
      </c>
      <c r="H317" s="173">
        <f>D317*F164</f>
        <v>2744.4223466506942</v>
      </c>
      <c r="I317" s="173">
        <f t="shared" si="67"/>
        <v>415981.40401574178</v>
      </c>
      <c r="J317"/>
      <c r="K317"/>
    </row>
    <row r="318" spans="1:11" x14ac:dyDescent="0.2">
      <c r="A318" s="148">
        <f>A251</f>
        <v>2006</v>
      </c>
      <c r="B318" s="173">
        <f>'Rate Class Load Model'!B6</f>
        <v>414301.29000000004</v>
      </c>
      <c r="C318" s="173">
        <f>'Rate Class Load Model'!D6</f>
        <v>13083.960000000001</v>
      </c>
      <c r="D318" s="173">
        <f>'Rate Class Load Model'!E6</f>
        <v>2812.06</v>
      </c>
      <c r="E318" s="173">
        <f t="shared" si="66"/>
        <v>430197.31000000006</v>
      </c>
      <c r="F318" s="173">
        <f>B318*F165</f>
        <v>414314.39142395282</v>
      </c>
      <c r="G318" s="173">
        <f>C318*F165</f>
        <v>13084.373753254164</v>
      </c>
      <c r="H318" s="173">
        <f>D318*F165</f>
        <v>2812.1489255986644</v>
      </c>
      <c r="I318" s="173">
        <f t="shared" si="67"/>
        <v>430210.91410280566</v>
      </c>
      <c r="J318"/>
      <c r="K318"/>
    </row>
    <row r="319" spans="1:11" x14ac:dyDescent="0.2">
      <c r="A319" s="148">
        <f>A252</f>
        <v>2007</v>
      </c>
      <c r="B319" s="173">
        <f>'Rate Class Load Model'!B7</f>
        <v>441184.35</v>
      </c>
      <c r="C319" s="173">
        <f>'Rate Class Load Model'!D7</f>
        <v>13085.879999999997</v>
      </c>
      <c r="D319" s="173">
        <f>'Rate Class Load Model'!E7</f>
        <v>3041.58</v>
      </c>
      <c r="E319" s="173">
        <f t="shared" si="66"/>
        <v>457311.81</v>
      </c>
      <c r="F319" s="173">
        <f>B319*F166</f>
        <v>438465.25263320014</v>
      </c>
      <c r="G319" s="173">
        <f>C319*F166</f>
        <v>13005.229401559098</v>
      </c>
      <c r="H319" s="173">
        <f>D319*F166</f>
        <v>3022.8342032170654</v>
      </c>
      <c r="I319" s="173">
        <f t="shared" si="67"/>
        <v>454493.31623797631</v>
      </c>
      <c r="J319"/>
      <c r="K319"/>
    </row>
    <row r="320" spans="1:11" x14ac:dyDescent="0.2">
      <c r="A320" s="148">
        <f>A253</f>
        <v>2008</v>
      </c>
      <c r="B320" s="173">
        <f>'Rate Class Load Model'!B8</f>
        <v>417425.21</v>
      </c>
      <c r="C320" s="173">
        <f>'Rate Class Load Model'!D8</f>
        <v>13186.060000000001</v>
      </c>
      <c r="D320" s="173">
        <f>'Rate Class Load Model'!E8</f>
        <v>2690.21</v>
      </c>
      <c r="E320" s="173">
        <f t="shared" si="66"/>
        <v>433301.48000000004</v>
      </c>
      <c r="F320" s="173">
        <f>B320*F167</f>
        <v>422736.50810896821</v>
      </c>
      <c r="G320" s="173">
        <f>C320*F167</f>
        <v>13353.838787349096</v>
      </c>
      <c r="H320" s="173">
        <f>D320*F167</f>
        <v>2724.4401014491368</v>
      </c>
      <c r="I320" s="173">
        <f t="shared" si="67"/>
        <v>438814.78699776647</v>
      </c>
      <c r="J320"/>
      <c r="K320"/>
    </row>
    <row r="321" spans="1:11" x14ac:dyDescent="0.2">
      <c r="A321" s="148">
        <f>A254</f>
        <v>2009</v>
      </c>
      <c r="B321" s="173">
        <f>'Rate Class Load Model'!B9</f>
        <v>390493.22</v>
      </c>
      <c r="C321" s="173">
        <f>'Rate Class Load Model'!D9</f>
        <v>13091.060000000001</v>
      </c>
      <c r="D321" s="173">
        <f>'Rate Class Load Model'!E9</f>
        <v>3630.8800000000006</v>
      </c>
      <c r="E321" s="173">
        <f t="shared" si="66"/>
        <v>407215.16</v>
      </c>
      <c r="F321" s="173">
        <f>B321*F168</f>
        <v>400428.05483064742</v>
      </c>
      <c r="G321" s="173">
        <f>C321*F168</f>
        <v>13424.119608200357</v>
      </c>
      <c r="H321" s="173">
        <f>D321*F168</f>
        <v>3723.2559779744738</v>
      </c>
      <c r="I321" s="173">
        <f t="shared" si="67"/>
        <v>417575.4304168222</v>
      </c>
      <c r="J321"/>
      <c r="K321"/>
    </row>
    <row r="322" spans="1:11" x14ac:dyDescent="0.2">
      <c r="A322" s="148">
        <f>A255</f>
        <v>2010</v>
      </c>
      <c r="B322" s="173">
        <f>'Rate Class Load Model'!B10</f>
        <v>432238.21</v>
      </c>
      <c r="C322" s="173">
        <f>'Rate Class Load Model'!D10</f>
        <v>13118.889999999998</v>
      </c>
      <c r="D322" s="173">
        <f>'Rate Class Load Model'!E10</f>
        <v>2816.28</v>
      </c>
      <c r="E322" s="173">
        <f t="shared" si="66"/>
        <v>448173.38000000006</v>
      </c>
      <c r="F322" s="173">
        <f>B322*F169</f>
        <v>433877.54121806938</v>
      </c>
      <c r="G322" s="173">
        <f>C322*F169</f>
        <v>13168.645448328867</v>
      </c>
      <c r="H322" s="173">
        <f>D322*F169</f>
        <v>2826.9611836992026</v>
      </c>
      <c r="I322" s="173">
        <f t="shared" si="67"/>
        <v>449873.14785009745</v>
      </c>
      <c r="J322"/>
      <c r="K322"/>
    </row>
    <row r="323" spans="1:11" x14ac:dyDescent="0.2">
      <c r="A323" s="148">
        <f>A256</f>
        <v>2011</v>
      </c>
      <c r="B323" s="173">
        <f>'Rate Class Load Model'!B11</f>
        <v>417210</v>
      </c>
      <c r="C323" s="173">
        <f>'Rate Class Load Model'!D11</f>
        <v>13148</v>
      </c>
      <c r="D323" s="173">
        <f>'Rate Class Load Model'!E11</f>
        <v>2462</v>
      </c>
      <c r="E323" s="173">
        <f t="shared" si="66"/>
        <v>432820</v>
      </c>
      <c r="F323" s="173">
        <f>B323*F170</f>
        <v>416889.24121197191</v>
      </c>
      <c r="G323" s="173">
        <f>C323*F170</f>
        <v>13137.891573679937</v>
      </c>
      <c r="H323" s="173">
        <f>D323*F170</f>
        <v>2460.107168725282</v>
      </c>
      <c r="I323" s="173">
        <f t="shared" si="67"/>
        <v>432487.23995437712</v>
      </c>
      <c r="J323"/>
      <c r="K323"/>
    </row>
    <row r="324" spans="1:11" x14ac:dyDescent="0.2">
      <c r="A324" s="148">
        <f>A257</f>
        <v>2012</v>
      </c>
      <c r="B324" s="173">
        <f>'Rate Class Load Model'!B12</f>
        <v>387769</v>
      </c>
      <c r="C324" s="173">
        <f>'Rate Class Load Model'!D12</f>
        <v>12420</v>
      </c>
      <c r="D324" s="173">
        <f>'Rate Class Load Model'!E12</f>
        <v>2331</v>
      </c>
      <c r="E324" s="173">
        <f t="shared" si="66"/>
        <v>402520</v>
      </c>
      <c r="F324" s="173">
        <f>B324*F171</f>
        <v>391800.30179908063</v>
      </c>
      <c r="G324" s="173">
        <f>C324*F171</f>
        <v>12549.120090426468</v>
      </c>
      <c r="H324" s="173">
        <f>D324*F171</f>
        <v>2355.2334082756925</v>
      </c>
      <c r="I324" s="173">
        <f t="shared" si="67"/>
        <v>406704.6552977828</v>
      </c>
      <c r="J324"/>
      <c r="K324"/>
    </row>
    <row r="325" spans="1:11" x14ac:dyDescent="0.2">
      <c r="A325" s="148">
        <f>A258</f>
        <v>2013</v>
      </c>
      <c r="B325" s="173">
        <f>'Rate Class Load Model'!B13</f>
        <v>389545</v>
      </c>
      <c r="C325" s="173">
        <f>'Rate Class Load Model'!D13</f>
        <v>7923</v>
      </c>
      <c r="D325" s="173">
        <f>'Rate Class Load Model'!E13</f>
        <v>2186</v>
      </c>
      <c r="E325" s="173">
        <f t="shared" si="66"/>
        <v>399654</v>
      </c>
      <c r="F325" s="173">
        <f>B325*F172</f>
        <v>392328.26674723363</v>
      </c>
      <c r="G325" s="173">
        <f>C325*F172</f>
        <v>7979.6091784988439</v>
      </c>
      <c r="H325" s="173">
        <f>D325*F172</f>
        <v>2201.6187888676604</v>
      </c>
      <c r="I325" s="173">
        <f t="shared" si="67"/>
        <v>402509.49471460015</v>
      </c>
      <c r="J325"/>
      <c r="K325"/>
    </row>
    <row r="326" spans="1:11" x14ac:dyDescent="0.2">
      <c r="A326" s="148">
        <f>A259</f>
        <v>2014</v>
      </c>
      <c r="B326" s="173">
        <f>'Rate Class Load Model'!B14</f>
        <v>402375</v>
      </c>
      <c r="C326" s="173">
        <f>'Rate Class Load Model'!D14</f>
        <v>6992</v>
      </c>
      <c r="D326" s="173">
        <f>'Rate Class Load Model'!E14</f>
        <v>2120</v>
      </c>
      <c r="E326" s="173">
        <f t="shared" si="66"/>
        <v>411487</v>
      </c>
      <c r="F326" s="173">
        <f>B326*F173</f>
        <v>406800.81091035443</v>
      </c>
      <c r="G326" s="173">
        <f>C326*F173</f>
        <v>7068.9065421191626</v>
      </c>
      <c r="H326" s="173">
        <f>D326*F173</f>
        <v>2143.318345150547</v>
      </c>
      <c r="I326" s="173">
        <f t="shared" si="67"/>
        <v>416013.03579762415</v>
      </c>
      <c r="J326"/>
      <c r="K326"/>
    </row>
    <row r="327" spans="1:11" x14ac:dyDescent="0.2">
      <c r="A327" s="148">
        <f>A260</f>
        <v>2015</v>
      </c>
      <c r="B327" s="173">
        <f>'Rate Class Load Model'!B15</f>
        <v>402768</v>
      </c>
      <c r="C327" s="173">
        <f>'Rate Class Load Model'!D15</f>
        <v>6476</v>
      </c>
      <c r="D327" s="173">
        <f>'Rate Class Load Model'!E15</f>
        <v>2077</v>
      </c>
      <c r="E327" s="173">
        <f t="shared" si="66"/>
        <v>411321</v>
      </c>
      <c r="F327" s="173">
        <f>B327*F174</f>
        <v>406569.76060844376</v>
      </c>
      <c r="G327" s="173">
        <f>C327*F174</f>
        <v>6537.1275019372988</v>
      </c>
      <c r="H327" s="173">
        <f>D327*F174</f>
        <v>2096.6049755286858</v>
      </c>
      <c r="I327" s="173">
        <f t="shared" si="67"/>
        <v>415203.49308590975</v>
      </c>
      <c r="J327"/>
      <c r="K327"/>
    </row>
    <row r="328" spans="1:11" x14ac:dyDescent="0.2">
      <c r="A328" s="148">
        <f>A261</f>
        <v>2016</v>
      </c>
      <c r="B328" s="173">
        <f>'Rate Class Load Model'!B16</f>
        <v>396528</v>
      </c>
      <c r="C328" s="173">
        <f>'Rate Class Load Model'!D16</f>
        <v>4561</v>
      </c>
      <c r="D328" s="173">
        <f>'Rate Class Load Model'!E16</f>
        <v>2061</v>
      </c>
      <c r="E328" s="173">
        <f t="shared" ref="E328" si="68">SUM(B328:D328)</f>
        <v>403150</v>
      </c>
      <c r="F328" s="173">
        <f>B328*F175</f>
        <v>389860.03732982342</v>
      </c>
      <c r="G328" s="173">
        <f>C328*F175</f>
        <v>4484.3028241670818</v>
      </c>
      <c r="H328" s="173">
        <f>D328*F175</f>
        <v>2026.3424952002533</v>
      </c>
      <c r="I328" s="173">
        <f t="shared" si="67"/>
        <v>396370.68264919077</v>
      </c>
      <c r="J328"/>
      <c r="K328"/>
    </row>
    <row r="329" spans="1:11" x14ac:dyDescent="0.2">
      <c r="A329" s="174"/>
      <c r="B329" s="175"/>
      <c r="C329" s="175"/>
      <c r="D329" s="175"/>
    </row>
    <row r="330" spans="1:11" ht="27.75" customHeight="1" x14ac:dyDescent="0.2">
      <c r="A330" s="297" t="s">
        <v>153</v>
      </c>
      <c r="B330" s="298"/>
      <c r="C330" s="298"/>
      <c r="D330" s="298"/>
      <c r="E330" s="193"/>
    </row>
    <row r="331" spans="1:11" ht="51" x14ac:dyDescent="0.2">
      <c r="A331" s="146" t="s">
        <v>95</v>
      </c>
      <c r="B331" s="137" t="str">
        <f>B311</f>
        <v>General Service 
50 to 
4,999 kW</v>
      </c>
      <c r="C331" s="137" t="str">
        <f t="shared" ref="C331:D331" si="69">C311</f>
        <v xml:space="preserve">Street Lights </v>
      </c>
      <c r="D331" s="137" t="str">
        <f t="shared" si="69"/>
        <v>Sentinel Lights</v>
      </c>
    </row>
    <row r="332" spans="1:11" x14ac:dyDescent="0.2">
      <c r="A332" s="283" t="s">
        <v>140</v>
      </c>
      <c r="B332" s="283"/>
      <c r="C332" s="283"/>
      <c r="D332" s="283"/>
    </row>
    <row r="333" spans="1:11" x14ac:dyDescent="0.2">
      <c r="A333" s="187">
        <f t="shared" ref="A333:A347" si="70">A314</f>
        <v>2002</v>
      </c>
      <c r="B333" s="197">
        <f>'Rate Class Load Model'!B20</f>
        <v>2.5021307645115487E-3</v>
      </c>
      <c r="C333" s="197">
        <f>'Rate Class Load Model'!D20</f>
        <v>2.5894038578043424E-3</v>
      </c>
      <c r="D333" s="197">
        <f>'Rate Class Load Model'!E20</f>
        <v>4.1667727802610641E-3</v>
      </c>
    </row>
    <row r="334" spans="1:11" x14ac:dyDescent="0.2">
      <c r="A334" s="148">
        <f t="shared" si="70"/>
        <v>2003</v>
      </c>
      <c r="B334" s="197">
        <f>'Rate Class Load Model'!B21</f>
        <v>3.0214490640024395E-3</v>
      </c>
      <c r="C334" s="197">
        <f>'Rate Class Load Model'!D21</f>
        <v>2.7910235382058906E-3</v>
      </c>
      <c r="D334" s="197">
        <f>'Rate Class Load Model'!E21</f>
        <v>2.8559319076470863E-3</v>
      </c>
    </row>
    <row r="335" spans="1:11" x14ac:dyDescent="0.2">
      <c r="A335" s="148">
        <f t="shared" si="70"/>
        <v>2004</v>
      </c>
      <c r="B335" s="197">
        <f>'Rate Class Load Model'!B22</f>
        <v>2.8694458221107731E-3</v>
      </c>
      <c r="C335" s="197">
        <f>'Rate Class Load Model'!D22</f>
        <v>2.7881443434703058E-3</v>
      </c>
      <c r="D335" s="197">
        <f>'Rate Class Load Model'!E22</f>
        <v>3.1009344146445701E-3</v>
      </c>
    </row>
    <row r="336" spans="1:11" x14ac:dyDescent="0.2">
      <c r="A336" s="148">
        <f t="shared" si="70"/>
        <v>2005</v>
      </c>
      <c r="B336" s="197">
        <f>'Rate Class Load Model'!B23</f>
        <v>2.8215166334069719E-3</v>
      </c>
      <c r="C336" s="197">
        <f>'Rate Class Load Model'!D23</f>
        <v>2.7898179007914601E-3</v>
      </c>
      <c r="D336" s="197">
        <f>'Rate Class Load Model'!E23</f>
        <v>2.843500796180223E-3</v>
      </c>
    </row>
    <row r="337" spans="1:5" x14ac:dyDescent="0.2">
      <c r="A337" s="148">
        <f t="shared" si="70"/>
        <v>2006</v>
      </c>
      <c r="B337" s="197">
        <f>'Rate Class Load Model'!B24</f>
        <v>2.8189766835699623E-3</v>
      </c>
      <c r="C337" s="197">
        <f>'Rate Class Load Model'!D24</f>
        <v>2.7905589922220717E-3</v>
      </c>
      <c r="D337" s="197">
        <f>'Rate Class Load Model'!E24</f>
        <v>2.7815664656754111E-3</v>
      </c>
    </row>
    <row r="338" spans="1:5" x14ac:dyDescent="0.2">
      <c r="A338" s="148">
        <f t="shared" si="70"/>
        <v>2007</v>
      </c>
      <c r="B338" s="197">
        <f>'Rate Class Load Model'!B25</f>
        <v>2.702928491605239E-3</v>
      </c>
      <c r="C338" s="197">
        <f>'Rate Class Load Model'!D25</f>
        <v>2.7894294023391255E-3</v>
      </c>
      <c r="D338" s="197">
        <f>'Rate Class Load Model'!E25</f>
        <v>3.1016556266504746E-3</v>
      </c>
    </row>
    <row r="339" spans="1:5" x14ac:dyDescent="0.2">
      <c r="A339" s="148">
        <f t="shared" si="70"/>
        <v>2008</v>
      </c>
      <c r="B339" s="197">
        <f>'Rate Class Load Model'!B26</f>
        <v>2.8765384169792724E-3</v>
      </c>
      <c r="C339" s="197">
        <f>'Rate Class Load Model'!D26</f>
        <v>2.79090490012602E-3</v>
      </c>
      <c r="D339" s="197">
        <f>'Rate Class Load Model'!E26</f>
        <v>2.8328275112671918E-3</v>
      </c>
    </row>
    <row r="340" spans="1:5" x14ac:dyDescent="0.2">
      <c r="A340" s="148">
        <f t="shared" si="70"/>
        <v>2009</v>
      </c>
      <c r="B340" s="197">
        <f>'Rate Class Load Model'!B27</f>
        <v>2.8843985179313083E-3</v>
      </c>
      <c r="C340" s="197">
        <f>'Rate Class Load Model'!D27</f>
        <v>2.790106558947578E-3</v>
      </c>
      <c r="D340" s="197">
        <f>'Rate Class Load Model'!E27</f>
        <v>3.4490291122876472E-3</v>
      </c>
    </row>
    <row r="341" spans="1:5" x14ac:dyDescent="0.2">
      <c r="A341" s="148">
        <f t="shared" si="70"/>
        <v>2010</v>
      </c>
      <c r="B341" s="197">
        <f>'Rate Class Load Model'!B28</f>
        <v>2.9823419879910096E-3</v>
      </c>
      <c r="C341" s="197">
        <f>'Rate Class Load Model'!D28</f>
        <v>2.7909111564199786E-3</v>
      </c>
      <c r="D341" s="197">
        <f>'Rate Class Load Model'!E28</f>
        <v>3.0983480273868501E-3</v>
      </c>
    </row>
    <row r="342" spans="1:5" x14ac:dyDescent="0.2">
      <c r="A342" s="148">
        <f t="shared" si="70"/>
        <v>2011</v>
      </c>
      <c r="B342" s="197">
        <f>'Rate Class Load Model'!B29</f>
        <v>2.7781743913623275E-3</v>
      </c>
      <c r="C342" s="197">
        <f>'Rate Class Load Model'!D29</f>
        <v>2.779500108554404E-3</v>
      </c>
      <c r="D342" s="197">
        <f>'Rate Class Load Model'!E29</f>
        <v>2.753175881195205E-3</v>
      </c>
    </row>
    <row r="343" spans="1:5" x14ac:dyDescent="0.2">
      <c r="A343" s="148">
        <f t="shared" si="70"/>
        <v>2012</v>
      </c>
      <c r="B343" s="197">
        <f>'Rate Class Load Model'!B30</f>
        <v>2.7415626762043793E-3</v>
      </c>
      <c r="C343" s="197">
        <f>'Rate Class Load Model'!D30</f>
        <v>2.7727429102504197E-3</v>
      </c>
      <c r="D343" s="197">
        <f>'Rate Class Load Model'!E30</f>
        <v>2.7446843083183598E-3</v>
      </c>
    </row>
    <row r="344" spans="1:5" x14ac:dyDescent="0.2">
      <c r="A344" s="148">
        <f t="shared" si="70"/>
        <v>2013</v>
      </c>
      <c r="B344" s="197">
        <f>'Rate Class Load Model'!B31</f>
        <v>2.8197258143192907E-3</v>
      </c>
      <c r="C344" s="197">
        <f>'Rate Class Load Model'!D31</f>
        <v>2.7855701629328259E-3</v>
      </c>
      <c r="D344" s="197">
        <f>'Rate Class Load Model'!E31</f>
        <v>2.7918619650314819E-3</v>
      </c>
    </row>
    <row r="345" spans="1:5" x14ac:dyDescent="0.2">
      <c r="A345" s="148">
        <f t="shared" si="70"/>
        <v>2014</v>
      </c>
      <c r="B345" s="197">
        <f>'Rate Class Load Model'!B32</f>
        <v>2.7905397653945107E-3</v>
      </c>
      <c r="C345" s="197">
        <f>'Rate Class Load Model'!D32</f>
        <v>2.7930260631834265E-3</v>
      </c>
      <c r="D345" s="197">
        <f>'Rate Class Load Model'!E32</f>
        <v>2.7632987008585777E-3</v>
      </c>
    </row>
    <row r="346" spans="1:5" x14ac:dyDescent="0.2">
      <c r="A346" s="187">
        <f t="shared" si="70"/>
        <v>2015</v>
      </c>
      <c r="B346" s="197">
        <f>'Rate Class Load Model'!B33</f>
        <v>2.881092652070651E-3</v>
      </c>
      <c r="C346" s="197">
        <f>'Rate Class Load Model'!D33</f>
        <v>2.8345239413538922E-3</v>
      </c>
      <c r="D346" s="197">
        <f>'Rate Class Load Model'!E33</f>
        <v>2.7547734374585523E-3</v>
      </c>
    </row>
    <row r="347" spans="1:5" x14ac:dyDescent="0.2">
      <c r="A347" s="148">
        <f t="shared" si="70"/>
        <v>2016</v>
      </c>
      <c r="B347" s="197">
        <f>'Rate Class Load Model'!B34</f>
        <v>2.7645777061329783E-3</v>
      </c>
      <c r="C347" s="197">
        <f>'Rate Class Load Model'!D34</f>
        <v>2.8950899629687464E-3</v>
      </c>
      <c r="D347" s="197">
        <f>'Rate Class Load Model'!E34</f>
        <v>2.7500643816625015E-3</v>
      </c>
    </row>
    <row r="348" spans="1:5" x14ac:dyDescent="0.2">
      <c r="A348" s="148" t="s">
        <v>288</v>
      </c>
      <c r="B348" s="197">
        <f>AVERAGE(B333:B347)</f>
        <v>2.8170266258395107E-3</v>
      </c>
      <c r="C348" s="197">
        <f t="shared" ref="C348:D348" si="71">AVERAGE(C333:C347)</f>
        <v>2.7847169199713656E-3</v>
      </c>
      <c r="D348" s="197">
        <f t="shared" si="71"/>
        <v>2.9858950211016796E-3</v>
      </c>
    </row>
    <row r="349" spans="1:5" x14ac:dyDescent="0.2">
      <c r="A349" s="148" t="s">
        <v>62</v>
      </c>
      <c r="B349" s="198">
        <f>B348</f>
        <v>2.8170266258395107E-3</v>
      </c>
      <c r="C349" s="198">
        <f t="shared" ref="C349:D349" si="72">C348</f>
        <v>2.7847169199713656E-3</v>
      </c>
      <c r="D349" s="198">
        <f t="shared" si="72"/>
        <v>2.9858950211016796E-3</v>
      </c>
    </row>
    <row r="351" spans="1:5" x14ac:dyDescent="0.2">
      <c r="A351" s="199" t="s">
        <v>154</v>
      </c>
      <c r="B351" s="235"/>
      <c r="C351" s="235"/>
      <c r="D351" s="183"/>
      <c r="E351" s="162"/>
    </row>
    <row r="352" spans="1:5" ht="51" x14ac:dyDescent="0.2">
      <c r="A352" s="249" t="s">
        <v>95</v>
      </c>
      <c r="B352" s="137" t="str">
        <f>B311</f>
        <v>General Service 
50 to 
4,999 kW</v>
      </c>
      <c r="C352" s="137" t="str">
        <f t="shared" ref="C352:E352" si="73">C311</f>
        <v xml:space="preserve">Street Lights </v>
      </c>
      <c r="D352" s="137" t="str">
        <f t="shared" si="73"/>
        <v>Sentinel Lights</v>
      </c>
      <c r="E352" s="137" t="str">
        <f t="shared" si="73"/>
        <v>Total</v>
      </c>
    </row>
    <row r="353" spans="1:24" x14ac:dyDescent="0.2">
      <c r="A353" s="283" t="s">
        <v>141</v>
      </c>
      <c r="B353" s="283"/>
      <c r="C353" s="283"/>
      <c r="D353" s="283"/>
      <c r="E353" s="283"/>
    </row>
    <row r="354" spans="1:24" x14ac:dyDescent="0.2">
      <c r="A354" s="148" t="str">
        <f>A308</f>
        <v>2017 Test - Forecast</v>
      </c>
      <c r="B354" s="179">
        <f>'Rate Class Load Model'!B17</f>
        <v>393936.63851818646</v>
      </c>
      <c r="C354" s="179">
        <f>'Rate Class Load Model'!D17</f>
        <v>4406.7319972264631</v>
      </c>
      <c r="D354" s="179">
        <f>'Rate Class Load Model'!E17</f>
        <v>2061</v>
      </c>
      <c r="E354" s="111">
        <f>SUM(B354:D354)</f>
        <v>400404.37051541294</v>
      </c>
    </row>
    <row r="355" spans="1:24" x14ac:dyDescent="0.2">
      <c r="A355" s="199"/>
      <c r="B355" s="200"/>
      <c r="C355" s="200"/>
      <c r="D355" s="200"/>
      <c r="E355" s="200"/>
    </row>
    <row r="357" spans="1:24" x14ac:dyDescent="0.2">
      <c r="P357" s="158" t="s">
        <v>155</v>
      </c>
      <c r="Q357" s="159"/>
      <c r="R357" s="159"/>
      <c r="S357" s="159"/>
      <c r="T357" s="159"/>
      <c r="U357" s="159"/>
      <c r="V357" s="159"/>
      <c r="W357" s="159"/>
      <c r="X357" s="160"/>
    </row>
    <row r="358" spans="1:24" ht="38.25" x14ac:dyDescent="0.2">
      <c r="P358" s="176"/>
      <c r="Q358" s="201" t="s">
        <v>142</v>
      </c>
      <c r="R358" s="201" t="s">
        <v>224</v>
      </c>
      <c r="S358" s="202" t="s">
        <v>251</v>
      </c>
      <c r="T358" s="201" t="s">
        <v>225</v>
      </c>
      <c r="U358" s="201" t="s">
        <v>226</v>
      </c>
      <c r="V358" s="201" t="s">
        <v>227</v>
      </c>
      <c r="W358" s="147" t="s">
        <v>228</v>
      </c>
      <c r="X358" s="147" t="s">
        <v>229</v>
      </c>
    </row>
    <row r="359" spans="1:24" x14ac:dyDescent="0.2">
      <c r="P359" s="158" t="s">
        <v>7</v>
      </c>
      <c r="Q359" s="159"/>
      <c r="R359" s="159"/>
      <c r="S359" s="159"/>
      <c r="T359" s="159"/>
      <c r="U359" s="159"/>
      <c r="V359" s="159"/>
      <c r="W359" s="159"/>
      <c r="X359" s="160"/>
    </row>
    <row r="360" spans="1:24" x14ac:dyDescent="0.2">
      <c r="P360" s="148" t="s">
        <v>58</v>
      </c>
      <c r="Q360" s="157">
        <f>Summary!K4</f>
        <v>451220848.00000006</v>
      </c>
      <c r="R360" s="157">
        <f>Summary!L4</f>
        <v>421671164.32258064</v>
      </c>
      <c r="S360" s="125"/>
      <c r="T360" s="157">
        <f>Summary!M4</f>
        <v>415369616</v>
      </c>
      <c r="U360" s="157">
        <f>Summary!N4</f>
        <v>391554997.00000006</v>
      </c>
      <c r="V360" s="157">
        <f>Summary!O4</f>
        <v>372480929.99999994</v>
      </c>
      <c r="W360" s="157"/>
      <c r="X360" s="157"/>
    </row>
    <row r="361" spans="1:24" ht="38.25" x14ac:dyDescent="0.2">
      <c r="P361" s="127" t="s">
        <v>230</v>
      </c>
      <c r="Q361" s="157">
        <f>Summary!K5</f>
        <v>446307047.26310718</v>
      </c>
      <c r="R361" s="157">
        <f>Summary!L5</f>
        <v>428913787.08059371</v>
      </c>
      <c r="S361" s="125"/>
      <c r="T361" s="157">
        <f>Summary!M5</f>
        <v>408477732.4401511</v>
      </c>
      <c r="U361" s="157">
        <f>Summary!N5</f>
        <v>384614257.26620692</v>
      </c>
      <c r="V361" s="157">
        <f>Summary!O5</f>
        <v>377299933.41984731</v>
      </c>
      <c r="W361" s="157">
        <f>Summary!P5</f>
        <v>377684291.83828664</v>
      </c>
      <c r="X361" s="157">
        <f>Summary!Q5</f>
        <v>377669392.21158886</v>
      </c>
    </row>
    <row r="362" spans="1:24" ht="38.25" x14ac:dyDescent="0.2">
      <c r="P362" s="127" t="s">
        <v>231</v>
      </c>
      <c r="Q362" s="204">
        <f>Summary!K6</f>
        <v>-1.0890012637210589E-2</v>
      </c>
      <c r="R362" s="204">
        <f>Summary!K6</f>
        <v>-1.0890012637210589E-2</v>
      </c>
      <c r="S362" s="125"/>
      <c r="T362" s="204">
        <f>Summary!M6</f>
        <v>-1.6592170670107233E-2</v>
      </c>
      <c r="U362" s="204">
        <f>Summary!N6</f>
        <v>-1.7726091575823097E-2</v>
      </c>
      <c r="V362" s="204">
        <f>Summary!O6</f>
        <v>1.2937584267327109E-2</v>
      </c>
      <c r="W362" s="204"/>
      <c r="X362" s="204"/>
    </row>
    <row r="363" spans="1:24" x14ac:dyDescent="0.2">
      <c r="P363" s="206"/>
      <c r="Q363" s="125"/>
      <c r="R363" s="205"/>
      <c r="S363" s="207"/>
      <c r="T363" s="205"/>
      <c r="U363" s="208"/>
      <c r="V363" s="208"/>
      <c r="W363" s="208"/>
      <c r="X363" s="125"/>
    </row>
    <row r="364" spans="1:24" x14ac:dyDescent="0.2">
      <c r="P364" s="209" t="s">
        <v>1</v>
      </c>
      <c r="Q364" s="210"/>
      <c r="R364" s="205"/>
      <c r="S364" s="207"/>
      <c r="T364" s="205"/>
      <c r="U364" s="208"/>
      <c r="V364" s="208"/>
      <c r="W364" s="211">
        <f>'Rate Class Energy Model'!F24</f>
        <v>1.0413438814685017</v>
      </c>
      <c r="X364" s="170">
        <f>W364</f>
        <v>1.0413438814685017</v>
      </c>
    </row>
    <row r="365" spans="1:24" x14ac:dyDescent="0.2">
      <c r="P365" s="209"/>
      <c r="Q365" s="210"/>
      <c r="R365" s="205"/>
      <c r="S365" s="207"/>
      <c r="T365" s="205"/>
      <c r="U365" s="208"/>
      <c r="V365" s="208"/>
      <c r="W365" s="208"/>
      <c r="X365" s="125"/>
    </row>
    <row r="366" spans="1:24" ht="25.5" customHeight="1" x14ac:dyDescent="0.2">
      <c r="P366" s="209" t="s">
        <v>232</v>
      </c>
      <c r="Q366" s="157"/>
      <c r="R366" s="157"/>
      <c r="S366" s="125"/>
      <c r="T366" s="157"/>
      <c r="U366" s="157"/>
      <c r="V366" s="157"/>
      <c r="W366" s="157">
        <f>W361/W364</f>
        <v>362689308.0753274</v>
      </c>
      <c r="X366" s="157">
        <f>X361/X364</f>
        <v>362675000</v>
      </c>
    </row>
    <row r="367" spans="1:24" x14ac:dyDescent="0.2">
      <c r="P367" s="209" t="s">
        <v>233</v>
      </c>
      <c r="Q367" s="157"/>
      <c r="R367" s="157"/>
      <c r="S367" s="125"/>
      <c r="T367" s="157"/>
      <c r="U367" s="157"/>
      <c r="V367" s="157"/>
      <c r="W367" s="157" t="e">
        <f>-'Rate Class Energy Model'!#REF!</f>
        <v>#REF!</v>
      </c>
      <c r="X367" s="157">
        <f>-'Rate Class Energy Model'!G82</f>
        <v>0</v>
      </c>
    </row>
    <row r="368" spans="1:24" ht="25.5" x14ac:dyDescent="0.2">
      <c r="P368" s="209" t="s">
        <v>234</v>
      </c>
      <c r="Q368" s="157">
        <f>Summary!K11</f>
        <v>429972781</v>
      </c>
      <c r="R368" s="157">
        <f>Summary!L11</f>
        <v>405481205.32258064</v>
      </c>
      <c r="T368" s="157">
        <f>Summary!M11</f>
        <v>399002323</v>
      </c>
      <c r="U368" s="157">
        <f>Summary!N11</f>
        <v>380885629</v>
      </c>
      <c r="V368" s="157">
        <f>Summary!O11</f>
        <v>356369056</v>
      </c>
      <c r="W368" s="157" t="e">
        <f>W366-W367</f>
        <v>#REF!</v>
      </c>
      <c r="X368" s="157">
        <f>X366-X367</f>
        <v>362675000</v>
      </c>
    </row>
    <row r="369" spans="16:24" x14ac:dyDescent="0.2">
      <c r="P369" s="212"/>
      <c r="Q369" s="212"/>
      <c r="R369" s="205"/>
      <c r="S369" s="163"/>
      <c r="T369" s="208"/>
      <c r="U369" s="208"/>
      <c r="V369" s="208"/>
      <c r="W369" s="208"/>
      <c r="X369" s="125"/>
    </row>
    <row r="370" spans="16:24" x14ac:dyDescent="0.2">
      <c r="P370" s="158" t="s">
        <v>235</v>
      </c>
      <c r="Q370" s="159"/>
      <c r="R370" s="159"/>
      <c r="S370" s="159"/>
      <c r="T370" s="159"/>
      <c r="U370" s="159"/>
      <c r="V370" s="159"/>
      <c r="W370" s="159"/>
      <c r="X370" s="160"/>
    </row>
    <row r="371" spans="16:24" x14ac:dyDescent="0.2">
      <c r="P371" s="213" t="s">
        <v>143</v>
      </c>
      <c r="Q371" s="213"/>
      <c r="R371" s="213"/>
      <c r="S371" s="155"/>
      <c r="T371" s="203"/>
      <c r="U371" s="203"/>
      <c r="V371" s="203"/>
      <c r="W371" s="203"/>
      <c r="X371" s="125"/>
    </row>
    <row r="372" spans="16:24" x14ac:dyDescent="0.2">
      <c r="P372" s="141" t="s">
        <v>47</v>
      </c>
      <c r="Q372" s="155">
        <f>Summary!K15</f>
        <v>19716.902777777785</v>
      </c>
      <c r="R372" s="155">
        <f>Summary!L15</f>
        <v>20109.833333333332</v>
      </c>
      <c r="S372" s="155">
        <f>[13]Summary!M12</f>
        <v>20432.24624822551</v>
      </c>
      <c r="T372" s="155">
        <f>Summary!M15</f>
        <v>20265.75</v>
      </c>
      <c r="U372" s="155">
        <f>Summary!N15</f>
        <v>20472.166666666668</v>
      </c>
      <c r="V372" s="155">
        <f>Summary!O15</f>
        <v>20635.5</v>
      </c>
      <c r="W372" s="155">
        <f>Summary!P15</f>
        <v>20822.5</v>
      </c>
      <c r="X372" s="155">
        <f>Summary!Q15</f>
        <v>21025.494151407474</v>
      </c>
    </row>
    <row r="373" spans="16:24" x14ac:dyDescent="0.2">
      <c r="P373" s="148" t="s">
        <v>48</v>
      </c>
      <c r="Q373" s="155">
        <f>Summary!K16</f>
        <v>158621921</v>
      </c>
      <c r="R373" s="155">
        <f>Summary!L16</f>
        <v>159179968</v>
      </c>
      <c r="S373" s="155">
        <f>[13]Summary!M13</f>
        <v>162565618.49710244</v>
      </c>
      <c r="T373" s="155">
        <f>Summary!M16</f>
        <v>158724607</v>
      </c>
      <c r="U373" s="155">
        <f>Summary!N16</f>
        <v>158185053</v>
      </c>
      <c r="V373" s="155">
        <f>Summary!O16</f>
        <v>157973719</v>
      </c>
      <c r="W373" s="155" t="e">
        <f>Summary!#REF!</f>
        <v>#REF!</v>
      </c>
      <c r="X373" s="155">
        <f>Summary!Q16</f>
        <v>165521772.36384144</v>
      </c>
    </row>
    <row r="374" spans="16:24" x14ac:dyDescent="0.2">
      <c r="P374" s="212"/>
      <c r="Q374" s="212"/>
      <c r="R374" s="212"/>
      <c r="S374" s="155"/>
      <c r="T374" s="203"/>
      <c r="U374" s="203"/>
      <c r="V374" s="203"/>
      <c r="W374" s="203"/>
      <c r="X374" s="203"/>
    </row>
    <row r="375" spans="16:24" x14ac:dyDescent="0.2">
      <c r="P375" s="213" t="str">
        <f>C300</f>
        <v>General Service 
&lt; 50 kW</v>
      </c>
      <c r="Q375" s="213"/>
      <c r="R375" s="213"/>
      <c r="S375" s="155"/>
      <c r="T375" s="203"/>
      <c r="U375" s="203"/>
      <c r="V375" s="203"/>
      <c r="W375" s="203"/>
      <c r="X375" s="203"/>
    </row>
    <row r="376" spans="16:24" x14ac:dyDescent="0.2">
      <c r="P376" s="141" t="s">
        <v>47</v>
      </c>
      <c r="Q376" s="155">
        <f>Summary!K19</f>
        <v>1690.8055555555559</v>
      </c>
      <c r="R376" s="155">
        <f>Summary!L19</f>
        <v>1698.8333333333333</v>
      </c>
      <c r="S376" s="155">
        <f>[13]Summary!M16</f>
        <v>1695.799451063576</v>
      </c>
      <c r="T376" s="155">
        <f>Summary!M19</f>
        <v>1698.5</v>
      </c>
      <c r="U376" s="155">
        <f>Summary!N19</f>
        <v>1742.8333333333333</v>
      </c>
      <c r="V376" s="155">
        <f>Summary!O19</f>
        <v>1769.0833333333333</v>
      </c>
      <c r="W376" s="155">
        <f>Summary!P19</f>
        <v>1770.5833333333333</v>
      </c>
      <c r="X376" s="155">
        <f>Summary!Q19</f>
        <v>1777.2752111718162</v>
      </c>
    </row>
    <row r="377" spans="16:24" x14ac:dyDescent="0.2">
      <c r="P377" s="148" t="s">
        <v>48</v>
      </c>
      <c r="Q377" s="155">
        <f>Summary!K20</f>
        <v>54435719</v>
      </c>
      <c r="R377" s="155">
        <f>Summary!L20</f>
        <v>50022065</v>
      </c>
      <c r="S377" s="155">
        <f>[13]Summary!M17</f>
        <v>54784534.147389494</v>
      </c>
      <c r="T377" s="155">
        <f>Summary!M20</f>
        <v>52726527</v>
      </c>
      <c r="U377" s="155">
        <f>Summary!N20</f>
        <v>53903009</v>
      </c>
      <c r="V377" s="155">
        <f>Summary!O20</f>
        <v>54312604</v>
      </c>
      <c r="W377" s="155" t="e">
        <f>Summary!#REF!</f>
        <v>#REF!</v>
      </c>
      <c r="X377" s="155">
        <f>Summary!Q20</f>
        <v>54016205.037750974</v>
      </c>
    </row>
    <row r="378" spans="16:24" x14ac:dyDescent="0.2">
      <c r="P378" s="212"/>
      <c r="Q378" s="212"/>
      <c r="R378" s="212"/>
      <c r="S378" s="155"/>
      <c r="T378" s="203"/>
      <c r="U378" s="203"/>
      <c r="V378" s="203"/>
      <c r="W378" s="203"/>
      <c r="X378" s="203"/>
    </row>
    <row r="379" spans="16:24" x14ac:dyDescent="0.2">
      <c r="P379" s="213" t="str">
        <f>Summary!A22</f>
        <v>General Service 
50 to 
4,999 kW</v>
      </c>
      <c r="Q379" s="213"/>
      <c r="R379" s="213"/>
      <c r="S379" s="155"/>
      <c r="T379" s="203"/>
      <c r="U379" s="203"/>
      <c r="V379" s="203"/>
      <c r="W379" s="203"/>
      <c r="X379" s="203"/>
    </row>
    <row r="380" spans="16:24" x14ac:dyDescent="0.2">
      <c r="P380" s="141" t="s">
        <v>47</v>
      </c>
      <c r="Q380" s="155">
        <f>Summary!K23</f>
        <v>169.73611111111106</v>
      </c>
      <c r="R380" s="155">
        <f>Summary!L23</f>
        <v>173.25</v>
      </c>
      <c r="S380" s="155">
        <f>[13]Summary!M20</f>
        <v>169</v>
      </c>
      <c r="T380" s="155">
        <f>Summary!M23</f>
        <v>172.66666666666666</v>
      </c>
      <c r="U380" s="155">
        <f>Summary!N23</f>
        <v>165.41666666666666</v>
      </c>
      <c r="V380" s="155">
        <f>Summary!O23</f>
        <v>158.83333333333334</v>
      </c>
      <c r="W380" s="155">
        <f>Summary!P23</f>
        <v>159</v>
      </c>
      <c r="X380" s="155">
        <f>Summary!Q23</f>
        <v>154.41880152657515</v>
      </c>
    </row>
    <row r="381" spans="16:24" x14ac:dyDescent="0.2">
      <c r="P381" s="148" t="s">
        <v>48</v>
      </c>
      <c r="Q381" s="155">
        <f>Summary!K24</f>
        <v>150174158</v>
      </c>
      <c r="R381" s="155">
        <f>Summary!L24</f>
        <v>141440866.32258064</v>
      </c>
      <c r="S381" s="155">
        <f>[13]Summary!M21</f>
        <v>141530393.74885863</v>
      </c>
      <c r="T381" s="155">
        <f>Summary!M24</f>
        <v>138149957</v>
      </c>
      <c r="U381" s="155">
        <f>Summary!N24</f>
        <v>144192534</v>
      </c>
      <c r="V381" s="155">
        <f>Summary!O24</f>
        <v>139796962</v>
      </c>
      <c r="W381" s="155" t="e">
        <f>Summary!#REF!</f>
        <v>#REF!</v>
      </c>
      <c r="X381" s="155">
        <f>Summary!Q24</f>
        <v>139841290.42471802</v>
      </c>
    </row>
    <row r="382" spans="16:24" x14ac:dyDescent="0.2">
      <c r="P382" s="148" t="s">
        <v>49</v>
      </c>
      <c r="Q382" s="155">
        <f>Summary!K25</f>
        <v>417210</v>
      </c>
      <c r="R382" s="155">
        <f>Summary!L25</f>
        <v>387769</v>
      </c>
      <c r="S382" s="155">
        <f>[13]Summary!M22</f>
        <v>396002.04170930648</v>
      </c>
      <c r="T382" s="155">
        <f>Summary!M25</f>
        <v>389545</v>
      </c>
      <c r="U382" s="155">
        <f>Summary!N25</f>
        <v>402375</v>
      </c>
      <c r="V382" s="155">
        <f>Summary!O25</f>
        <v>402768</v>
      </c>
      <c r="W382" s="155">
        <f>Summary!P25</f>
        <v>396528</v>
      </c>
      <c r="X382" s="155">
        <f>Summary!Q25</f>
        <v>393936.63851818646</v>
      </c>
    </row>
    <row r="383" spans="16:24" x14ac:dyDescent="0.2">
      <c r="P383" s="212"/>
      <c r="Q383" s="212"/>
      <c r="R383" s="212"/>
      <c r="S383" s="155"/>
      <c r="T383" s="155"/>
      <c r="U383" s="155"/>
      <c r="V383" s="155"/>
      <c r="W383" s="155"/>
      <c r="X383" s="155"/>
    </row>
    <row r="384" spans="16:24" x14ac:dyDescent="0.2">
      <c r="P384" s="213" t="str">
        <f>Summary!A27</f>
        <v>Large User</v>
      </c>
      <c r="Q384" s="213"/>
      <c r="R384" s="213"/>
      <c r="S384" s="155"/>
      <c r="T384" s="203"/>
      <c r="U384" s="203"/>
      <c r="V384" s="203"/>
      <c r="W384" s="203"/>
      <c r="X384" s="203"/>
    </row>
    <row r="385" spans="16:24" x14ac:dyDescent="0.2">
      <c r="P385" s="141" t="str">
        <f>Summary!A28</f>
        <v xml:space="preserve">  Customers</v>
      </c>
      <c r="Q385" s="155">
        <f>Summary!K28</f>
        <v>1</v>
      </c>
      <c r="R385" s="155">
        <f>Summary!L28</f>
        <v>1</v>
      </c>
      <c r="S385" s="155">
        <f>[13]Summary!M25</f>
        <v>1</v>
      </c>
      <c r="T385" s="155">
        <f>Summary!M28</f>
        <v>1</v>
      </c>
      <c r="U385" s="155">
        <f>Summary!N28</f>
        <v>1</v>
      </c>
      <c r="V385" s="155">
        <f>Summary!O28</f>
        <v>1</v>
      </c>
      <c r="W385" s="155">
        <f>Summary!P28</f>
        <v>0</v>
      </c>
      <c r="X385" s="155">
        <f>Summary!Q28</f>
        <v>0</v>
      </c>
    </row>
    <row r="386" spans="16:24" x14ac:dyDescent="0.2">
      <c r="P386" s="141" t="str">
        <f>Summary!A29</f>
        <v xml:space="preserve">  kWh</v>
      </c>
      <c r="Q386" s="155">
        <f>Summary!K29</f>
        <v>59993492</v>
      </c>
      <c r="R386" s="155">
        <f>Summary!L29</f>
        <v>48424320</v>
      </c>
      <c r="S386" s="155">
        <f>[13]Summary!M26</f>
        <v>59538700.549472243</v>
      </c>
      <c r="T386" s="155">
        <f>Summary!M29</f>
        <v>44784691</v>
      </c>
      <c r="U386" s="155">
        <f>Summary!N29</f>
        <v>20367511</v>
      </c>
      <c r="V386" s="155">
        <f>Summary!O29</f>
        <v>277079</v>
      </c>
      <c r="W386" s="155" t="e">
        <f>Summary!#REF!</f>
        <v>#REF!</v>
      </c>
      <c r="X386" s="155">
        <f>Summary!Q29</f>
        <v>0</v>
      </c>
    </row>
    <row r="387" spans="16:24" x14ac:dyDescent="0.2">
      <c r="P387" s="141" t="str">
        <f>Summary!A30</f>
        <v xml:space="preserve">  kW</v>
      </c>
      <c r="Q387" s="155">
        <f>Summary!K30</f>
        <v>170236</v>
      </c>
      <c r="R387" s="155">
        <f>Summary!L30</f>
        <v>152573</v>
      </c>
      <c r="S387" s="155">
        <f>[13]Summary!M27</f>
        <v>168817.67255906758</v>
      </c>
      <c r="T387" s="155">
        <f>Summary!M30</f>
        <v>153121</v>
      </c>
      <c r="U387" s="155">
        <f>Summary!N30</f>
        <v>59144</v>
      </c>
      <c r="V387" s="155">
        <f>Summary!O30</f>
        <v>479</v>
      </c>
      <c r="W387" s="155">
        <f>Summary!P30</f>
        <v>0</v>
      </c>
      <c r="X387" s="155">
        <f>Summary!Q30</f>
        <v>0</v>
      </c>
    </row>
    <row r="388" spans="16:24" x14ac:dyDescent="0.2">
      <c r="P388" s="212"/>
      <c r="Q388" s="212"/>
      <c r="R388" s="212"/>
      <c r="S388" s="155"/>
      <c r="T388" s="155"/>
      <c r="U388" s="155"/>
      <c r="V388" s="155"/>
      <c r="W388" s="155"/>
      <c r="X388" s="155"/>
    </row>
    <row r="389" spans="16:24" x14ac:dyDescent="0.2">
      <c r="P389" s="213" t="s">
        <v>187</v>
      </c>
      <c r="Q389" s="213"/>
      <c r="R389" s="213"/>
      <c r="S389" s="155"/>
      <c r="T389" s="203"/>
      <c r="U389" s="203"/>
      <c r="V389" s="203"/>
      <c r="W389" s="203"/>
      <c r="X389" s="203"/>
    </row>
    <row r="390" spans="16:24" x14ac:dyDescent="0.2">
      <c r="P390" s="141" t="s">
        <v>69</v>
      </c>
      <c r="Q390" s="155">
        <f>Summary!K33</f>
        <v>6739</v>
      </c>
      <c r="R390" s="155">
        <f>Summary!L33</f>
        <v>6749.166666666667</v>
      </c>
      <c r="S390" s="155">
        <f>[13]Summary!M30</f>
        <v>6749.5</v>
      </c>
      <c r="T390" s="155">
        <f>Summary!M33</f>
        <v>6778.916666666667</v>
      </c>
      <c r="U390" s="155">
        <f>Summary!N33</f>
        <v>6784.333333333333</v>
      </c>
      <c r="V390" s="155">
        <f>Summary!O33</f>
        <v>6792.583333333333</v>
      </c>
      <c r="W390" s="155">
        <f>Summary!P33</f>
        <v>6825</v>
      </c>
      <c r="X390" s="155">
        <f>Summary!Q33</f>
        <v>6855.5173219454664</v>
      </c>
    </row>
    <row r="391" spans="16:24" x14ac:dyDescent="0.2">
      <c r="P391" s="148" t="s">
        <v>48</v>
      </c>
      <c r="Q391" s="155">
        <f>Summary!K34</f>
        <v>4730347</v>
      </c>
      <c r="R391" s="155">
        <f>Summary!L34</f>
        <v>4479319</v>
      </c>
      <c r="S391" s="155">
        <f>[13]Summary!M31</f>
        <v>1273280.9617749564</v>
      </c>
      <c r="T391" s="155">
        <f>Summary!M34</f>
        <v>2844301</v>
      </c>
      <c r="U391" s="155">
        <f>Summary!N34</f>
        <v>2503378</v>
      </c>
      <c r="V391" s="155">
        <f>Summary!O34</f>
        <v>2284687</v>
      </c>
      <c r="W391" s="155" t="e">
        <f>Summary!#REF!</f>
        <v>#REF!</v>
      </c>
      <c r="X391" s="155">
        <f>Summary!Q34</f>
        <v>1582470.3637279498</v>
      </c>
    </row>
    <row r="392" spans="16:24" x14ac:dyDescent="0.2">
      <c r="P392" s="148" t="s">
        <v>49</v>
      </c>
      <c r="Q392" s="155">
        <f>Summary!K35</f>
        <v>13148</v>
      </c>
      <c r="R392" s="155">
        <f>Summary!L35</f>
        <v>12420</v>
      </c>
      <c r="S392" s="155">
        <f>[13]Summary!M32</f>
        <v>3552</v>
      </c>
      <c r="T392" s="155">
        <f>Summary!M35</f>
        <v>7923</v>
      </c>
      <c r="U392" s="155">
        <f>Summary!N35</f>
        <v>6992</v>
      </c>
      <c r="V392" s="155">
        <f>Summary!O35</f>
        <v>6476</v>
      </c>
      <c r="W392" s="155">
        <f>Summary!P35</f>
        <v>4561</v>
      </c>
      <c r="X392" s="155">
        <f>Summary!Q35</f>
        <v>4406.7319972264631</v>
      </c>
    </row>
    <row r="393" spans="16:24" x14ac:dyDescent="0.2">
      <c r="P393" s="148"/>
      <c r="Q393" s="250"/>
      <c r="R393" s="250"/>
      <c r="S393" s="155"/>
      <c r="T393" s="155"/>
      <c r="U393" s="155"/>
      <c r="V393" s="155"/>
      <c r="W393" s="155"/>
      <c r="X393" s="155"/>
    </row>
    <row r="394" spans="16:24" x14ac:dyDescent="0.2">
      <c r="P394" s="213" t="str">
        <f>Summary!A37</f>
        <v>Sentinel Lights</v>
      </c>
      <c r="Q394" s="213"/>
      <c r="R394" s="213"/>
      <c r="S394" s="155"/>
      <c r="T394" s="203"/>
      <c r="U394" s="203"/>
      <c r="V394" s="203"/>
      <c r="W394" s="203"/>
      <c r="X394" s="203"/>
    </row>
    <row r="395" spans="16:24" x14ac:dyDescent="0.2">
      <c r="P395" s="141" t="s">
        <v>69</v>
      </c>
      <c r="Q395" s="155">
        <f>Summary!K38</f>
        <v>663.28472222222206</v>
      </c>
      <c r="R395" s="155">
        <f>Summary!L38</f>
        <v>626.84577546296293</v>
      </c>
      <c r="S395" s="155">
        <f>[13]Summary!M35</f>
        <v>574</v>
      </c>
      <c r="T395" s="155">
        <f>Summary!M38</f>
        <v>580.25</v>
      </c>
      <c r="U395" s="155">
        <f>Summary!N38</f>
        <v>519.16666666666663</v>
      </c>
      <c r="V395" s="155">
        <f>Summary!O38</f>
        <v>515.08333333333337</v>
      </c>
      <c r="W395" s="155">
        <f>Summary!P38</f>
        <v>508.75</v>
      </c>
      <c r="X395" s="155">
        <f>Summary!Q38</f>
        <v>508.75</v>
      </c>
    </row>
    <row r="396" spans="16:24" x14ac:dyDescent="0.2">
      <c r="P396" s="148" t="s">
        <v>48</v>
      </c>
      <c r="Q396" s="155">
        <f>Summary!K39</f>
        <v>894240</v>
      </c>
      <c r="R396" s="155">
        <f>Summary!L39</f>
        <v>849278</v>
      </c>
      <c r="S396" s="155">
        <f>[13]Summary!M36</f>
        <v>831976.87357555667</v>
      </c>
      <c r="T396" s="155">
        <f>Summary!M39</f>
        <v>782990</v>
      </c>
      <c r="U396" s="155">
        <f>Summary!N39</f>
        <v>767199</v>
      </c>
      <c r="V396" s="155">
        <f>Summary!O39</f>
        <v>753964</v>
      </c>
      <c r="W396" s="155" t="e">
        <f>Summary!#REF!</f>
        <v>#REF!</v>
      </c>
      <c r="X396" s="155">
        <f>Summary!Q39</f>
        <v>749437</v>
      </c>
    </row>
    <row r="397" spans="16:24" x14ac:dyDescent="0.2">
      <c r="P397" s="148" t="s">
        <v>49</v>
      </c>
      <c r="Q397" s="155">
        <f>Summary!K40</f>
        <v>2462</v>
      </c>
      <c r="R397" s="155">
        <f>Summary!L40</f>
        <v>2331</v>
      </c>
      <c r="S397" s="155">
        <f>[13]Summary!M37</f>
        <v>2296.8000000000002</v>
      </c>
      <c r="T397" s="155">
        <f>Summary!M40</f>
        <v>2186</v>
      </c>
      <c r="U397" s="155">
        <f>Summary!N40</f>
        <v>2120</v>
      </c>
      <c r="V397" s="155">
        <f>Summary!O40</f>
        <v>2077</v>
      </c>
      <c r="W397" s="155">
        <f>Summary!P40</f>
        <v>2061</v>
      </c>
      <c r="X397" s="155">
        <f>Summary!Q40</f>
        <v>2061</v>
      </c>
    </row>
    <row r="398" spans="16:24" x14ac:dyDescent="0.2">
      <c r="P398" s="148"/>
      <c r="Q398" s="250"/>
      <c r="R398" s="250"/>
      <c r="S398" s="155"/>
      <c r="T398" s="155"/>
      <c r="U398" s="155"/>
      <c r="V398" s="155"/>
      <c r="W398" s="155"/>
      <c r="X398" s="155"/>
    </row>
    <row r="399" spans="16:24" x14ac:dyDescent="0.2">
      <c r="P399" s="213" t="str">
        <f>Summary!A42</f>
        <v xml:space="preserve">Unmetered Scattered Loads </v>
      </c>
      <c r="Q399" s="213"/>
      <c r="R399" s="213"/>
      <c r="S399" s="155"/>
      <c r="T399" s="203"/>
      <c r="U399" s="203"/>
      <c r="V399" s="203"/>
      <c r="W399" s="203"/>
      <c r="X399" s="203"/>
    </row>
    <row r="400" spans="16:24" x14ac:dyDescent="0.2">
      <c r="P400" s="141" t="s">
        <v>69</v>
      </c>
      <c r="Q400" s="155">
        <f>Summary!K43</f>
        <v>226.32291666666671</v>
      </c>
      <c r="R400" s="155">
        <f>Summary!L43</f>
        <v>220.70008680555566</v>
      </c>
      <c r="S400" s="155">
        <f>[13]Summary!M40</f>
        <v>225.35874142083784</v>
      </c>
      <c r="T400" s="155">
        <f>Summary!M43</f>
        <v>235.5</v>
      </c>
      <c r="U400" s="155">
        <f>Summary!N43</f>
        <v>259.33333333333331</v>
      </c>
      <c r="V400" s="155">
        <f>Summary!O43</f>
        <v>256.66666666666669</v>
      </c>
      <c r="W400" s="155">
        <f>Summary!P43</f>
        <v>261.33333333333331</v>
      </c>
      <c r="X400" s="155">
        <f>Summary!Q43</f>
        <v>261.33333333333331</v>
      </c>
    </row>
    <row r="401" spans="6:30" x14ac:dyDescent="0.2">
      <c r="P401" s="148" t="s">
        <v>48</v>
      </c>
      <c r="Q401" s="155">
        <f>Summary!K44</f>
        <v>1122904</v>
      </c>
      <c r="R401" s="155">
        <f>Summary!L44</f>
        <v>1085389</v>
      </c>
      <c r="S401" s="155">
        <f>[13]Summary!M41</f>
        <v>1111229.6191108765</v>
      </c>
      <c r="T401" s="155">
        <f>Summary!M44</f>
        <v>989250</v>
      </c>
      <c r="U401" s="155">
        <f>Summary!N44</f>
        <v>966945</v>
      </c>
      <c r="V401" s="155">
        <f>Summary!O44</f>
        <v>970041</v>
      </c>
      <c r="W401" s="155" t="e">
        <f>Summary!#REF!</f>
        <v>#REF!</v>
      </c>
      <c r="X401" s="155">
        <f>Summary!Q44</f>
        <v>963824.80996160558</v>
      </c>
    </row>
    <row r="402" spans="6:30" x14ac:dyDescent="0.2">
      <c r="P402" s="212"/>
      <c r="Q402" s="212"/>
      <c r="R402" s="212"/>
      <c r="S402" s="155"/>
      <c r="T402" s="155"/>
      <c r="U402" s="155"/>
      <c r="V402" s="155"/>
      <c r="W402" s="155"/>
      <c r="X402" s="125"/>
    </row>
    <row r="403" spans="6:30" x14ac:dyDescent="0.2">
      <c r="P403" s="214" t="s">
        <v>16</v>
      </c>
      <c r="Q403" s="214"/>
      <c r="R403" s="214"/>
      <c r="S403" s="155"/>
      <c r="T403" s="155"/>
      <c r="U403" s="155"/>
      <c r="V403" s="155"/>
      <c r="W403" s="155"/>
      <c r="X403" s="125"/>
    </row>
    <row r="404" spans="6:30" x14ac:dyDescent="0.2">
      <c r="P404" s="125" t="s">
        <v>57</v>
      </c>
      <c r="Q404" s="111">
        <f>Q372+Q376+Q380+Q390+Q395+Q400+Q385</f>
        <v>29207.052083333339</v>
      </c>
      <c r="R404" s="111">
        <f t="shared" ref="R404:X404" si="74">R372+R376+R380+R390+R395+R400+R385</f>
        <v>29579.62919560185</v>
      </c>
      <c r="S404" s="111">
        <f t="shared" si="74"/>
        <v>29846.904440709925</v>
      </c>
      <c r="T404" s="111">
        <f t="shared" si="74"/>
        <v>29732.583333333336</v>
      </c>
      <c r="U404" s="111">
        <f t="shared" si="74"/>
        <v>29944.25</v>
      </c>
      <c r="V404" s="111">
        <f t="shared" si="74"/>
        <v>30128.749999999996</v>
      </c>
      <c r="W404" s="111">
        <f t="shared" si="74"/>
        <v>30347.166666666664</v>
      </c>
      <c r="X404" s="111">
        <f t="shared" si="74"/>
        <v>30582.788819384663</v>
      </c>
    </row>
    <row r="405" spans="6:30" x14ac:dyDescent="0.2">
      <c r="P405" s="215" t="s">
        <v>48</v>
      </c>
      <c r="Q405" s="111">
        <f t="shared" ref="Q405:X406" si="75">Q373+Q377+Q381+Q391+Q396+Q401+Q386</f>
        <v>429972781</v>
      </c>
      <c r="R405" s="111">
        <f t="shared" si="75"/>
        <v>405481205.32258064</v>
      </c>
      <c r="S405" s="111">
        <f t="shared" si="75"/>
        <v>421635734.39728427</v>
      </c>
      <c r="T405" s="111">
        <f t="shared" si="75"/>
        <v>399002323</v>
      </c>
      <c r="U405" s="111">
        <f t="shared" si="75"/>
        <v>380885629</v>
      </c>
      <c r="V405" s="111">
        <f t="shared" si="75"/>
        <v>356369056</v>
      </c>
      <c r="W405" s="111" t="e">
        <f t="shared" si="75"/>
        <v>#REF!</v>
      </c>
      <c r="X405" s="111">
        <f t="shared" si="75"/>
        <v>362675000</v>
      </c>
    </row>
    <row r="406" spans="6:30" ht="25.5" x14ac:dyDescent="0.2">
      <c r="K406"/>
      <c r="L406"/>
      <c r="M406"/>
      <c r="N406"/>
      <c r="O406"/>
      <c r="P406" s="209" t="s">
        <v>236</v>
      </c>
      <c r="Q406" s="111">
        <f t="shared" si="75"/>
        <v>603056</v>
      </c>
      <c r="R406" s="111">
        <f t="shared" si="75"/>
        <v>555093</v>
      </c>
      <c r="S406" s="111">
        <f t="shared" si="75"/>
        <v>570668.51426837407</v>
      </c>
      <c r="T406" s="111">
        <f t="shared" si="75"/>
        <v>552775</v>
      </c>
      <c r="U406" s="111">
        <f t="shared" si="75"/>
        <v>470631</v>
      </c>
      <c r="V406" s="111">
        <f t="shared" si="75"/>
        <v>411800</v>
      </c>
      <c r="W406" s="111">
        <f t="shared" si="75"/>
        <v>403150</v>
      </c>
      <c r="X406" s="111">
        <f t="shared" si="75"/>
        <v>400404.37051541294</v>
      </c>
    </row>
    <row r="407" spans="6:30" x14ac:dyDescent="0.2">
      <c r="F407"/>
      <c r="G407"/>
      <c r="H407"/>
      <c r="I407"/>
      <c r="J407"/>
    </row>
    <row r="408" spans="6:30" x14ac:dyDescent="0.2">
      <c r="Q408" s="81"/>
      <c r="R408" s="81"/>
      <c r="S408" s="81"/>
      <c r="T408" s="81"/>
      <c r="U408" s="81"/>
      <c r="V408" s="81"/>
      <c r="W408" s="81"/>
      <c r="X408" s="81"/>
      <c r="Y408"/>
      <c r="Z408" s="178"/>
      <c r="AA408" s="178"/>
      <c r="AB408" s="178"/>
      <c r="AC408" s="178"/>
    </row>
    <row r="409" spans="6:30" x14ac:dyDescent="0.2">
      <c r="F409" s="90"/>
      <c r="G409" s="90"/>
      <c r="H409" s="90"/>
      <c r="I409" s="90"/>
      <c r="J409" s="90"/>
      <c r="Q409" s="81"/>
      <c r="R409" s="81"/>
      <c r="S409" s="81"/>
      <c r="T409" s="81"/>
      <c r="U409" s="81"/>
      <c r="V409" s="81"/>
      <c r="W409" s="81"/>
      <c r="X409" s="81"/>
      <c r="Y409"/>
      <c r="Z409" s="199" t="s">
        <v>267</v>
      </c>
      <c r="AA409" s="199"/>
      <c r="AB409" s="199"/>
      <c r="AC409" s="178"/>
    </row>
    <row r="410" spans="6:30" ht="25.5" x14ac:dyDescent="0.2">
      <c r="F410" s="90"/>
      <c r="G410" s="90"/>
      <c r="H410" s="90"/>
      <c r="I410" s="90"/>
      <c r="J410" s="90"/>
      <c r="Q410" s="81"/>
      <c r="R410" s="81"/>
      <c r="S410" s="81"/>
      <c r="T410" s="81"/>
      <c r="U410" s="81"/>
      <c r="V410" s="81"/>
      <c r="W410" s="81"/>
      <c r="X410" s="81"/>
      <c r="Y410"/>
      <c r="Z410" s="216" t="s">
        <v>237</v>
      </c>
      <c r="AA410" s="126" t="s">
        <v>266</v>
      </c>
      <c r="AB410" s="217" t="s">
        <v>238</v>
      </c>
      <c r="AC410" s="217" t="s">
        <v>239</v>
      </c>
      <c r="AD410" s="217" t="s">
        <v>240</v>
      </c>
    </row>
    <row r="411" spans="6:30" x14ac:dyDescent="0.2">
      <c r="F411" s="90"/>
      <c r="G411" s="90"/>
      <c r="H411" s="90"/>
      <c r="I411" s="90"/>
      <c r="J411" s="90"/>
      <c r="Z411" s="218" t="str">
        <f>N5</f>
        <v xml:space="preserve">Residential </v>
      </c>
      <c r="AA411" s="219">
        <f>O5</f>
        <v>5629382</v>
      </c>
      <c r="AB411" s="219">
        <f>P5</f>
        <v>6218897</v>
      </c>
      <c r="AC411" s="219">
        <f>AB411-AA411</f>
        <v>589515</v>
      </c>
      <c r="AD411" s="220">
        <f>AC411/AA411</f>
        <v>0.10472108661305983</v>
      </c>
    </row>
    <row r="412" spans="6:30" x14ac:dyDescent="0.2">
      <c r="Z412" s="218" t="str">
        <f>N6</f>
        <v>General Service &lt; 50 kW</v>
      </c>
      <c r="AA412" s="219">
        <f>O6</f>
        <v>943858</v>
      </c>
      <c r="AB412" s="219">
        <f>P6</f>
        <v>1002427</v>
      </c>
      <c r="AC412" s="219">
        <f t="shared" ref="AC412:AC417" si="76">AB412-AA412</f>
        <v>58569</v>
      </c>
      <c r="AD412" s="220">
        <f t="shared" ref="AD412:AD417" si="77">AC412/AA412</f>
        <v>6.2052766411896706E-2</v>
      </c>
    </row>
    <row r="413" spans="6:30" x14ac:dyDescent="0.2">
      <c r="Z413" s="218" t="str">
        <f>N7</f>
        <v>General Service 50 to 4,999 kW</v>
      </c>
      <c r="AA413" s="219">
        <f>O7</f>
        <v>1105710</v>
      </c>
      <c r="AB413" s="219">
        <f>P7</f>
        <v>1129645</v>
      </c>
      <c r="AC413" s="219">
        <f t="shared" si="76"/>
        <v>23935</v>
      </c>
      <c r="AD413" s="220">
        <f t="shared" si="77"/>
        <v>2.1646724728907218E-2</v>
      </c>
    </row>
    <row r="414" spans="6:30" x14ac:dyDescent="0.2">
      <c r="Z414" s="218" t="str">
        <f>N8</f>
        <v>Large User</v>
      </c>
      <c r="AA414" s="219">
        <f>O8</f>
        <v>180230</v>
      </c>
      <c r="AB414" s="219">
        <f>P8</f>
        <v>182073</v>
      </c>
      <c r="AC414" s="219">
        <f t="shared" si="76"/>
        <v>1843</v>
      </c>
      <c r="AD414" s="220">
        <f t="shared" si="77"/>
        <v>1.0225822560062143E-2</v>
      </c>
    </row>
    <row r="415" spans="6:30" x14ac:dyDescent="0.2">
      <c r="Z415" s="218" t="str">
        <f>N9</f>
        <v xml:space="preserve">Street Lights </v>
      </c>
      <c r="AA415" s="219">
        <f>O9</f>
        <v>338294</v>
      </c>
      <c r="AB415" s="219">
        <f>P9</f>
        <v>335022</v>
      </c>
      <c r="AC415" s="219">
        <f t="shared" si="76"/>
        <v>-3272</v>
      </c>
      <c r="AD415" s="220">
        <f t="shared" si="77"/>
        <v>-9.6720603971693266E-3</v>
      </c>
    </row>
    <row r="416" spans="6:30" x14ac:dyDescent="0.2">
      <c r="Z416" s="218" t="str">
        <f>N10</f>
        <v>Sentinel Lights</v>
      </c>
      <c r="AA416" s="219">
        <f>O10</f>
        <v>33668</v>
      </c>
      <c r="AB416" s="219">
        <f>P10</f>
        <v>32443</v>
      </c>
      <c r="AC416" s="219">
        <f t="shared" si="76"/>
        <v>-1225</v>
      </c>
      <c r="AD416" s="220">
        <f t="shared" si="77"/>
        <v>-3.63846976357372E-2</v>
      </c>
    </row>
    <row r="417" spans="26:42" x14ac:dyDescent="0.2">
      <c r="Z417" s="218" t="str">
        <f>N11</f>
        <v xml:space="preserve">Unmetered Scattered Loads </v>
      </c>
      <c r="AA417" s="219">
        <f>O11</f>
        <v>46052</v>
      </c>
      <c r="AB417" s="219">
        <f>P11</f>
        <v>45575</v>
      </c>
      <c r="AC417" s="219">
        <f t="shared" si="76"/>
        <v>-477</v>
      </c>
      <c r="AD417" s="220">
        <f t="shared" si="77"/>
        <v>-1.0357856336315469E-2</v>
      </c>
    </row>
    <row r="418" spans="26:42" x14ac:dyDescent="0.2">
      <c r="Z418" s="221" t="s">
        <v>16</v>
      </c>
      <c r="AA418" s="219">
        <f>SUM(AA411:AA417)</f>
        <v>8277194</v>
      </c>
      <c r="AB418" s="219">
        <f t="shared" ref="AB418:AC418" si="78">SUM(AB411:AB417)</f>
        <v>8946082</v>
      </c>
      <c r="AC418" s="219">
        <f t="shared" si="78"/>
        <v>668888</v>
      </c>
      <c r="AD418" s="220">
        <f t="shared" ref="AD418" si="79">AC418/AA418</f>
        <v>8.0810960815948019E-2</v>
      </c>
    </row>
    <row r="419" spans="26:42" x14ac:dyDescent="0.2">
      <c r="AE419" s="178"/>
      <c r="AF419" s="178"/>
      <c r="AG419" s="222"/>
      <c r="AH419" s="222"/>
      <c r="AI419" s="222"/>
    </row>
    <row r="420" spans="26:42" x14ac:dyDescent="0.2">
      <c r="AE420" s="199" t="s">
        <v>268</v>
      </c>
      <c r="AF420" s="199"/>
      <c r="AG420" s="199"/>
      <c r="AH420" s="178"/>
      <c r="AI420" s="222"/>
    </row>
    <row r="421" spans="26:42" ht="54.75" customHeight="1" x14ac:dyDescent="0.2">
      <c r="AE421" s="223" t="s">
        <v>241</v>
      </c>
      <c r="AF421" s="275" t="s">
        <v>242</v>
      </c>
      <c r="AG421" s="275"/>
      <c r="AH421" s="138" t="s">
        <v>243</v>
      </c>
      <c r="AI421" s="276" t="s">
        <v>244</v>
      </c>
      <c r="AJ421" s="276"/>
      <c r="AK421" s="277" t="s">
        <v>245</v>
      </c>
      <c r="AL421" s="277"/>
      <c r="AM421" s="277" t="s">
        <v>246</v>
      </c>
      <c r="AN421" s="277"/>
      <c r="AO421" s="277" t="s">
        <v>247</v>
      </c>
      <c r="AP421" s="277"/>
    </row>
    <row r="422" spans="26:42" ht="19.5" customHeight="1" x14ac:dyDescent="0.2">
      <c r="AE422" s="278" t="str">
        <f>F159</f>
        <v>Weather 
Normal Conversion 
Factor</v>
      </c>
      <c r="AF422" s="278"/>
      <c r="AG422" s="278"/>
      <c r="AH422" s="278"/>
      <c r="AI422" s="278"/>
      <c r="AJ422" s="278"/>
      <c r="AK422" s="225">
        <f>F170</f>
        <v>0.99923118144812428</v>
      </c>
      <c r="AL422" s="225">
        <f>F171</f>
        <v>1.0103961425464145</v>
      </c>
      <c r="AM422" s="277"/>
      <c r="AN422" s="277"/>
      <c r="AO422" s="277"/>
      <c r="AP422" s="277"/>
    </row>
    <row r="423" spans="26:42" ht="25.5" x14ac:dyDescent="0.2">
      <c r="AE423" s="226"/>
      <c r="AF423" s="126" t="str">
        <f>AA410</f>
        <v>2011 Actual</v>
      </c>
      <c r="AG423" s="126" t="str">
        <f>AB410</f>
        <v>2012 Actual</v>
      </c>
      <c r="AH423" s="227"/>
      <c r="AI423" s="126" t="str">
        <f>AF423</f>
        <v>2011 Actual</v>
      </c>
      <c r="AJ423" s="126" t="str">
        <f>AG423</f>
        <v>2012 Actual</v>
      </c>
      <c r="AK423" s="126" t="str">
        <f t="shared" ref="AK423:AP423" si="80">AI423</f>
        <v>2011 Actual</v>
      </c>
      <c r="AL423" s="126" t="str">
        <f t="shared" si="80"/>
        <v>2012 Actual</v>
      </c>
      <c r="AM423" s="126" t="str">
        <f t="shared" si="80"/>
        <v>2011 Actual</v>
      </c>
      <c r="AN423" s="126" t="str">
        <f t="shared" si="80"/>
        <v>2012 Actual</v>
      </c>
      <c r="AO423" s="126" t="str">
        <f t="shared" si="80"/>
        <v>2011 Actual</v>
      </c>
      <c r="AP423" s="126" t="str">
        <f t="shared" si="80"/>
        <v>2012 Actual</v>
      </c>
    </row>
    <row r="424" spans="26:42" x14ac:dyDescent="0.2">
      <c r="AE424" s="218" t="str">
        <f>Z411</f>
        <v xml:space="preserve">Residential </v>
      </c>
      <c r="AF424" s="111">
        <f>Q372</f>
        <v>19716.902777777785</v>
      </c>
      <c r="AG424" s="111">
        <f>R372</f>
        <v>20109.833333333332</v>
      </c>
      <c r="AH424" s="217" t="s">
        <v>134</v>
      </c>
      <c r="AI424" s="217">
        <f>Q373</f>
        <v>158621921</v>
      </c>
      <c r="AJ424" s="217">
        <f>R373</f>
        <v>159179968</v>
      </c>
      <c r="AK424" s="217">
        <f>AI424*$AK$422</f>
        <v>158499969.52440104</v>
      </c>
      <c r="AL424" s="217">
        <f>AJ424*$AL$422</f>
        <v>160834825.6378617</v>
      </c>
      <c r="AM424" s="217">
        <f>AI424/AF424</f>
        <v>8044.9715042860125</v>
      </c>
      <c r="AN424" s="217">
        <f>AJ424/AG424</f>
        <v>7915.5289534970461</v>
      </c>
      <c r="AO424" s="217">
        <f>AK424/AF424</f>
        <v>8038.786380944206</v>
      </c>
      <c r="AP424" s="217">
        <f>AL424/AG424</f>
        <v>7997.819920827872</v>
      </c>
    </row>
    <row r="425" spans="26:42" x14ac:dyDescent="0.2">
      <c r="AE425" s="218" t="str">
        <f t="shared" ref="AE425:AE430" si="81">Z412</f>
        <v>General Service &lt; 50 kW</v>
      </c>
      <c r="AF425" s="111">
        <f>Q376</f>
        <v>1690.8055555555559</v>
      </c>
      <c r="AG425" s="111">
        <f>R376</f>
        <v>1698.8333333333333</v>
      </c>
      <c r="AH425" s="217" t="s">
        <v>134</v>
      </c>
      <c r="AI425" s="228">
        <f>Q377</f>
        <v>54435719</v>
      </c>
      <c r="AJ425" s="228">
        <f>R377</f>
        <v>50022065</v>
      </c>
      <c r="AK425" s="217">
        <f t="shared" ref="AK425:AK430" si="82">AI425*$AK$422</f>
        <v>54393867.809348106</v>
      </c>
      <c r="AL425" s="217">
        <f t="shared" ref="AL425:AL430" si="83">AJ425*$AL$422</f>
        <v>50542101.518206015</v>
      </c>
      <c r="AM425" s="217">
        <f t="shared" ref="AM425:AM430" si="84">AI425/AF425</f>
        <v>32195.13847771443</v>
      </c>
      <c r="AN425" s="217">
        <f t="shared" ref="AN425:AN430" si="85">AJ425/AG425</f>
        <v>29444.951437260868</v>
      </c>
      <c r="AO425" s="217">
        <f t="shared" ref="AO425:AO430" si="86">AK425/AF425</f>
        <v>32170.386257972554</v>
      </c>
      <c r="AP425" s="217">
        <f t="shared" ref="AP425:AP430" si="87">AL425/AG425</f>
        <v>29751.065349674886</v>
      </c>
    </row>
    <row r="426" spans="26:42" x14ac:dyDescent="0.2">
      <c r="AE426" s="218" t="str">
        <f t="shared" si="81"/>
        <v>General Service 50 to 4,999 kW</v>
      </c>
      <c r="AF426" s="111">
        <f>Q380</f>
        <v>169.73611111111106</v>
      </c>
      <c r="AG426" s="111">
        <f>R380</f>
        <v>173.25</v>
      </c>
      <c r="AH426" s="217" t="s">
        <v>248</v>
      </c>
      <c r="AI426" s="228">
        <f>Q382</f>
        <v>417210</v>
      </c>
      <c r="AJ426" s="228">
        <f>R382</f>
        <v>387769</v>
      </c>
      <c r="AK426" s="217">
        <f t="shared" si="82"/>
        <v>416889.24121197191</v>
      </c>
      <c r="AL426" s="217">
        <f t="shared" si="83"/>
        <v>391800.30179908063</v>
      </c>
      <c r="AM426" s="217">
        <f t="shared" si="84"/>
        <v>2457.9919810162842</v>
      </c>
      <c r="AN426" s="217">
        <f t="shared" si="85"/>
        <v>2238.2049062049064</v>
      </c>
      <c r="AO426" s="217">
        <f t="shared" si="86"/>
        <v>2456.102231180917</v>
      </c>
      <c r="AP426" s="217">
        <f t="shared" si="87"/>
        <v>2261.4736034578968</v>
      </c>
    </row>
    <row r="427" spans="26:42" x14ac:dyDescent="0.2">
      <c r="AE427" s="218" t="str">
        <f t="shared" si="81"/>
        <v>Large User</v>
      </c>
      <c r="AF427" s="111">
        <f>Q385</f>
        <v>1</v>
      </c>
      <c r="AG427" s="111">
        <f>R385</f>
        <v>1</v>
      </c>
      <c r="AH427" s="217" t="s">
        <v>248</v>
      </c>
      <c r="AI427" s="228">
        <f>Q387</f>
        <v>170236</v>
      </c>
      <c r="AJ427" s="228">
        <f>R387</f>
        <v>152573</v>
      </c>
      <c r="AK427" s="217">
        <f t="shared" si="82"/>
        <v>170105.11940500289</v>
      </c>
      <c r="AL427" s="217">
        <f t="shared" si="83"/>
        <v>154159.17065673412</v>
      </c>
      <c r="AM427" s="217">
        <f t="shared" si="84"/>
        <v>170236</v>
      </c>
      <c r="AN427" s="217">
        <f t="shared" si="85"/>
        <v>152573</v>
      </c>
      <c r="AO427" s="217">
        <f t="shared" si="86"/>
        <v>170105.11940500289</v>
      </c>
      <c r="AP427" s="217">
        <f t="shared" si="87"/>
        <v>154159.17065673412</v>
      </c>
    </row>
    <row r="428" spans="26:42" x14ac:dyDescent="0.2">
      <c r="AE428" s="218" t="str">
        <f t="shared" si="81"/>
        <v xml:space="preserve">Street Lights </v>
      </c>
      <c r="AF428" s="111">
        <f>Q390</f>
        <v>6739</v>
      </c>
      <c r="AG428" s="111">
        <f>R390</f>
        <v>6749.166666666667</v>
      </c>
      <c r="AH428" s="217" t="s">
        <v>248</v>
      </c>
      <c r="AI428" s="228">
        <f>Q392</f>
        <v>13148</v>
      </c>
      <c r="AJ428" s="228">
        <f>R392</f>
        <v>12420</v>
      </c>
      <c r="AK428" s="217">
        <f t="shared" si="82"/>
        <v>13137.891573679937</v>
      </c>
      <c r="AL428" s="217">
        <f t="shared" si="83"/>
        <v>12549.120090426468</v>
      </c>
      <c r="AM428" s="217">
        <f t="shared" si="84"/>
        <v>1.9510313102834249</v>
      </c>
      <c r="AN428" s="217">
        <f t="shared" si="85"/>
        <v>1.8402271885417951</v>
      </c>
      <c r="AO428" s="217">
        <f t="shared" si="86"/>
        <v>1.9495313212167884</v>
      </c>
      <c r="AP428" s="217">
        <f t="shared" si="87"/>
        <v>1.8593584527116633</v>
      </c>
    </row>
    <row r="429" spans="26:42" x14ac:dyDescent="0.2">
      <c r="AE429" s="218" t="str">
        <f t="shared" si="81"/>
        <v>Sentinel Lights</v>
      </c>
      <c r="AF429" s="111">
        <f>Q395</f>
        <v>663.28472222222206</v>
      </c>
      <c r="AG429" s="111">
        <f>R395</f>
        <v>626.84577546296293</v>
      </c>
      <c r="AH429" s="217" t="s">
        <v>248</v>
      </c>
      <c r="AI429" s="228">
        <f>Q397</f>
        <v>2462</v>
      </c>
      <c r="AJ429" s="228">
        <f>R397</f>
        <v>2331</v>
      </c>
      <c r="AK429" s="217">
        <f t="shared" si="82"/>
        <v>2460.107168725282</v>
      </c>
      <c r="AL429" s="217">
        <f t="shared" si="83"/>
        <v>2355.2334082756925</v>
      </c>
      <c r="AM429" s="217">
        <f t="shared" si="84"/>
        <v>3.7118298032728538</v>
      </c>
      <c r="AN429" s="217">
        <f t="shared" si="85"/>
        <v>3.7186180257471109</v>
      </c>
      <c r="AO429" s="217">
        <f t="shared" si="86"/>
        <v>3.7089760796586924</v>
      </c>
      <c r="AP429" s="217">
        <f t="shared" si="87"/>
        <v>3.7572773088184448</v>
      </c>
    </row>
    <row r="430" spans="26:42" x14ac:dyDescent="0.2">
      <c r="AE430" s="218" t="str">
        <f t="shared" si="81"/>
        <v xml:space="preserve">Unmetered Scattered Loads </v>
      </c>
      <c r="AF430" s="111">
        <f>Q400</f>
        <v>226.32291666666671</v>
      </c>
      <c r="AG430" s="111">
        <f>R400</f>
        <v>220.70008680555566</v>
      </c>
      <c r="AH430" s="217" t="s">
        <v>134</v>
      </c>
      <c r="AI430" s="228">
        <f>Q401</f>
        <v>1122904</v>
      </c>
      <c r="AJ430" s="228">
        <f>R401</f>
        <v>1085389</v>
      </c>
      <c r="AK430" s="217">
        <f t="shared" si="82"/>
        <v>1122040.6905728246</v>
      </c>
      <c r="AL430" s="217">
        <f t="shared" si="83"/>
        <v>1096672.8587623104</v>
      </c>
      <c r="AM430" s="217">
        <f t="shared" si="84"/>
        <v>4961.5125880241167</v>
      </c>
      <c r="AN430" s="217">
        <f t="shared" si="85"/>
        <v>4917.9364435695261</v>
      </c>
      <c r="AO430" s="217">
        <f t="shared" si="86"/>
        <v>4957.6980851010785</v>
      </c>
      <c r="AP430" s="217">
        <f t="shared" si="87"/>
        <v>4969.0640118710817</v>
      </c>
    </row>
    <row r="431" spans="26:42" x14ac:dyDescent="0.2">
      <c r="AE431" s="218" t="s">
        <v>10</v>
      </c>
      <c r="AF431" s="111">
        <f>SUM(AF424:AF430)</f>
        <v>29207.052083333339</v>
      </c>
      <c r="AG431" s="111">
        <f>SUM(AG424:AG430)</f>
        <v>29579.62919560185</v>
      </c>
      <c r="AH431" s="217"/>
      <c r="AI431" s="228"/>
      <c r="AJ431" s="228"/>
      <c r="AK431" s="228"/>
      <c r="AL431" s="228"/>
      <c r="AM431" s="228"/>
      <c r="AN431" s="228"/>
      <c r="AO431" s="228"/>
      <c r="AP431" s="228"/>
    </row>
    <row r="432" spans="26:42" x14ac:dyDescent="0.2">
      <c r="AE432" s="125"/>
      <c r="AF432" s="268" t="s">
        <v>249</v>
      </c>
      <c r="AG432" s="268"/>
      <c r="AH432" s="125"/>
      <c r="AI432" s="268" t="s">
        <v>249</v>
      </c>
      <c r="AJ432" s="268"/>
      <c r="AK432" s="295" t="s">
        <v>249</v>
      </c>
      <c r="AL432" s="295"/>
      <c r="AM432" s="295" t="s">
        <v>249</v>
      </c>
      <c r="AN432" s="295"/>
      <c r="AO432" s="295" t="s">
        <v>249</v>
      </c>
      <c r="AP432" s="295"/>
    </row>
    <row r="433" spans="26:42" x14ac:dyDescent="0.2">
      <c r="AE433" s="229" t="str">
        <f>AE424</f>
        <v xml:space="preserve">Residential </v>
      </c>
      <c r="AF433" s="274">
        <f t="shared" ref="AF433:AF439" si="88">AG424-AF424</f>
        <v>392.93055555554747</v>
      </c>
      <c r="AG433" s="274"/>
      <c r="AH433" s="217" t="str">
        <f>AH424</f>
        <v>kWh</v>
      </c>
      <c r="AI433" s="274">
        <f>AJ424-AI424</f>
        <v>558047</v>
      </c>
      <c r="AJ433" s="274"/>
      <c r="AK433" s="274">
        <f>AL424-AK424</f>
        <v>2334856.11346066</v>
      </c>
      <c r="AL433" s="274"/>
      <c r="AM433" s="274">
        <f>AN424-AM424</f>
        <v>-129.4425507889664</v>
      </c>
      <c r="AN433" s="274"/>
      <c r="AO433" s="274">
        <f>AP424-AO424</f>
        <v>-40.966460116334019</v>
      </c>
      <c r="AP433" s="274"/>
    </row>
    <row r="434" spans="26:42" x14ac:dyDescent="0.2">
      <c r="AE434" s="229" t="str">
        <f t="shared" ref="AE434:AE439" si="89">AE425</f>
        <v>General Service &lt; 50 kW</v>
      </c>
      <c r="AF434" s="274">
        <f t="shared" si="88"/>
        <v>8.0277777777773736</v>
      </c>
      <c r="AG434" s="274"/>
      <c r="AH434" s="217" t="str">
        <f t="shared" ref="AH434:AH439" si="90">AH425</f>
        <v>kWh</v>
      </c>
      <c r="AI434" s="274">
        <f>AJ425-AI425</f>
        <v>-4413654</v>
      </c>
      <c r="AJ434" s="274"/>
      <c r="AK434" s="274">
        <f>AL425-AK425</f>
        <v>-3851766.2911420912</v>
      </c>
      <c r="AL434" s="274"/>
      <c r="AM434" s="274">
        <f>AN425-AM425</f>
        <v>-2750.1870404535621</v>
      </c>
      <c r="AN434" s="274"/>
      <c r="AO434" s="274">
        <f>AP425-AO425</f>
        <v>-2419.3209082976682</v>
      </c>
      <c r="AP434" s="274"/>
    </row>
    <row r="435" spans="26:42" x14ac:dyDescent="0.2">
      <c r="AE435" s="229" t="str">
        <f t="shared" si="89"/>
        <v>General Service 50 to 4,999 kW</v>
      </c>
      <c r="AF435" s="274">
        <f t="shared" si="88"/>
        <v>3.5138888888889426</v>
      </c>
      <c r="AG435" s="274"/>
      <c r="AH435" s="217" t="str">
        <f t="shared" si="90"/>
        <v>kW</v>
      </c>
      <c r="AI435" s="274">
        <f>AJ426-AI426</f>
        <v>-29441</v>
      </c>
      <c r="AJ435" s="274"/>
      <c r="AK435" s="274">
        <f>AL426-AK426</f>
        <v>-25088.939412891283</v>
      </c>
      <c r="AL435" s="274"/>
      <c r="AM435" s="274">
        <f>AN426-AM426</f>
        <v>-219.78707481137781</v>
      </c>
      <c r="AN435" s="274"/>
      <c r="AO435" s="274">
        <f>AP426-AO426</f>
        <v>-194.62862772302014</v>
      </c>
      <c r="AP435" s="274"/>
    </row>
    <row r="436" spans="26:42" x14ac:dyDescent="0.2">
      <c r="Z436" s="178"/>
      <c r="AA436" s="178"/>
      <c r="AB436" s="178"/>
      <c r="AC436" s="178"/>
      <c r="AD436" s="178"/>
      <c r="AE436" s="229" t="str">
        <f t="shared" si="89"/>
        <v>Large User</v>
      </c>
      <c r="AF436" s="274">
        <f t="shared" si="88"/>
        <v>0</v>
      </c>
      <c r="AG436" s="274"/>
      <c r="AH436" s="217" t="str">
        <f t="shared" si="90"/>
        <v>kW</v>
      </c>
      <c r="AI436" s="274">
        <f>AJ427-AI427</f>
        <v>-17663</v>
      </c>
      <c r="AJ436" s="274"/>
      <c r="AK436" s="274">
        <f>AL427-AK427</f>
        <v>-15945.948748268769</v>
      </c>
      <c r="AL436" s="274"/>
      <c r="AM436" s="274">
        <f>AN427-AM427</f>
        <v>-17663</v>
      </c>
      <c r="AN436" s="274"/>
      <c r="AO436" s="274">
        <f>AP427-AO427</f>
        <v>-15945.948748268769</v>
      </c>
      <c r="AP436" s="274"/>
    </row>
    <row r="437" spans="26:42" x14ac:dyDescent="0.2">
      <c r="Z437" s="178"/>
      <c r="AA437" s="178"/>
      <c r="AB437" s="178"/>
      <c r="AC437" s="178"/>
      <c r="AD437" s="178"/>
      <c r="AE437" s="229" t="str">
        <f t="shared" si="89"/>
        <v xml:space="preserve">Street Lights </v>
      </c>
      <c r="AF437" s="274">
        <f t="shared" si="88"/>
        <v>10.16666666666697</v>
      </c>
      <c r="AG437" s="274"/>
      <c r="AH437" s="217" t="str">
        <f t="shared" si="90"/>
        <v>kW</v>
      </c>
      <c r="AI437" s="274">
        <f t="shared" ref="AI437:AI439" si="91">AJ428-AI428</f>
        <v>-728</v>
      </c>
      <c r="AJ437" s="274"/>
      <c r="AK437" s="274">
        <f t="shared" ref="AK437:AK439" si="92">AL428-AK428</f>
        <v>-588.77148325346934</v>
      </c>
      <c r="AL437" s="274"/>
      <c r="AM437" s="274">
        <f t="shared" ref="AM437:AM439" si="93">AN428-AM428</f>
        <v>-0.11080412174162979</v>
      </c>
      <c r="AN437" s="274"/>
      <c r="AO437" s="274">
        <f t="shared" ref="AO437:AO439" si="94">AP428-AO428</f>
        <v>-9.017286850512507E-2</v>
      </c>
      <c r="AP437" s="274"/>
    </row>
    <row r="438" spans="26:42" x14ac:dyDescent="0.2">
      <c r="Z438" s="178"/>
      <c r="AA438" s="178"/>
      <c r="AB438" s="178"/>
      <c r="AC438" s="178"/>
      <c r="AD438" s="178"/>
      <c r="AE438" s="229" t="str">
        <f t="shared" si="89"/>
        <v>Sentinel Lights</v>
      </c>
      <c r="AF438" s="274">
        <f t="shared" si="88"/>
        <v>-36.438946759259125</v>
      </c>
      <c r="AG438" s="274"/>
      <c r="AH438" s="217" t="str">
        <f t="shared" si="90"/>
        <v>kW</v>
      </c>
      <c r="AI438" s="274">
        <f t="shared" si="91"/>
        <v>-131</v>
      </c>
      <c r="AJ438" s="274"/>
      <c r="AK438" s="274">
        <f t="shared" si="92"/>
        <v>-104.87376044958955</v>
      </c>
      <c r="AL438" s="274"/>
      <c r="AM438" s="274">
        <f t="shared" si="93"/>
        <v>6.788222474257033E-3</v>
      </c>
      <c r="AN438" s="274"/>
      <c r="AO438" s="274">
        <f t="shared" si="94"/>
        <v>4.8301229159752435E-2</v>
      </c>
      <c r="AP438" s="274"/>
    </row>
    <row r="439" spans="26:42" x14ac:dyDescent="0.2">
      <c r="Z439" s="178"/>
      <c r="AA439" s="178"/>
      <c r="AB439" s="178"/>
      <c r="AC439" s="178"/>
      <c r="AD439" s="178"/>
      <c r="AE439" s="229" t="str">
        <f t="shared" si="89"/>
        <v xml:space="preserve">Unmetered Scattered Loads </v>
      </c>
      <c r="AF439" s="274">
        <f t="shared" si="88"/>
        <v>-5.6228298611110574</v>
      </c>
      <c r="AG439" s="274"/>
      <c r="AH439" s="217" t="str">
        <f t="shared" si="90"/>
        <v>kWh</v>
      </c>
      <c r="AI439" s="274">
        <f t="shared" si="91"/>
        <v>-37515</v>
      </c>
      <c r="AJ439" s="274"/>
      <c r="AK439" s="274">
        <f t="shared" si="92"/>
        <v>-25367.83181051421</v>
      </c>
      <c r="AL439" s="274"/>
      <c r="AM439" s="274">
        <f t="shared" si="93"/>
        <v>-43.576144454590576</v>
      </c>
      <c r="AN439" s="274"/>
      <c r="AO439" s="274">
        <f t="shared" si="94"/>
        <v>11.365926770003171</v>
      </c>
      <c r="AP439" s="274"/>
    </row>
    <row r="440" spans="26:42" x14ac:dyDescent="0.2">
      <c r="Z440" s="199" t="s">
        <v>269</v>
      </c>
      <c r="AA440" s="199"/>
      <c r="AB440" s="199"/>
      <c r="AC440" s="178"/>
      <c r="AD440" s="178"/>
    </row>
    <row r="441" spans="26:42" ht="25.5" x14ac:dyDescent="0.2">
      <c r="Z441" s="216" t="s">
        <v>237</v>
      </c>
      <c r="AA441" s="217" t="str">
        <f>AB410</f>
        <v>2012 Actual</v>
      </c>
      <c r="AB441" s="217" t="s">
        <v>225</v>
      </c>
      <c r="AC441" s="217" t="s">
        <v>239</v>
      </c>
      <c r="AD441" s="217" t="s">
        <v>240</v>
      </c>
    </row>
    <row r="442" spans="26:42" x14ac:dyDescent="0.2">
      <c r="Z442" s="218" t="str">
        <f>Z411</f>
        <v xml:space="preserve">Residential </v>
      </c>
      <c r="AA442" s="219">
        <f>AB411</f>
        <v>6218897</v>
      </c>
      <c r="AB442" s="219">
        <f>R5</f>
        <v>6035509</v>
      </c>
      <c r="AC442" s="219">
        <f>AB442-AA442</f>
        <v>-183388</v>
      </c>
      <c r="AD442" s="220">
        <f>AC442/AA442</f>
        <v>-2.9488830575582776E-2</v>
      </c>
    </row>
    <row r="443" spans="26:42" x14ac:dyDescent="0.2">
      <c r="Z443" s="218" t="str">
        <f t="shared" ref="Z443:Z448" si="95">Z412</f>
        <v>General Service &lt; 50 kW</v>
      </c>
      <c r="AA443" s="219">
        <f t="shared" ref="AA443:AA448" si="96">AB412</f>
        <v>1002427</v>
      </c>
      <c r="AB443" s="219">
        <f>R6</f>
        <v>1001165</v>
      </c>
      <c r="AC443" s="219">
        <f t="shared" ref="AC443:AC448" si="97">AB443-AA443</f>
        <v>-1262</v>
      </c>
      <c r="AD443" s="220">
        <f t="shared" ref="AD443:AD449" si="98">AC443/AA443</f>
        <v>-1.2589445415975428E-3</v>
      </c>
    </row>
    <row r="444" spans="26:42" x14ac:dyDescent="0.2">
      <c r="Z444" s="218" t="str">
        <f t="shared" si="95"/>
        <v>General Service 50 to 4,999 kW</v>
      </c>
      <c r="AA444" s="219">
        <f t="shared" si="96"/>
        <v>1129645</v>
      </c>
      <c r="AB444" s="219">
        <f>R7</f>
        <v>1278326</v>
      </c>
      <c r="AC444" s="219">
        <f t="shared" si="97"/>
        <v>148681</v>
      </c>
      <c r="AD444" s="220">
        <f t="shared" si="98"/>
        <v>0.13161745504118549</v>
      </c>
    </row>
    <row r="445" spans="26:42" x14ac:dyDescent="0.2">
      <c r="Z445" s="218" t="str">
        <f t="shared" si="95"/>
        <v>Large User</v>
      </c>
      <c r="AA445" s="219">
        <f t="shared" si="96"/>
        <v>182073</v>
      </c>
      <c r="AB445" s="219">
        <f>R8</f>
        <v>131373</v>
      </c>
      <c r="AC445" s="219">
        <f t="shared" si="97"/>
        <v>-50700</v>
      </c>
      <c r="AD445" s="220">
        <f t="shared" si="98"/>
        <v>-0.27845973867624524</v>
      </c>
    </row>
    <row r="446" spans="26:42" x14ac:dyDescent="0.2">
      <c r="Z446" s="218" t="str">
        <f t="shared" si="95"/>
        <v xml:space="preserve">Street Lights </v>
      </c>
      <c r="AA446" s="219">
        <f t="shared" si="96"/>
        <v>335022</v>
      </c>
      <c r="AB446" s="219">
        <f>R9</f>
        <v>237088</v>
      </c>
      <c r="AC446" s="219">
        <f t="shared" si="97"/>
        <v>-97934</v>
      </c>
      <c r="AD446" s="220">
        <f t="shared" si="98"/>
        <v>-0.29232110130081007</v>
      </c>
    </row>
    <row r="447" spans="26:42" x14ac:dyDescent="0.2">
      <c r="Z447" s="218" t="str">
        <f t="shared" si="95"/>
        <v>Sentinel Lights</v>
      </c>
      <c r="AA447" s="219">
        <f t="shared" si="96"/>
        <v>32443</v>
      </c>
      <c r="AB447" s="219">
        <f>R10</f>
        <v>29471</v>
      </c>
      <c r="AC447" s="219">
        <f t="shared" si="97"/>
        <v>-2972</v>
      </c>
      <c r="AD447" s="220">
        <f t="shared" si="98"/>
        <v>-9.1606818111765256E-2</v>
      </c>
    </row>
    <row r="448" spans="26:42" x14ac:dyDescent="0.2">
      <c r="Z448" s="218" t="str">
        <f t="shared" si="95"/>
        <v xml:space="preserve">Unmetered Scattered Loads </v>
      </c>
      <c r="AA448" s="219">
        <f t="shared" si="96"/>
        <v>45575</v>
      </c>
      <c r="AB448" s="219">
        <f>R11</f>
        <v>41460</v>
      </c>
      <c r="AC448" s="219">
        <f t="shared" si="97"/>
        <v>-4115</v>
      </c>
      <c r="AD448" s="220">
        <f t="shared" si="98"/>
        <v>-9.0290729566648381E-2</v>
      </c>
    </row>
    <row r="449" spans="26:42" x14ac:dyDescent="0.2">
      <c r="Z449" s="221" t="s">
        <v>16</v>
      </c>
      <c r="AA449" s="219">
        <f>SUM(AA442:AA448)</f>
        <v>8946082</v>
      </c>
      <c r="AB449" s="219">
        <f>SUM(AB442:AB448)</f>
        <v>8754392</v>
      </c>
      <c r="AC449" s="219">
        <f>AB449-AA449</f>
        <v>-191690</v>
      </c>
      <c r="AD449" s="220">
        <f t="shared" si="98"/>
        <v>-2.1427257206003702E-2</v>
      </c>
    </row>
    <row r="451" spans="26:42" x14ac:dyDescent="0.2">
      <c r="AE451" s="199" t="s">
        <v>270</v>
      </c>
      <c r="AF451" s="199"/>
      <c r="AG451" s="199"/>
      <c r="AH451" s="178"/>
      <c r="AI451" s="222"/>
    </row>
    <row r="452" spans="26:42" x14ac:dyDescent="0.2">
      <c r="AE452" s="223" t="s">
        <v>241</v>
      </c>
      <c r="AF452" s="275" t="s">
        <v>242</v>
      </c>
      <c r="AG452" s="275"/>
      <c r="AH452" s="138" t="s">
        <v>243</v>
      </c>
      <c r="AI452" s="276" t="s">
        <v>244</v>
      </c>
      <c r="AJ452" s="276"/>
      <c r="AK452" s="277" t="s">
        <v>245</v>
      </c>
      <c r="AL452" s="277"/>
      <c r="AM452" s="277" t="s">
        <v>246</v>
      </c>
      <c r="AN452" s="277"/>
      <c r="AO452" s="277" t="s">
        <v>247</v>
      </c>
      <c r="AP452" s="277"/>
    </row>
    <row r="453" spans="26:42" x14ac:dyDescent="0.2">
      <c r="AE453" s="278" t="str">
        <f>AE422</f>
        <v>Weather 
Normal Conversion 
Factor</v>
      </c>
      <c r="AF453" s="278"/>
      <c r="AG453" s="278"/>
      <c r="AH453" s="278"/>
      <c r="AI453" s="278"/>
      <c r="AJ453" s="278"/>
      <c r="AK453" s="225">
        <f>AL422</f>
        <v>1.0103961425464145</v>
      </c>
      <c r="AL453" s="225">
        <f>F172</f>
        <v>1.0071449171398263</v>
      </c>
      <c r="AM453" s="277"/>
      <c r="AN453" s="277"/>
      <c r="AO453" s="277"/>
      <c r="AP453" s="277"/>
    </row>
    <row r="454" spans="26:42" ht="25.5" x14ac:dyDescent="0.2">
      <c r="AE454" s="226"/>
      <c r="AF454" s="126" t="str">
        <f>AA441</f>
        <v>2012 Actual</v>
      </c>
      <c r="AG454" s="126" t="str">
        <f>AB441</f>
        <v>2013 
Actual</v>
      </c>
      <c r="AH454" s="227"/>
      <c r="AI454" s="126" t="str">
        <f>AF454</f>
        <v>2012 Actual</v>
      </c>
      <c r="AJ454" s="126" t="str">
        <f>AG454</f>
        <v>2013 
Actual</v>
      </c>
      <c r="AK454" s="126" t="str">
        <f>AI454</f>
        <v>2012 Actual</v>
      </c>
      <c r="AL454" s="126" t="str">
        <f>AJ454</f>
        <v>2013 
Actual</v>
      </c>
      <c r="AM454" s="126" t="str">
        <f>AI454</f>
        <v>2012 Actual</v>
      </c>
      <c r="AN454" s="126" t="str">
        <f>AJ454</f>
        <v>2013 
Actual</v>
      </c>
      <c r="AO454" s="126" t="str">
        <f>AK454</f>
        <v>2012 Actual</v>
      </c>
      <c r="AP454" s="126" t="str">
        <f>AL454</f>
        <v>2013 
Actual</v>
      </c>
    </row>
    <row r="455" spans="26:42" x14ac:dyDescent="0.2">
      <c r="AE455" s="218" t="str">
        <f>AE424</f>
        <v xml:space="preserve">Residential </v>
      </c>
      <c r="AF455" s="111">
        <f>AG424</f>
        <v>20109.833333333332</v>
      </c>
      <c r="AG455" s="111">
        <f>T372</f>
        <v>20265.75</v>
      </c>
      <c r="AH455" s="217" t="str">
        <f>AH424</f>
        <v>kWh</v>
      </c>
      <c r="AI455" s="111">
        <f>AJ424</f>
        <v>159179968</v>
      </c>
      <c r="AJ455" s="111">
        <f>T373</f>
        <v>158724607</v>
      </c>
      <c r="AK455" s="217">
        <f>AI455*$AK$453</f>
        <v>160834825.6378617</v>
      </c>
      <c r="AL455" s="111">
        <f>AJ455*$AL$453</f>
        <v>159858681.16506651</v>
      </c>
      <c r="AM455" s="217">
        <f>AI455/AF455</f>
        <v>7915.5289534970461</v>
      </c>
      <c r="AN455" s="217">
        <f>AJ455/AG455</f>
        <v>7832.1605171286528</v>
      </c>
      <c r="AO455" s="217">
        <f>AK455/AF455</f>
        <v>7997.819920827872</v>
      </c>
      <c r="AP455" s="217">
        <f>AL455/AG455</f>
        <v>7888.1206550493571</v>
      </c>
    </row>
    <row r="456" spans="26:42" x14ac:dyDescent="0.2">
      <c r="AE456" s="218" t="str">
        <f t="shared" ref="AE456:AE461" si="99">AE425</f>
        <v>General Service &lt; 50 kW</v>
      </c>
      <c r="AF456" s="111">
        <f t="shared" ref="AF456:AF461" si="100">AG425</f>
        <v>1698.8333333333333</v>
      </c>
      <c r="AG456" s="111">
        <f>T376</f>
        <v>1698.5</v>
      </c>
      <c r="AH456" s="217" t="str">
        <f t="shared" ref="AH456:AH470" si="101">AH425</f>
        <v>kWh</v>
      </c>
      <c r="AI456" s="111">
        <f t="shared" ref="AI456:AI461" si="102">AJ425</f>
        <v>50022065</v>
      </c>
      <c r="AJ456" s="111">
        <f>T377</f>
        <v>52726527</v>
      </c>
      <c r="AK456" s="217">
        <f t="shared" ref="AK456:AK461" si="103">AI456*$AK$453</f>
        <v>50542101.518206015</v>
      </c>
      <c r="AL456" s="111">
        <f t="shared" ref="AL456:AL461" si="104">AJ456*$AL$453</f>
        <v>53103253.666485816</v>
      </c>
      <c r="AM456" s="217">
        <f t="shared" ref="AM456:AM461" si="105">AI456/AF456</f>
        <v>29444.951437260868</v>
      </c>
      <c r="AN456" s="217">
        <f t="shared" ref="AN456:AN461" si="106">AJ456/AG456</f>
        <v>31042.99499558434</v>
      </c>
      <c r="AO456" s="217">
        <f t="shared" ref="AO456:AO461" si="107">AK456/AF456</f>
        <v>29751.065349674886</v>
      </c>
      <c r="AP456" s="217">
        <f t="shared" ref="AP456:AP461" si="108">AL456/AG456</f>
        <v>31264.794622599831</v>
      </c>
    </row>
    <row r="457" spans="26:42" x14ac:dyDescent="0.2">
      <c r="AE457" s="218" t="str">
        <f t="shared" si="99"/>
        <v>General Service 50 to 4,999 kW</v>
      </c>
      <c r="AF457" s="111">
        <f t="shared" si="100"/>
        <v>173.25</v>
      </c>
      <c r="AG457" s="111">
        <f>T380</f>
        <v>172.66666666666666</v>
      </c>
      <c r="AH457" s="217" t="str">
        <f t="shared" si="101"/>
        <v>kW</v>
      </c>
      <c r="AI457" s="111">
        <f t="shared" si="102"/>
        <v>387769</v>
      </c>
      <c r="AJ457" s="111">
        <f>T382</f>
        <v>389545</v>
      </c>
      <c r="AK457" s="217">
        <f t="shared" si="103"/>
        <v>391800.30179908063</v>
      </c>
      <c r="AL457" s="111">
        <f t="shared" si="104"/>
        <v>392328.26674723363</v>
      </c>
      <c r="AM457" s="217">
        <f t="shared" si="105"/>
        <v>2238.2049062049064</v>
      </c>
      <c r="AN457" s="217">
        <f t="shared" si="106"/>
        <v>2256.0521235521237</v>
      </c>
      <c r="AO457" s="217">
        <f t="shared" si="107"/>
        <v>2261.4736034578968</v>
      </c>
      <c r="AP457" s="217">
        <f t="shared" si="108"/>
        <v>2272.1714290380328</v>
      </c>
    </row>
    <row r="458" spans="26:42" x14ac:dyDescent="0.2">
      <c r="AE458" s="218" t="str">
        <f t="shared" si="99"/>
        <v>Large User</v>
      </c>
      <c r="AF458" s="111">
        <f t="shared" si="100"/>
        <v>1</v>
      </c>
      <c r="AG458" s="111">
        <f>T385</f>
        <v>1</v>
      </c>
      <c r="AH458" s="217" t="str">
        <f t="shared" si="101"/>
        <v>kW</v>
      </c>
      <c r="AI458" s="111">
        <f t="shared" si="102"/>
        <v>152573</v>
      </c>
      <c r="AJ458" s="111">
        <f>T387</f>
        <v>153121</v>
      </c>
      <c r="AK458" s="217">
        <f t="shared" si="103"/>
        <v>154159.17065673412</v>
      </c>
      <c r="AL458" s="111">
        <f t="shared" si="104"/>
        <v>154215.03685736735</v>
      </c>
      <c r="AM458" s="217">
        <f t="shared" si="105"/>
        <v>152573</v>
      </c>
      <c r="AN458" s="217">
        <f t="shared" si="106"/>
        <v>153121</v>
      </c>
      <c r="AO458" s="217">
        <f t="shared" si="107"/>
        <v>154159.17065673412</v>
      </c>
      <c r="AP458" s="217">
        <f t="shared" si="108"/>
        <v>154215.03685736735</v>
      </c>
    </row>
    <row r="459" spans="26:42" x14ac:dyDescent="0.2">
      <c r="AE459" s="218" t="str">
        <f t="shared" si="99"/>
        <v xml:space="preserve">Street Lights </v>
      </c>
      <c r="AF459" s="111">
        <f t="shared" si="100"/>
        <v>6749.166666666667</v>
      </c>
      <c r="AG459" s="111">
        <f>T390</f>
        <v>6778.916666666667</v>
      </c>
      <c r="AH459" s="217" t="str">
        <f t="shared" si="101"/>
        <v>kW</v>
      </c>
      <c r="AI459" s="111">
        <f t="shared" si="102"/>
        <v>12420</v>
      </c>
      <c r="AJ459" s="111">
        <f>T392</f>
        <v>7923</v>
      </c>
      <c r="AK459" s="217">
        <f t="shared" si="103"/>
        <v>12549.120090426468</v>
      </c>
      <c r="AL459" s="111">
        <f t="shared" si="104"/>
        <v>7979.6091784988439</v>
      </c>
      <c r="AM459" s="217">
        <f t="shared" si="105"/>
        <v>1.8402271885417951</v>
      </c>
      <c r="AN459" s="217">
        <f t="shared" si="106"/>
        <v>1.1687708212964214</v>
      </c>
      <c r="AO459" s="217">
        <f t="shared" si="107"/>
        <v>1.8593584527116633</v>
      </c>
      <c r="AP459" s="217">
        <f t="shared" si="108"/>
        <v>1.1771215919700311</v>
      </c>
    </row>
    <row r="460" spans="26:42" x14ac:dyDescent="0.2">
      <c r="AE460" s="218" t="str">
        <f t="shared" si="99"/>
        <v>Sentinel Lights</v>
      </c>
      <c r="AF460" s="111">
        <f t="shared" si="100"/>
        <v>626.84577546296293</v>
      </c>
      <c r="AG460" s="111">
        <f>T395</f>
        <v>580.25</v>
      </c>
      <c r="AH460" s="217" t="str">
        <f t="shared" si="101"/>
        <v>kW</v>
      </c>
      <c r="AI460" s="111">
        <f t="shared" si="102"/>
        <v>2331</v>
      </c>
      <c r="AJ460" s="111">
        <f>T397</f>
        <v>2186</v>
      </c>
      <c r="AK460" s="217">
        <f t="shared" si="103"/>
        <v>2355.2334082756925</v>
      </c>
      <c r="AL460" s="111">
        <f t="shared" si="104"/>
        <v>2201.6187888676604</v>
      </c>
      <c r="AM460" s="217">
        <f t="shared" si="105"/>
        <v>3.7186180257471109</v>
      </c>
      <c r="AN460" s="217">
        <f t="shared" si="106"/>
        <v>3.7673416630762602</v>
      </c>
      <c r="AO460" s="217">
        <f t="shared" si="107"/>
        <v>3.7572773088184448</v>
      </c>
      <c r="AP460" s="217">
        <f t="shared" si="108"/>
        <v>3.7942590070963558</v>
      </c>
    </row>
    <row r="461" spans="26:42" x14ac:dyDescent="0.2">
      <c r="AE461" s="218" t="str">
        <f t="shared" si="99"/>
        <v xml:space="preserve">Unmetered Scattered Loads </v>
      </c>
      <c r="AF461" s="111">
        <f t="shared" si="100"/>
        <v>220.70008680555566</v>
      </c>
      <c r="AG461" s="111">
        <f>T400</f>
        <v>235.5</v>
      </c>
      <c r="AH461" s="217" t="str">
        <f t="shared" si="101"/>
        <v>kWh</v>
      </c>
      <c r="AI461" s="111">
        <f t="shared" si="102"/>
        <v>1085389</v>
      </c>
      <c r="AJ461" s="111">
        <f>T401</f>
        <v>989250</v>
      </c>
      <c r="AK461" s="217">
        <f t="shared" si="103"/>
        <v>1096672.8587623104</v>
      </c>
      <c r="AL461" s="111">
        <f t="shared" si="104"/>
        <v>996318.1092805732</v>
      </c>
      <c r="AM461" s="217">
        <f t="shared" si="105"/>
        <v>4917.9364435695261</v>
      </c>
      <c r="AN461" s="217">
        <f t="shared" si="106"/>
        <v>4200.6369426751589</v>
      </c>
      <c r="AO461" s="217">
        <f t="shared" si="107"/>
        <v>4969.0640118710817</v>
      </c>
      <c r="AP461" s="217">
        <f t="shared" si="108"/>
        <v>4230.6501455650669</v>
      </c>
    </row>
    <row r="462" spans="26:42" x14ac:dyDescent="0.2">
      <c r="AE462" s="218" t="s">
        <v>10</v>
      </c>
      <c r="AF462" s="111">
        <f>SUM(AF455:AF458)</f>
        <v>21982.916666666664</v>
      </c>
      <c r="AG462" s="111">
        <f>SUM(AG455:AG458)</f>
        <v>22137.916666666668</v>
      </c>
      <c r="AH462" s="217"/>
      <c r="AI462" s="228"/>
      <c r="AJ462" s="228"/>
      <c r="AK462" s="228"/>
      <c r="AL462" s="228"/>
      <c r="AM462" s="228"/>
      <c r="AN462" s="228"/>
      <c r="AO462" s="228"/>
      <c r="AP462" s="228"/>
    </row>
    <row r="463" spans="26:42" x14ac:dyDescent="0.2">
      <c r="AE463" s="125"/>
      <c r="AF463" s="268" t="s">
        <v>249</v>
      </c>
      <c r="AG463" s="268"/>
      <c r="AH463" s="217"/>
      <c r="AI463" s="268" t="s">
        <v>249</v>
      </c>
      <c r="AJ463" s="268"/>
      <c r="AK463" s="268" t="s">
        <v>249</v>
      </c>
      <c r="AL463" s="268"/>
      <c r="AM463" s="268" t="s">
        <v>249</v>
      </c>
      <c r="AN463" s="268"/>
      <c r="AO463" s="268" t="s">
        <v>249</v>
      </c>
      <c r="AP463" s="268"/>
    </row>
    <row r="464" spans="26:42" x14ac:dyDescent="0.2">
      <c r="AE464" s="229" t="str">
        <f>AE455</f>
        <v xml:space="preserve">Residential </v>
      </c>
      <c r="AF464" s="274">
        <f>AG455-AF455</f>
        <v>155.91666666666788</v>
      </c>
      <c r="AG464" s="274"/>
      <c r="AH464" s="217" t="str">
        <f t="shared" si="101"/>
        <v>kWh</v>
      </c>
      <c r="AI464" s="274">
        <f>AJ455-AI455</f>
        <v>-455361</v>
      </c>
      <c r="AJ464" s="274"/>
      <c r="AK464" s="274">
        <f>AL455-AK455</f>
        <v>-976144.47279518843</v>
      </c>
      <c r="AL464" s="274"/>
      <c r="AM464" s="274">
        <f>AN455-AM455</f>
        <v>-83.368436368393304</v>
      </c>
      <c r="AN464" s="274"/>
      <c r="AO464" s="274">
        <f>AP455-AO455</f>
        <v>-109.69926577851493</v>
      </c>
      <c r="AP464" s="274"/>
    </row>
    <row r="465" spans="26:42" x14ac:dyDescent="0.2">
      <c r="AE465" s="229" t="str">
        <f t="shared" ref="AE465:AE470" si="109">AE456</f>
        <v>General Service &lt; 50 kW</v>
      </c>
      <c r="AF465" s="274">
        <f>AG456-AF456</f>
        <v>-0.33333333333325754</v>
      </c>
      <c r="AG465" s="274"/>
      <c r="AH465" s="217" t="str">
        <f t="shared" si="101"/>
        <v>kWh</v>
      </c>
      <c r="AI465" s="274">
        <f>AJ456-AI456</f>
        <v>2704462</v>
      </c>
      <c r="AJ465" s="274"/>
      <c r="AK465" s="274">
        <f>AL456-AK456</f>
        <v>2561152.148279801</v>
      </c>
      <c r="AL465" s="274"/>
      <c r="AM465" s="274">
        <f>AN456-AM456</f>
        <v>1598.0435583234721</v>
      </c>
      <c r="AN465" s="274"/>
      <c r="AO465" s="274">
        <f>AP456-AO456</f>
        <v>1513.7292729249457</v>
      </c>
      <c r="AP465" s="274"/>
    </row>
    <row r="466" spans="26:42" x14ac:dyDescent="0.2">
      <c r="AE466" s="229" t="str">
        <f t="shared" si="109"/>
        <v>General Service 50 to 4,999 kW</v>
      </c>
      <c r="AF466" s="274">
        <f>AG457-AF457</f>
        <v>-0.58333333333334281</v>
      </c>
      <c r="AG466" s="274"/>
      <c r="AH466" s="217" t="str">
        <f t="shared" si="101"/>
        <v>kW</v>
      </c>
      <c r="AI466" s="274">
        <f>AJ457-AI457</f>
        <v>1776</v>
      </c>
      <c r="AJ466" s="274"/>
      <c r="AK466" s="274">
        <f>AL457-AK457</f>
        <v>527.96494815300684</v>
      </c>
      <c r="AL466" s="274"/>
      <c r="AM466" s="274">
        <f>AN457-AM457</f>
        <v>17.847217347217338</v>
      </c>
      <c r="AN466" s="274"/>
      <c r="AO466" s="274">
        <f>AP457-AO457</f>
        <v>10.697825580135941</v>
      </c>
      <c r="AP466" s="274"/>
    </row>
    <row r="467" spans="26:42" x14ac:dyDescent="0.2">
      <c r="AE467" s="229" t="str">
        <f t="shared" si="109"/>
        <v>Large User</v>
      </c>
      <c r="AF467" s="274">
        <f>AG458-AF458</f>
        <v>0</v>
      </c>
      <c r="AG467" s="274"/>
      <c r="AH467" s="217" t="str">
        <f t="shared" si="101"/>
        <v>kW</v>
      </c>
      <c r="AI467" s="274">
        <f>AJ458-AI458</f>
        <v>548</v>
      </c>
      <c r="AJ467" s="274"/>
      <c r="AK467" s="274">
        <f>AL458-AK458</f>
        <v>55.866200633230619</v>
      </c>
      <c r="AL467" s="274"/>
      <c r="AM467" s="274">
        <f>AN458-AM458</f>
        <v>548</v>
      </c>
      <c r="AN467" s="274"/>
      <c r="AO467" s="274">
        <f>AP458-AO458</f>
        <v>55.866200633230619</v>
      </c>
      <c r="AP467" s="274"/>
    </row>
    <row r="468" spans="26:42" x14ac:dyDescent="0.2">
      <c r="AE468" s="229" t="str">
        <f t="shared" si="109"/>
        <v xml:space="preserve">Street Lights </v>
      </c>
      <c r="AF468" s="274">
        <f t="shared" ref="AF468:AF470" si="110">AG459-AF459</f>
        <v>29.75</v>
      </c>
      <c r="AG468" s="274"/>
      <c r="AH468" s="217" t="str">
        <f t="shared" si="101"/>
        <v>kW</v>
      </c>
      <c r="AI468" s="274">
        <f t="shared" ref="AI468:AI470" si="111">AJ459-AI459</f>
        <v>-4497</v>
      </c>
      <c r="AJ468" s="274"/>
      <c r="AK468" s="274">
        <f t="shared" ref="AK468:AK470" si="112">AL459-AK459</f>
        <v>-4569.510911927624</v>
      </c>
      <c r="AL468" s="274"/>
      <c r="AM468" s="274">
        <f t="shared" ref="AM468:AM470" si="113">AN459-AM459</f>
        <v>-0.67145636724537372</v>
      </c>
      <c r="AN468" s="274"/>
      <c r="AO468" s="274">
        <f t="shared" ref="AO468:AO470" si="114">AP459-AO459</f>
        <v>-0.68223686074163226</v>
      </c>
      <c r="AP468" s="274"/>
    </row>
    <row r="469" spans="26:42" x14ac:dyDescent="0.2">
      <c r="AE469" s="229" t="str">
        <f t="shared" si="109"/>
        <v>Sentinel Lights</v>
      </c>
      <c r="AF469" s="274">
        <f t="shared" si="110"/>
        <v>-46.595775462962933</v>
      </c>
      <c r="AG469" s="274"/>
      <c r="AH469" s="217" t="str">
        <f t="shared" si="101"/>
        <v>kW</v>
      </c>
      <c r="AI469" s="274">
        <f t="shared" si="111"/>
        <v>-145</v>
      </c>
      <c r="AJ469" s="274"/>
      <c r="AK469" s="274">
        <f t="shared" si="112"/>
        <v>-153.61461940803201</v>
      </c>
      <c r="AL469" s="274"/>
      <c r="AM469" s="274">
        <f t="shared" si="113"/>
        <v>4.8723637329149305E-2</v>
      </c>
      <c r="AN469" s="274"/>
      <c r="AO469" s="274">
        <f t="shared" si="114"/>
        <v>3.6981698277910979E-2</v>
      </c>
      <c r="AP469" s="274"/>
    </row>
    <row r="470" spans="26:42" x14ac:dyDescent="0.2">
      <c r="AE470" s="229" t="str">
        <f t="shared" si="109"/>
        <v xml:space="preserve">Unmetered Scattered Loads </v>
      </c>
      <c r="AF470" s="274">
        <f t="shared" si="110"/>
        <v>14.799913194444343</v>
      </c>
      <c r="AG470" s="274"/>
      <c r="AH470" s="217" t="str">
        <f t="shared" si="101"/>
        <v>kWh</v>
      </c>
      <c r="AI470" s="274">
        <f t="shared" si="111"/>
        <v>-96139</v>
      </c>
      <c r="AJ470" s="274"/>
      <c r="AK470" s="274">
        <f t="shared" si="112"/>
        <v>-100354.74948173715</v>
      </c>
      <c r="AL470" s="274"/>
      <c r="AM470" s="274">
        <f t="shared" si="113"/>
        <v>-717.29950089436716</v>
      </c>
      <c r="AN470" s="274"/>
      <c r="AO470" s="274">
        <f t="shared" si="114"/>
        <v>-738.41386630601482</v>
      </c>
      <c r="AP470" s="274"/>
    </row>
    <row r="471" spans="26:42" x14ac:dyDescent="0.2">
      <c r="Z471" s="199" t="s">
        <v>271</v>
      </c>
      <c r="AA471" s="199"/>
      <c r="AB471" s="199"/>
      <c r="AC471" s="178"/>
      <c r="AD471" s="178"/>
    </row>
    <row r="472" spans="26:42" ht="38.25" x14ac:dyDescent="0.2">
      <c r="Z472" s="216" t="s">
        <v>237</v>
      </c>
      <c r="AA472" s="217" t="s">
        <v>251</v>
      </c>
      <c r="AB472" s="217" t="s">
        <v>225</v>
      </c>
      <c r="AC472" s="217" t="s">
        <v>239</v>
      </c>
      <c r="AD472" s="217" t="s">
        <v>240</v>
      </c>
    </row>
    <row r="473" spans="26:42" x14ac:dyDescent="0.2">
      <c r="Z473" s="218" t="str">
        <f>Z442</f>
        <v xml:space="preserve">Residential </v>
      </c>
      <c r="AA473" s="219">
        <f>Q5</f>
        <v>6007417</v>
      </c>
      <c r="AB473" s="219">
        <f>AB442</f>
        <v>6035509</v>
      </c>
      <c r="AC473" s="219">
        <f>AB473-AA473</f>
        <v>28092</v>
      </c>
      <c r="AD473" s="220">
        <f>AC473/AA473</f>
        <v>4.6762194134350923E-3</v>
      </c>
    </row>
    <row r="474" spans="26:42" x14ac:dyDescent="0.2">
      <c r="Z474" s="218" t="str">
        <f t="shared" ref="Z474:Z479" si="115">Z443</f>
        <v>General Service &lt; 50 kW</v>
      </c>
      <c r="AA474" s="219">
        <f>Q6</f>
        <v>1005811</v>
      </c>
      <c r="AB474" s="219">
        <f t="shared" ref="AB474:AB479" si="116">AB443</f>
        <v>1001165</v>
      </c>
      <c r="AC474" s="219">
        <f t="shared" ref="AC474:AC480" si="117">AB474-AA474</f>
        <v>-4646</v>
      </c>
      <c r="AD474" s="220">
        <f t="shared" ref="AD474:AD480" si="118">AC474/AA474</f>
        <v>-4.6191580724410453E-3</v>
      </c>
    </row>
    <row r="475" spans="26:42" x14ac:dyDescent="0.2">
      <c r="Z475" s="218" t="str">
        <f t="shared" si="115"/>
        <v>General Service 50 to 4,999 kW</v>
      </c>
      <c r="AA475" s="219">
        <f>Q7</f>
        <v>1342766</v>
      </c>
      <c r="AB475" s="219">
        <f t="shared" si="116"/>
        <v>1278326</v>
      </c>
      <c r="AC475" s="219">
        <f t="shared" si="117"/>
        <v>-64440</v>
      </c>
      <c r="AD475" s="220">
        <f t="shared" si="118"/>
        <v>-4.7990491269513824E-2</v>
      </c>
    </row>
    <row r="476" spans="26:42" x14ac:dyDescent="0.2">
      <c r="Z476" s="218" t="str">
        <f t="shared" si="115"/>
        <v>Large User</v>
      </c>
      <c r="AA476" s="219">
        <f>Q8</f>
        <v>108118</v>
      </c>
      <c r="AB476" s="219">
        <f t="shared" si="116"/>
        <v>131373</v>
      </c>
      <c r="AC476" s="219">
        <f t="shared" si="117"/>
        <v>23255</v>
      </c>
      <c r="AD476" s="220">
        <f t="shared" si="118"/>
        <v>0.21508906935015445</v>
      </c>
    </row>
    <row r="477" spans="26:42" x14ac:dyDescent="0.2">
      <c r="Z477" s="218" t="str">
        <f t="shared" si="115"/>
        <v xml:space="preserve">Street Lights </v>
      </c>
      <c r="AA477" s="219">
        <f>Q9</f>
        <v>181212</v>
      </c>
      <c r="AB477" s="219">
        <f t="shared" si="116"/>
        <v>237088</v>
      </c>
      <c r="AC477" s="219">
        <f t="shared" si="117"/>
        <v>55876</v>
      </c>
      <c r="AD477" s="220">
        <f t="shared" si="118"/>
        <v>0.30834602564951546</v>
      </c>
    </row>
    <row r="478" spans="26:42" x14ac:dyDescent="0.2">
      <c r="Z478" s="218" t="str">
        <f t="shared" si="115"/>
        <v>Sentinel Lights</v>
      </c>
      <c r="AA478" s="219">
        <f>Q10</f>
        <v>30776</v>
      </c>
      <c r="AB478" s="219">
        <f t="shared" si="116"/>
        <v>29471</v>
      </c>
      <c r="AC478" s="219">
        <f t="shared" si="117"/>
        <v>-1305</v>
      </c>
      <c r="AD478" s="220">
        <f t="shared" si="118"/>
        <v>-4.240317130231349E-2</v>
      </c>
    </row>
    <row r="479" spans="26:42" x14ac:dyDescent="0.2">
      <c r="Z479" s="218" t="str">
        <f t="shared" si="115"/>
        <v xml:space="preserve">Unmetered Scattered Loads </v>
      </c>
      <c r="AA479" s="219">
        <f>Q11</f>
        <v>38940</v>
      </c>
      <c r="AB479" s="219">
        <f t="shared" si="116"/>
        <v>41460</v>
      </c>
      <c r="AC479" s="219">
        <f t="shared" si="117"/>
        <v>2520</v>
      </c>
      <c r="AD479" s="220">
        <f t="shared" si="118"/>
        <v>6.4714946070878271E-2</v>
      </c>
    </row>
    <row r="480" spans="26:42" x14ac:dyDescent="0.2">
      <c r="Z480" s="221" t="s">
        <v>16</v>
      </c>
      <c r="AA480" s="219">
        <f>SUM(AA473:AA479)</f>
        <v>8715040</v>
      </c>
      <c r="AB480" s="219">
        <f>SUM(AB473:AB479)</f>
        <v>8754392</v>
      </c>
      <c r="AC480" s="219">
        <f t="shared" si="117"/>
        <v>39352</v>
      </c>
      <c r="AD480" s="220">
        <f t="shared" si="118"/>
        <v>4.5154124364317318E-3</v>
      </c>
    </row>
    <row r="481" spans="26:42" x14ac:dyDescent="0.2">
      <c r="Z481" s="255"/>
      <c r="AA481" s="256"/>
      <c r="AB481" s="256"/>
      <c r="AC481" s="256"/>
      <c r="AD481" s="257"/>
    </row>
    <row r="482" spans="26:42" x14ac:dyDescent="0.2">
      <c r="AE482" s="199" t="s">
        <v>272</v>
      </c>
      <c r="AF482" s="199"/>
      <c r="AG482" s="199"/>
      <c r="AH482" s="178"/>
      <c r="AI482" s="222"/>
    </row>
    <row r="483" spans="26:42" ht="12.75" customHeight="1" x14ac:dyDescent="0.2">
      <c r="AE483" s="224" t="s">
        <v>241</v>
      </c>
      <c r="AF483" s="275" t="s">
        <v>242</v>
      </c>
      <c r="AG483" s="275"/>
      <c r="AH483" s="196" t="s">
        <v>243</v>
      </c>
      <c r="AI483" s="276" t="s">
        <v>244</v>
      </c>
      <c r="AJ483" s="276"/>
      <c r="AK483" s="277" t="s">
        <v>245</v>
      </c>
      <c r="AL483" s="277"/>
      <c r="AM483" s="277" t="s">
        <v>246</v>
      </c>
      <c r="AN483" s="277"/>
      <c r="AO483" s="277" t="s">
        <v>247</v>
      </c>
      <c r="AP483" s="277"/>
    </row>
    <row r="484" spans="26:42" x14ac:dyDescent="0.2">
      <c r="AE484" s="278" t="str">
        <f>AE453</f>
        <v>Weather 
Normal Conversion 
Factor</v>
      </c>
      <c r="AF484" s="278"/>
      <c r="AG484" s="278"/>
      <c r="AH484" s="278"/>
      <c r="AI484" s="278"/>
      <c r="AJ484" s="278"/>
      <c r="AK484" s="225">
        <v>1</v>
      </c>
      <c r="AL484" s="225">
        <f>AL453</f>
        <v>1.0071449171398263</v>
      </c>
      <c r="AM484" s="277"/>
      <c r="AN484" s="277"/>
      <c r="AO484" s="277"/>
      <c r="AP484" s="277"/>
    </row>
    <row r="485" spans="26:42" ht="38.25" x14ac:dyDescent="0.2">
      <c r="AE485" s="226"/>
      <c r="AF485" s="126" t="str">
        <f>AA472</f>
        <v>2013 Board Approved</v>
      </c>
      <c r="AG485" s="126" t="str">
        <f>AB472</f>
        <v>2013 
Actual</v>
      </c>
      <c r="AH485" s="227"/>
      <c r="AI485" s="126" t="str">
        <f>AF485</f>
        <v>2013 Board Approved</v>
      </c>
      <c r="AJ485" s="126" t="str">
        <f>AG485</f>
        <v>2013 
Actual</v>
      </c>
      <c r="AK485" s="126" t="str">
        <f>AI485</f>
        <v>2013 Board Approved</v>
      </c>
      <c r="AL485" s="126" t="str">
        <f>AJ485</f>
        <v>2013 
Actual</v>
      </c>
      <c r="AM485" s="126" t="str">
        <f>AI485</f>
        <v>2013 Board Approved</v>
      </c>
      <c r="AN485" s="126" t="str">
        <f>AJ485</f>
        <v>2013 
Actual</v>
      </c>
      <c r="AO485" s="126" t="str">
        <f>AK485</f>
        <v>2013 Board Approved</v>
      </c>
      <c r="AP485" s="126" t="str">
        <f>AL485</f>
        <v>2013 
Actual</v>
      </c>
    </row>
    <row r="486" spans="26:42" x14ac:dyDescent="0.2">
      <c r="AE486" s="218" t="str">
        <f t="shared" ref="AE486:AE492" si="119">AE455</f>
        <v xml:space="preserve">Residential </v>
      </c>
      <c r="AF486" s="111">
        <f>S372</f>
        <v>20432.24624822551</v>
      </c>
      <c r="AG486" s="111">
        <f>AG455</f>
        <v>20265.75</v>
      </c>
      <c r="AH486" s="217" t="str">
        <f>AH455</f>
        <v>kWh</v>
      </c>
      <c r="AI486" s="111">
        <f>S373</f>
        <v>162565618.49710244</v>
      </c>
      <c r="AJ486" s="111">
        <f>AJ455</f>
        <v>158724607</v>
      </c>
      <c r="AK486" s="217">
        <f>AI486*$AK$484</f>
        <v>162565618.49710244</v>
      </c>
      <c r="AL486" s="111">
        <f>AJ486*$AL$484</f>
        <v>159858681.16506651</v>
      </c>
      <c r="AM486" s="217">
        <f>AI486/AF486</f>
        <v>7956.3263148916312</v>
      </c>
      <c r="AN486" s="217">
        <f>AJ486/AG486</f>
        <v>7832.1605171286528</v>
      </c>
      <c r="AO486" s="217">
        <f>AK486/AF486</f>
        <v>7956.3263148916312</v>
      </c>
      <c r="AP486" s="217">
        <f>AL486/AG486</f>
        <v>7888.1206550493571</v>
      </c>
    </row>
    <row r="487" spans="26:42" x14ac:dyDescent="0.2">
      <c r="AE487" s="218" t="str">
        <f t="shared" si="119"/>
        <v>General Service &lt; 50 kW</v>
      </c>
      <c r="AF487" s="111">
        <f>S376</f>
        <v>1695.799451063576</v>
      </c>
      <c r="AG487" s="111">
        <f t="shared" ref="AG487:AG492" si="120">AG456</f>
        <v>1698.5</v>
      </c>
      <c r="AH487" s="217" t="str">
        <f t="shared" ref="AH487:AH501" si="121">AH456</f>
        <v>kWh</v>
      </c>
      <c r="AI487" s="111">
        <f>S377</f>
        <v>54784534.147389494</v>
      </c>
      <c r="AJ487" s="111">
        <f t="shared" ref="AJ487:AJ492" si="122">AJ456</f>
        <v>52726527</v>
      </c>
      <c r="AK487" s="217">
        <f t="shared" ref="AK487:AK492" si="123">AI487*$AK$484</f>
        <v>54784534.147389494</v>
      </c>
      <c r="AL487" s="111">
        <f t="shared" ref="AL487:AL492" si="124">AJ487*$AL$484</f>
        <v>53103253.666485816</v>
      </c>
      <c r="AM487" s="217">
        <f t="shared" ref="AM487:AM492" si="125">AI487/AF487</f>
        <v>32306.021866577197</v>
      </c>
      <c r="AN487" s="217">
        <f t="shared" ref="AN487:AN492" si="126">AJ487/AG487</f>
        <v>31042.99499558434</v>
      </c>
      <c r="AO487" s="217">
        <f t="shared" ref="AO487:AO492" si="127">AK487/AF487</f>
        <v>32306.021866577197</v>
      </c>
      <c r="AP487" s="217">
        <f t="shared" ref="AP487:AP492" si="128">AL487/AG487</f>
        <v>31264.794622599831</v>
      </c>
    </row>
    <row r="488" spans="26:42" x14ac:dyDescent="0.2">
      <c r="AE488" s="218" t="str">
        <f t="shared" si="119"/>
        <v>General Service 50 to 4,999 kW</v>
      </c>
      <c r="AF488" s="111">
        <f>S380</f>
        <v>169</v>
      </c>
      <c r="AG488" s="111">
        <f t="shared" si="120"/>
        <v>172.66666666666666</v>
      </c>
      <c r="AH488" s="217" t="str">
        <f t="shared" si="121"/>
        <v>kW</v>
      </c>
      <c r="AI488" s="111">
        <f>S382</f>
        <v>396002.04170930648</v>
      </c>
      <c r="AJ488" s="111">
        <f t="shared" si="122"/>
        <v>389545</v>
      </c>
      <c r="AK488" s="217">
        <f t="shared" si="123"/>
        <v>396002.04170930648</v>
      </c>
      <c r="AL488" s="111">
        <f t="shared" si="124"/>
        <v>392328.26674723363</v>
      </c>
      <c r="AM488" s="217">
        <f t="shared" si="125"/>
        <v>2343.207347392346</v>
      </c>
      <c r="AN488" s="217">
        <f t="shared" si="126"/>
        <v>2256.0521235521237</v>
      </c>
      <c r="AO488" s="217">
        <f t="shared" si="127"/>
        <v>2343.207347392346</v>
      </c>
      <c r="AP488" s="217">
        <f t="shared" si="128"/>
        <v>2272.1714290380328</v>
      </c>
    </row>
    <row r="489" spans="26:42" x14ac:dyDescent="0.2">
      <c r="AE489" s="218" t="str">
        <f t="shared" si="119"/>
        <v>Large User</v>
      </c>
      <c r="AF489" s="111">
        <f>S385</f>
        <v>1</v>
      </c>
      <c r="AG489" s="111">
        <f t="shared" si="120"/>
        <v>1</v>
      </c>
      <c r="AH489" s="217" t="str">
        <f t="shared" si="121"/>
        <v>kW</v>
      </c>
      <c r="AI489" s="111">
        <f>S387</f>
        <v>168817.67255906758</v>
      </c>
      <c r="AJ489" s="111">
        <f t="shared" si="122"/>
        <v>153121</v>
      </c>
      <c r="AK489" s="217">
        <f t="shared" si="123"/>
        <v>168817.67255906758</v>
      </c>
      <c r="AL489" s="111">
        <f t="shared" si="124"/>
        <v>154215.03685736735</v>
      </c>
      <c r="AM489" s="217">
        <f t="shared" si="125"/>
        <v>168817.67255906758</v>
      </c>
      <c r="AN489" s="217">
        <f t="shared" si="126"/>
        <v>153121</v>
      </c>
      <c r="AO489" s="217">
        <f t="shared" si="127"/>
        <v>168817.67255906758</v>
      </c>
      <c r="AP489" s="217">
        <f t="shared" si="128"/>
        <v>154215.03685736735</v>
      </c>
    </row>
    <row r="490" spans="26:42" x14ac:dyDescent="0.2">
      <c r="AE490" s="218" t="str">
        <f t="shared" si="119"/>
        <v xml:space="preserve">Street Lights </v>
      </c>
      <c r="AF490" s="111">
        <f>S390</f>
        <v>6749.5</v>
      </c>
      <c r="AG490" s="111">
        <f t="shared" si="120"/>
        <v>6778.916666666667</v>
      </c>
      <c r="AH490" s="217" t="str">
        <f t="shared" si="121"/>
        <v>kW</v>
      </c>
      <c r="AI490" s="111">
        <f>S392</f>
        <v>3552</v>
      </c>
      <c r="AJ490" s="111">
        <f t="shared" si="122"/>
        <v>7923</v>
      </c>
      <c r="AK490" s="217">
        <f t="shared" si="123"/>
        <v>3552</v>
      </c>
      <c r="AL490" s="111">
        <f t="shared" si="124"/>
        <v>7979.6091784988439</v>
      </c>
      <c r="AM490" s="217">
        <f t="shared" si="125"/>
        <v>0.5262612045336692</v>
      </c>
      <c r="AN490" s="217">
        <f t="shared" si="126"/>
        <v>1.1687708212964214</v>
      </c>
      <c r="AO490" s="217">
        <f t="shared" si="127"/>
        <v>0.5262612045336692</v>
      </c>
      <c r="AP490" s="217">
        <f t="shared" si="128"/>
        <v>1.1771215919700311</v>
      </c>
    </row>
    <row r="491" spans="26:42" x14ac:dyDescent="0.2">
      <c r="AE491" s="218" t="str">
        <f t="shared" si="119"/>
        <v>Sentinel Lights</v>
      </c>
      <c r="AF491" s="111">
        <f>S395</f>
        <v>574</v>
      </c>
      <c r="AG491" s="111">
        <f t="shared" si="120"/>
        <v>580.25</v>
      </c>
      <c r="AH491" s="217" t="str">
        <f t="shared" si="121"/>
        <v>kW</v>
      </c>
      <c r="AI491" s="111">
        <f>S397</f>
        <v>2296.8000000000002</v>
      </c>
      <c r="AJ491" s="111">
        <f t="shared" si="122"/>
        <v>2186</v>
      </c>
      <c r="AK491" s="217">
        <f t="shared" si="123"/>
        <v>2296.8000000000002</v>
      </c>
      <c r="AL491" s="111">
        <f t="shared" si="124"/>
        <v>2201.6187888676604</v>
      </c>
      <c r="AM491" s="217">
        <f t="shared" si="125"/>
        <v>4.0013937282229968</v>
      </c>
      <c r="AN491" s="217">
        <f t="shared" si="126"/>
        <v>3.7673416630762602</v>
      </c>
      <c r="AO491" s="217">
        <f t="shared" si="127"/>
        <v>4.0013937282229968</v>
      </c>
      <c r="AP491" s="217">
        <f t="shared" si="128"/>
        <v>3.7942590070963558</v>
      </c>
    </row>
    <row r="492" spans="26:42" x14ac:dyDescent="0.2">
      <c r="AE492" s="218" t="str">
        <f t="shared" si="119"/>
        <v xml:space="preserve">Unmetered Scattered Loads </v>
      </c>
      <c r="AF492" s="111">
        <f>S400</f>
        <v>225.35874142083784</v>
      </c>
      <c r="AG492" s="111">
        <f t="shared" si="120"/>
        <v>235.5</v>
      </c>
      <c r="AH492" s="217" t="str">
        <f t="shared" si="121"/>
        <v>kWh</v>
      </c>
      <c r="AI492" s="111">
        <f>S401</f>
        <v>1111229.6191108765</v>
      </c>
      <c r="AJ492" s="111">
        <f t="shared" si="122"/>
        <v>989250</v>
      </c>
      <c r="AK492" s="217">
        <f t="shared" si="123"/>
        <v>1111229.6191108765</v>
      </c>
      <c r="AL492" s="111">
        <f t="shared" si="124"/>
        <v>996318.1092805732</v>
      </c>
      <c r="AM492" s="217">
        <f t="shared" si="125"/>
        <v>4930.9363910395286</v>
      </c>
      <c r="AN492" s="217">
        <f t="shared" si="126"/>
        <v>4200.6369426751589</v>
      </c>
      <c r="AO492" s="217">
        <f t="shared" si="127"/>
        <v>4930.9363910395286</v>
      </c>
      <c r="AP492" s="217">
        <f t="shared" si="128"/>
        <v>4230.6501455650669</v>
      </c>
    </row>
    <row r="493" spans="26:42" x14ac:dyDescent="0.2">
      <c r="AE493" s="218" t="s">
        <v>10</v>
      </c>
      <c r="AF493" s="111">
        <f>SUM(AF486:AF492)</f>
        <v>29846.904440709925</v>
      </c>
      <c r="AG493" s="111">
        <f>SUM(AG486:AG492)</f>
        <v>29732.583333333336</v>
      </c>
      <c r="AH493" s="217"/>
      <c r="AI493" s="228"/>
      <c r="AJ493" s="228"/>
      <c r="AK493" s="228"/>
      <c r="AL493" s="228"/>
      <c r="AM493" s="228"/>
      <c r="AN493" s="228"/>
      <c r="AO493" s="228"/>
      <c r="AP493" s="228"/>
    </row>
    <row r="494" spans="26:42" x14ac:dyDescent="0.2">
      <c r="AE494" s="125"/>
      <c r="AF494" s="268" t="s">
        <v>249</v>
      </c>
      <c r="AG494" s="268"/>
      <c r="AH494" s="217"/>
      <c r="AI494" s="268" t="s">
        <v>249</v>
      </c>
      <c r="AJ494" s="268"/>
      <c r="AK494" s="268" t="s">
        <v>249</v>
      </c>
      <c r="AL494" s="268"/>
      <c r="AM494" s="268" t="s">
        <v>249</v>
      </c>
      <c r="AN494" s="268"/>
      <c r="AO494" s="268" t="s">
        <v>249</v>
      </c>
      <c r="AP494" s="268"/>
    </row>
    <row r="495" spans="26:42" x14ac:dyDescent="0.2">
      <c r="AE495" s="229" t="str">
        <f>AE486</f>
        <v xml:space="preserve">Residential </v>
      </c>
      <c r="AF495" s="274">
        <f>AG486-AF486</f>
        <v>-166.4962482255105</v>
      </c>
      <c r="AG495" s="274"/>
      <c r="AH495" s="217" t="str">
        <f t="shared" si="121"/>
        <v>kWh</v>
      </c>
      <c r="AI495" s="274">
        <f>AJ486-AI486</f>
        <v>-3841011.4971024394</v>
      </c>
      <c r="AJ495" s="274"/>
      <c r="AK495" s="274">
        <f>AL486-AK486</f>
        <v>-2706937.332035929</v>
      </c>
      <c r="AL495" s="274"/>
      <c r="AM495" s="274">
        <f>AN486-AM486</f>
        <v>-124.1657977629784</v>
      </c>
      <c r="AN495" s="274"/>
      <c r="AO495" s="274">
        <f>AP486-AO486</f>
        <v>-68.205659842274144</v>
      </c>
      <c r="AP495" s="274"/>
    </row>
    <row r="496" spans="26:42" x14ac:dyDescent="0.2">
      <c r="AE496" s="229" t="str">
        <f t="shared" ref="AE496:AE501" si="129">AE487</f>
        <v>General Service &lt; 50 kW</v>
      </c>
      <c r="AF496" s="274">
        <f>AG487-AF487</f>
        <v>2.7005489364239565</v>
      </c>
      <c r="AG496" s="274"/>
      <c r="AH496" s="217" t="str">
        <f t="shared" si="121"/>
        <v>kWh</v>
      </c>
      <c r="AI496" s="274">
        <f>AJ487-AI487</f>
        <v>-2058007.1473894939</v>
      </c>
      <c r="AJ496" s="274"/>
      <c r="AK496" s="274">
        <f>AL487-AK487</f>
        <v>-1681280.4809036776</v>
      </c>
      <c r="AL496" s="274"/>
      <c r="AM496" s="274">
        <f>AN487-AM487</f>
        <v>-1263.0268709928569</v>
      </c>
      <c r="AN496" s="274"/>
      <c r="AO496" s="274">
        <f>AP487-AO487</f>
        <v>-1041.227243977366</v>
      </c>
      <c r="AP496" s="274"/>
    </row>
    <row r="497" spans="26:42" x14ac:dyDescent="0.2">
      <c r="AE497" s="229" t="str">
        <f t="shared" si="129"/>
        <v>General Service 50 to 4,999 kW</v>
      </c>
      <c r="AF497" s="274">
        <f>AG488-AF488</f>
        <v>3.6666666666666572</v>
      </c>
      <c r="AG497" s="274"/>
      <c r="AH497" s="217" t="str">
        <f t="shared" si="121"/>
        <v>kW</v>
      </c>
      <c r="AI497" s="274">
        <f>AJ488-AI488</f>
        <v>-6457.0417093064752</v>
      </c>
      <c r="AJ497" s="274"/>
      <c r="AK497" s="274">
        <f>AL488-AK488</f>
        <v>-3673.7749620728428</v>
      </c>
      <c r="AL497" s="274"/>
      <c r="AM497" s="274">
        <f>AN488-AM488</f>
        <v>-87.155223840222334</v>
      </c>
      <c r="AN497" s="274"/>
      <c r="AO497" s="274">
        <f>AP488-AO488</f>
        <v>-71.035918354313253</v>
      </c>
      <c r="AP497" s="274"/>
    </row>
    <row r="498" spans="26:42" x14ac:dyDescent="0.2">
      <c r="AE498" s="229" t="str">
        <f t="shared" si="129"/>
        <v>Large User</v>
      </c>
      <c r="AF498" s="274">
        <f>AG489-AF489</f>
        <v>0</v>
      </c>
      <c r="AG498" s="274"/>
      <c r="AH498" s="217" t="str">
        <f t="shared" si="121"/>
        <v>kW</v>
      </c>
      <c r="AI498" s="274">
        <f>AJ489-AI489</f>
        <v>-15696.672559067578</v>
      </c>
      <c r="AJ498" s="274"/>
      <c r="AK498" s="274">
        <f>AL489-AK489</f>
        <v>-14602.63570170023</v>
      </c>
      <c r="AL498" s="274"/>
      <c r="AM498" s="274">
        <f>AN489-AM489</f>
        <v>-15696.672559067578</v>
      </c>
      <c r="AN498" s="274"/>
      <c r="AO498" s="274">
        <f>AP489-AO489</f>
        <v>-14602.63570170023</v>
      </c>
      <c r="AP498" s="274"/>
    </row>
    <row r="499" spans="26:42" x14ac:dyDescent="0.2">
      <c r="AE499" s="229" t="str">
        <f t="shared" si="129"/>
        <v xml:space="preserve">Street Lights </v>
      </c>
      <c r="AF499" s="274">
        <f t="shared" ref="AF499:AF501" si="130">AG490-AF490</f>
        <v>29.41666666666697</v>
      </c>
      <c r="AG499" s="274"/>
      <c r="AH499" s="217" t="str">
        <f t="shared" si="121"/>
        <v>kW</v>
      </c>
      <c r="AI499" s="274">
        <f t="shared" ref="AI499:AI501" si="131">AJ490-AI490</f>
        <v>4371</v>
      </c>
      <c r="AJ499" s="274"/>
      <c r="AK499" s="274">
        <f t="shared" ref="AK499:AK501" si="132">AL490-AK490</f>
        <v>4427.6091784988439</v>
      </c>
      <c r="AL499" s="274"/>
      <c r="AM499" s="274">
        <f t="shared" ref="AM499:AM501" si="133">AN490-AM490</f>
        <v>0.6425096167627522</v>
      </c>
      <c r="AN499" s="274"/>
      <c r="AO499" s="274">
        <f t="shared" ref="AO499:AO501" si="134">AP490-AO490</f>
        <v>0.65086038743636188</v>
      </c>
      <c r="AP499" s="274"/>
    </row>
    <row r="500" spans="26:42" x14ac:dyDescent="0.2">
      <c r="AE500" s="229" t="str">
        <f t="shared" si="129"/>
        <v>Sentinel Lights</v>
      </c>
      <c r="AF500" s="274">
        <f t="shared" si="130"/>
        <v>6.25</v>
      </c>
      <c r="AG500" s="274"/>
      <c r="AH500" s="217" t="str">
        <f t="shared" si="121"/>
        <v>kW</v>
      </c>
      <c r="AI500" s="274">
        <f t="shared" si="131"/>
        <v>-110.80000000000018</v>
      </c>
      <c r="AJ500" s="274"/>
      <c r="AK500" s="274">
        <f t="shared" si="132"/>
        <v>-95.18121113233974</v>
      </c>
      <c r="AL500" s="274"/>
      <c r="AM500" s="274">
        <f t="shared" si="133"/>
        <v>-0.2340520651467366</v>
      </c>
      <c r="AN500" s="274"/>
      <c r="AO500" s="274">
        <f t="shared" si="134"/>
        <v>-0.207134721126641</v>
      </c>
      <c r="AP500" s="274"/>
    </row>
    <row r="501" spans="26:42" x14ac:dyDescent="0.2">
      <c r="AE501" s="229" t="str">
        <f t="shared" si="129"/>
        <v xml:space="preserve">Unmetered Scattered Loads </v>
      </c>
      <c r="AF501" s="274">
        <f t="shared" si="130"/>
        <v>10.141258579162155</v>
      </c>
      <c r="AG501" s="274"/>
      <c r="AH501" s="217" t="str">
        <f t="shared" si="121"/>
        <v>kWh</v>
      </c>
      <c r="AI501" s="274">
        <f t="shared" si="131"/>
        <v>-121979.61911087646</v>
      </c>
      <c r="AJ501" s="274"/>
      <c r="AK501" s="274">
        <f t="shared" si="132"/>
        <v>-114911.50983030326</v>
      </c>
      <c r="AL501" s="274"/>
      <c r="AM501" s="274">
        <f t="shared" si="133"/>
        <v>-730.29944836436971</v>
      </c>
      <c r="AN501" s="274"/>
      <c r="AO501" s="274">
        <f t="shared" si="134"/>
        <v>-700.28624547446179</v>
      </c>
      <c r="AP501" s="274"/>
    </row>
    <row r="502" spans="26:42" x14ac:dyDescent="0.2">
      <c r="Z502" s="199" t="s">
        <v>274</v>
      </c>
      <c r="AA502" s="199"/>
      <c r="AB502" s="199"/>
      <c r="AC502" s="178"/>
      <c r="AD502" s="178"/>
    </row>
    <row r="503" spans="26:42" ht="25.5" x14ac:dyDescent="0.2">
      <c r="Z503" s="216" t="s">
        <v>237</v>
      </c>
      <c r="AA503" s="217" t="s">
        <v>225</v>
      </c>
      <c r="AB503" s="217" t="s">
        <v>273</v>
      </c>
      <c r="AC503" s="217" t="s">
        <v>239</v>
      </c>
      <c r="AD503" s="217" t="s">
        <v>240</v>
      </c>
      <c r="AE503" s="252"/>
      <c r="AF503" s="253"/>
      <c r="AG503" s="253"/>
      <c r="AH503" s="254"/>
      <c r="AI503" s="253"/>
      <c r="AJ503" s="253"/>
      <c r="AK503" s="253"/>
      <c r="AL503" s="253"/>
      <c r="AM503" s="253"/>
      <c r="AN503" s="253"/>
      <c r="AO503" s="253"/>
      <c r="AP503" s="253"/>
    </row>
    <row r="504" spans="26:42" x14ac:dyDescent="0.2">
      <c r="Z504" s="218" t="str">
        <f>Z473</f>
        <v xml:space="preserve">Residential </v>
      </c>
      <c r="AA504" s="219">
        <f>AB473</f>
        <v>6035509</v>
      </c>
      <c r="AB504" s="219">
        <f>S5</f>
        <v>6008631</v>
      </c>
      <c r="AC504" s="219">
        <f>AB504-AA504</f>
        <v>-26878</v>
      </c>
      <c r="AD504" s="220">
        <f>AC504/AA504</f>
        <v>-4.4533112285972901E-3</v>
      </c>
      <c r="AE504" s="252"/>
      <c r="AF504" s="253"/>
      <c r="AG504" s="253"/>
      <c r="AH504" s="254"/>
      <c r="AI504" s="253"/>
      <c r="AJ504" s="253"/>
      <c r="AK504" s="253"/>
      <c r="AL504" s="253"/>
      <c r="AM504" s="253"/>
      <c r="AN504" s="253"/>
      <c r="AO504" s="253"/>
      <c r="AP504" s="253"/>
    </row>
    <row r="505" spans="26:42" x14ac:dyDescent="0.2">
      <c r="Z505" s="218" t="str">
        <f t="shared" ref="Z505:Z510" si="135">Z474</f>
        <v>General Service &lt; 50 kW</v>
      </c>
      <c r="AA505" s="219">
        <f t="shared" ref="AA505:AA510" si="136">AB474</f>
        <v>1001165</v>
      </c>
      <c r="AB505" s="219">
        <f>S6</f>
        <v>1024771</v>
      </c>
      <c r="AC505" s="219">
        <f t="shared" ref="AC505:AC511" si="137">AB505-AA505</f>
        <v>23606</v>
      </c>
      <c r="AD505" s="220">
        <f t="shared" ref="AD505:AD511" si="138">AC505/AA505</f>
        <v>2.3578531011371751E-2</v>
      </c>
      <c r="AE505" s="252"/>
      <c r="AF505" s="253"/>
      <c r="AG505" s="253"/>
      <c r="AH505" s="254"/>
      <c r="AI505" s="253"/>
      <c r="AJ505" s="253"/>
      <c r="AK505" s="253"/>
      <c r="AL505" s="253"/>
      <c r="AM505" s="253"/>
      <c r="AN505" s="253"/>
      <c r="AO505" s="253"/>
      <c r="AP505" s="253"/>
    </row>
    <row r="506" spans="26:42" x14ac:dyDescent="0.2">
      <c r="Z506" s="218" t="str">
        <f t="shared" si="135"/>
        <v>General Service 50 to 4,999 kW</v>
      </c>
      <c r="AA506" s="219">
        <f t="shared" si="136"/>
        <v>1278326</v>
      </c>
      <c r="AB506" s="219">
        <f>S7</f>
        <v>1351549</v>
      </c>
      <c r="AC506" s="219">
        <f t="shared" si="137"/>
        <v>73223</v>
      </c>
      <c r="AD506" s="220">
        <f t="shared" si="138"/>
        <v>5.7280380747946925E-2</v>
      </c>
      <c r="AE506" s="252"/>
      <c r="AF506" s="253"/>
      <c r="AG506" s="253"/>
      <c r="AH506" s="254"/>
      <c r="AI506" s="253"/>
      <c r="AJ506" s="253"/>
      <c r="AK506" s="253"/>
      <c r="AL506" s="253"/>
      <c r="AM506" s="253"/>
      <c r="AN506" s="253"/>
      <c r="AO506" s="253"/>
      <c r="AP506" s="253"/>
    </row>
    <row r="507" spans="26:42" x14ac:dyDescent="0.2">
      <c r="Z507" s="218" t="str">
        <f t="shared" si="135"/>
        <v>Large User</v>
      </c>
      <c r="AA507" s="219">
        <f t="shared" si="136"/>
        <v>131373</v>
      </c>
      <c r="AB507" s="219">
        <f>S8</f>
        <v>98517</v>
      </c>
      <c r="AC507" s="219">
        <f t="shared" si="137"/>
        <v>-32856</v>
      </c>
      <c r="AD507" s="220">
        <f t="shared" si="138"/>
        <v>-0.25009705190564269</v>
      </c>
      <c r="AE507" s="252"/>
      <c r="AF507" s="253"/>
      <c r="AG507" s="253"/>
      <c r="AH507" s="254"/>
      <c r="AI507" s="253"/>
      <c r="AJ507" s="253"/>
      <c r="AK507" s="253"/>
      <c r="AL507" s="253"/>
      <c r="AM507" s="253"/>
      <c r="AN507" s="253"/>
      <c r="AO507" s="253"/>
      <c r="AP507" s="253"/>
    </row>
    <row r="508" spans="26:42" x14ac:dyDescent="0.2">
      <c r="Z508" s="218" t="str">
        <f t="shared" si="135"/>
        <v xml:space="preserve">Street Lights </v>
      </c>
      <c r="AA508" s="219">
        <f t="shared" si="136"/>
        <v>237088</v>
      </c>
      <c r="AB508" s="219">
        <f>S9</f>
        <v>211712</v>
      </c>
      <c r="AC508" s="219">
        <f t="shared" si="137"/>
        <v>-25376</v>
      </c>
      <c r="AD508" s="220">
        <f t="shared" si="138"/>
        <v>-0.10703198812255366</v>
      </c>
      <c r="AE508" s="252"/>
      <c r="AF508" s="253"/>
      <c r="AG508" s="253"/>
      <c r="AH508" s="254"/>
      <c r="AI508" s="253"/>
      <c r="AJ508" s="253"/>
      <c r="AK508" s="253"/>
      <c r="AL508" s="253"/>
      <c r="AM508" s="253"/>
      <c r="AN508" s="253"/>
      <c r="AO508" s="253"/>
      <c r="AP508" s="253"/>
    </row>
    <row r="509" spans="26:42" x14ac:dyDescent="0.2">
      <c r="Z509" s="218" t="str">
        <f t="shared" si="135"/>
        <v>Sentinel Lights</v>
      </c>
      <c r="AA509" s="219">
        <f t="shared" si="136"/>
        <v>29471</v>
      </c>
      <c r="AB509" s="219">
        <f>S10</f>
        <v>28483</v>
      </c>
      <c r="AC509" s="219">
        <f t="shared" si="137"/>
        <v>-988</v>
      </c>
      <c r="AD509" s="220">
        <f t="shared" si="138"/>
        <v>-3.3524481693868548E-2</v>
      </c>
      <c r="AE509" s="252"/>
      <c r="AF509" s="253"/>
      <c r="AG509" s="253"/>
      <c r="AH509" s="254"/>
      <c r="AI509" s="253"/>
      <c r="AJ509" s="253"/>
      <c r="AK509" s="253"/>
      <c r="AL509" s="253"/>
      <c r="AM509" s="253"/>
      <c r="AN509" s="253"/>
      <c r="AO509" s="253"/>
      <c r="AP509" s="253"/>
    </row>
    <row r="510" spans="26:42" x14ac:dyDescent="0.2">
      <c r="Z510" s="218" t="str">
        <f t="shared" si="135"/>
        <v xml:space="preserve">Unmetered Scattered Loads </v>
      </c>
      <c r="AA510" s="219">
        <f t="shared" si="136"/>
        <v>41460</v>
      </c>
      <c r="AB510" s="219">
        <f>S11</f>
        <v>42241</v>
      </c>
      <c r="AC510" s="219">
        <f t="shared" si="137"/>
        <v>781</v>
      </c>
      <c r="AD510" s="220">
        <f t="shared" si="138"/>
        <v>1.8837433671008201E-2</v>
      </c>
      <c r="AE510" s="252"/>
      <c r="AF510" s="253"/>
      <c r="AG510" s="253"/>
      <c r="AH510" s="254"/>
      <c r="AI510" s="253"/>
      <c r="AJ510" s="253"/>
      <c r="AK510" s="253"/>
      <c r="AL510" s="253"/>
      <c r="AM510" s="253"/>
      <c r="AN510" s="253"/>
      <c r="AO510" s="253"/>
      <c r="AP510" s="253"/>
    </row>
    <row r="511" spans="26:42" x14ac:dyDescent="0.2">
      <c r="Z511" s="221" t="s">
        <v>16</v>
      </c>
      <c r="AA511" s="219">
        <f>SUM(AA504:AA510)</f>
        <v>8754392</v>
      </c>
      <c r="AB511" s="219">
        <f>SUM(AB504:AB510)</f>
        <v>8765904</v>
      </c>
      <c r="AC511" s="219">
        <f t="shared" si="137"/>
        <v>11512</v>
      </c>
      <c r="AD511" s="220">
        <f t="shared" si="138"/>
        <v>1.3149970894609244E-3</v>
      </c>
      <c r="AE511" s="252"/>
      <c r="AF511" s="253"/>
      <c r="AG511" s="253"/>
      <c r="AH511" s="254"/>
      <c r="AI511" s="253"/>
      <c r="AJ511" s="253"/>
      <c r="AK511" s="253"/>
      <c r="AL511" s="253"/>
      <c r="AM511" s="253"/>
      <c r="AN511" s="253"/>
      <c r="AO511" s="253"/>
      <c r="AP511" s="253"/>
    </row>
    <row r="512" spans="26:42" customFormat="1" x14ac:dyDescent="0.2"/>
    <row r="513" spans="31:42" customFormat="1" x14ac:dyDescent="0.2">
      <c r="AE513" s="199" t="s">
        <v>275</v>
      </c>
      <c r="AF513" s="199"/>
      <c r="AG513" s="199"/>
    </row>
    <row r="514" spans="31:42" customFormat="1" x14ac:dyDescent="0.2">
      <c r="AE514" s="223" t="s">
        <v>241</v>
      </c>
      <c r="AF514" s="275" t="s">
        <v>242</v>
      </c>
      <c r="AG514" s="275"/>
      <c r="AH514" s="138" t="s">
        <v>243</v>
      </c>
      <c r="AI514" s="276" t="s">
        <v>244</v>
      </c>
      <c r="AJ514" s="276"/>
      <c r="AK514" s="277" t="s">
        <v>245</v>
      </c>
      <c r="AL514" s="277"/>
      <c r="AM514" s="277" t="s">
        <v>246</v>
      </c>
      <c r="AN514" s="277"/>
      <c r="AO514" s="277" t="s">
        <v>247</v>
      </c>
      <c r="AP514" s="277"/>
    </row>
    <row r="515" spans="31:42" x14ac:dyDescent="0.2">
      <c r="AE515" s="271" t="str">
        <f>AE453</f>
        <v>Weather 
Normal Conversion 
Factor</v>
      </c>
      <c r="AF515" s="272"/>
      <c r="AG515" s="272"/>
      <c r="AH515" s="272"/>
      <c r="AI515" s="272"/>
      <c r="AJ515" s="273"/>
      <c r="AK515" s="225">
        <f>AL453</f>
        <v>1.0071449171398263</v>
      </c>
      <c r="AL515" s="225">
        <f>F173</f>
        <v>1.0109992194106354</v>
      </c>
      <c r="AM515" s="266"/>
      <c r="AN515" s="267"/>
      <c r="AO515" s="266"/>
      <c r="AP515" s="267"/>
    </row>
    <row r="516" spans="31:42" ht="25.5" x14ac:dyDescent="0.2">
      <c r="AE516" s="226"/>
      <c r="AF516" s="217" t="str">
        <f>AA503</f>
        <v>2013 
Actual</v>
      </c>
      <c r="AG516" s="217" t="str">
        <f>AB503</f>
        <v>2014 Actual</v>
      </c>
      <c r="AH516" s="227"/>
      <c r="AI516" s="126" t="str">
        <f>AF516</f>
        <v>2013 
Actual</v>
      </c>
      <c r="AJ516" s="126" t="str">
        <f>AG516</f>
        <v>2014 Actual</v>
      </c>
      <c r="AK516" s="126" t="str">
        <f>AI516</f>
        <v>2013 
Actual</v>
      </c>
      <c r="AL516" s="126" t="str">
        <f>AJ516</f>
        <v>2014 Actual</v>
      </c>
      <c r="AM516" s="126" t="str">
        <f>AI516</f>
        <v>2013 
Actual</v>
      </c>
      <c r="AN516" s="126" t="str">
        <f>AJ516</f>
        <v>2014 Actual</v>
      </c>
      <c r="AO516" s="126" t="str">
        <f>AK516</f>
        <v>2013 
Actual</v>
      </c>
      <c r="AP516" s="126" t="str">
        <f>AL516</f>
        <v>2014 Actual</v>
      </c>
    </row>
    <row r="517" spans="31:42" x14ac:dyDescent="0.2">
      <c r="AE517" s="218" t="str">
        <f>AE455</f>
        <v xml:space="preserve">Residential </v>
      </c>
      <c r="AF517" s="111">
        <f>AG486</f>
        <v>20265.75</v>
      </c>
      <c r="AG517" s="111">
        <f>U372</f>
        <v>20472.166666666668</v>
      </c>
      <c r="AH517" s="217" t="str">
        <f>AH486</f>
        <v>kWh</v>
      </c>
      <c r="AI517" s="111">
        <f>AJ486</f>
        <v>158724607</v>
      </c>
      <c r="AJ517" s="111">
        <f>U373</f>
        <v>158185053</v>
      </c>
      <c r="AK517" s="217">
        <f>AI517*$AK$515</f>
        <v>159858681.16506651</v>
      </c>
      <c r="AL517" s="111">
        <f>AJ517*$AL$515</f>
        <v>159924965.10543001</v>
      </c>
      <c r="AM517" s="217">
        <f>AI517/AF517</f>
        <v>7832.1605171286528</v>
      </c>
      <c r="AN517" s="217">
        <f>AJ517/AG517</f>
        <v>7726.8349547759963</v>
      </c>
      <c r="AO517" s="217">
        <f>AK517/AF517</f>
        <v>7888.1206550493571</v>
      </c>
      <c r="AP517" s="217">
        <f>AL517/AG517</f>
        <v>7811.8241077933453</v>
      </c>
    </row>
    <row r="518" spans="31:42" x14ac:dyDescent="0.2">
      <c r="AE518" s="218" t="str">
        <f t="shared" ref="AE518:AE523" si="139">AE456</f>
        <v>General Service &lt; 50 kW</v>
      </c>
      <c r="AF518" s="111">
        <f t="shared" ref="AF518:AF523" si="140">AG487</f>
        <v>1698.5</v>
      </c>
      <c r="AG518" s="111">
        <f>U376</f>
        <v>1742.8333333333333</v>
      </c>
      <c r="AH518" s="217" t="str">
        <f t="shared" ref="AH518:AH523" si="141">AH487</f>
        <v>kWh</v>
      </c>
      <c r="AI518" s="111">
        <f t="shared" ref="AI518:AI523" si="142">AJ487</f>
        <v>52726527</v>
      </c>
      <c r="AJ518" s="111">
        <f>U377</f>
        <v>53903009</v>
      </c>
      <c r="AK518" s="217">
        <f t="shared" ref="AK518:AK523" si="143">AI518*$AK$515</f>
        <v>53103253.666485816</v>
      </c>
      <c r="AL518" s="111">
        <f t="shared" ref="AL518:AL523" si="144">AJ518*$AL$515</f>
        <v>54495900.022884458</v>
      </c>
      <c r="AM518" s="217">
        <f t="shared" ref="AM518:AM523" si="145">AI518/AF518</f>
        <v>31042.99499558434</v>
      </c>
      <c r="AN518" s="217">
        <f t="shared" ref="AN518:AN523" si="146">AJ518/AG518</f>
        <v>30928.378502438558</v>
      </c>
      <c r="AO518" s="217">
        <f t="shared" ref="AO518:AO523" si="147">AK518/AF518</f>
        <v>31264.794622599831</v>
      </c>
      <c r="AP518" s="217">
        <f t="shared" ref="AP518:AP523" si="148">AL518/AG518</f>
        <v>31268.566523602061</v>
      </c>
    </row>
    <row r="519" spans="31:42" x14ac:dyDescent="0.2">
      <c r="AE519" s="218" t="str">
        <f t="shared" si="139"/>
        <v>General Service 50 to 4,999 kW</v>
      </c>
      <c r="AF519" s="111">
        <f t="shared" si="140"/>
        <v>172.66666666666666</v>
      </c>
      <c r="AG519" s="111">
        <f>U380</f>
        <v>165.41666666666666</v>
      </c>
      <c r="AH519" s="217" t="str">
        <f t="shared" si="141"/>
        <v>kW</v>
      </c>
      <c r="AI519" s="111">
        <f t="shared" si="142"/>
        <v>389545</v>
      </c>
      <c r="AJ519" s="111">
        <f>U382</f>
        <v>402375</v>
      </c>
      <c r="AK519" s="217">
        <f t="shared" si="143"/>
        <v>392328.26674723363</v>
      </c>
      <c r="AL519" s="111">
        <f t="shared" si="144"/>
        <v>406800.81091035443</v>
      </c>
      <c r="AM519" s="217">
        <f t="shared" si="145"/>
        <v>2256.0521235521237</v>
      </c>
      <c r="AN519" s="217">
        <f t="shared" si="146"/>
        <v>2432.4937027707811</v>
      </c>
      <c r="AO519" s="217">
        <f t="shared" si="147"/>
        <v>2272.1714290380328</v>
      </c>
      <c r="AP519" s="217">
        <f t="shared" si="148"/>
        <v>2459.2492347225457</v>
      </c>
    </row>
    <row r="520" spans="31:42" x14ac:dyDescent="0.2">
      <c r="AE520" s="218" t="str">
        <f t="shared" si="139"/>
        <v>Large User</v>
      </c>
      <c r="AF520" s="111">
        <f t="shared" si="140"/>
        <v>1</v>
      </c>
      <c r="AG520" s="111">
        <f>U385</f>
        <v>1</v>
      </c>
      <c r="AH520" s="217" t="str">
        <f t="shared" si="141"/>
        <v>kW</v>
      </c>
      <c r="AI520" s="111">
        <f t="shared" si="142"/>
        <v>153121</v>
      </c>
      <c r="AJ520" s="111">
        <f>U387</f>
        <v>59144</v>
      </c>
      <c r="AK520" s="217">
        <f t="shared" si="143"/>
        <v>154215.03685736735</v>
      </c>
      <c r="AL520" s="111">
        <f t="shared" si="144"/>
        <v>59794.537832822622</v>
      </c>
      <c r="AM520" s="217">
        <f t="shared" si="145"/>
        <v>153121</v>
      </c>
      <c r="AN520" s="217">
        <f t="shared" si="146"/>
        <v>59144</v>
      </c>
      <c r="AO520" s="217">
        <f t="shared" si="147"/>
        <v>154215.03685736735</v>
      </c>
      <c r="AP520" s="217">
        <f t="shared" si="148"/>
        <v>59794.537832822622</v>
      </c>
    </row>
    <row r="521" spans="31:42" x14ac:dyDescent="0.2">
      <c r="AE521" s="218" t="str">
        <f t="shared" si="139"/>
        <v xml:space="preserve">Street Lights </v>
      </c>
      <c r="AF521" s="111">
        <f t="shared" si="140"/>
        <v>6778.916666666667</v>
      </c>
      <c r="AG521" s="111">
        <f>U390</f>
        <v>6784.333333333333</v>
      </c>
      <c r="AH521" s="217" t="str">
        <f t="shared" si="141"/>
        <v>kW</v>
      </c>
      <c r="AI521" s="111">
        <f t="shared" si="142"/>
        <v>7923</v>
      </c>
      <c r="AJ521" s="111">
        <f>U392</f>
        <v>6992</v>
      </c>
      <c r="AK521" s="217">
        <f t="shared" si="143"/>
        <v>7979.6091784988439</v>
      </c>
      <c r="AL521" s="111">
        <f t="shared" si="144"/>
        <v>7068.9065421191626</v>
      </c>
      <c r="AM521" s="217">
        <f t="shared" si="145"/>
        <v>1.1687708212964214</v>
      </c>
      <c r="AN521" s="217">
        <f t="shared" si="146"/>
        <v>1.0306097381221442</v>
      </c>
      <c r="AO521" s="217">
        <f t="shared" si="147"/>
        <v>1.1771215919700311</v>
      </c>
      <c r="AP521" s="217">
        <f t="shared" si="148"/>
        <v>1.0419456407584871</v>
      </c>
    </row>
    <row r="522" spans="31:42" x14ac:dyDescent="0.2">
      <c r="AE522" s="218" t="str">
        <f t="shared" si="139"/>
        <v>Sentinel Lights</v>
      </c>
      <c r="AF522" s="111">
        <f t="shared" si="140"/>
        <v>580.25</v>
      </c>
      <c r="AG522" s="111">
        <f>U395</f>
        <v>519.16666666666663</v>
      </c>
      <c r="AH522" s="217" t="str">
        <f t="shared" si="141"/>
        <v>kW</v>
      </c>
      <c r="AI522" s="111">
        <f t="shared" si="142"/>
        <v>2186</v>
      </c>
      <c r="AJ522" s="111">
        <f>U397</f>
        <v>2120</v>
      </c>
      <c r="AK522" s="217">
        <f t="shared" si="143"/>
        <v>2201.6187888676604</v>
      </c>
      <c r="AL522" s="111">
        <f t="shared" si="144"/>
        <v>2143.318345150547</v>
      </c>
      <c r="AM522" s="217">
        <f>AI522/AF522</f>
        <v>3.7673416630762602</v>
      </c>
      <c r="AN522" s="217">
        <f>AJ522/AG522</f>
        <v>4.0834670947030505</v>
      </c>
      <c r="AO522" s="217">
        <f>AK522/AF522</f>
        <v>3.7942590070963558</v>
      </c>
      <c r="AP522" s="217">
        <f>AL522/AG522</f>
        <v>4.1283820452337983</v>
      </c>
    </row>
    <row r="523" spans="31:42" x14ac:dyDescent="0.2">
      <c r="AE523" s="218" t="str">
        <f t="shared" si="139"/>
        <v xml:space="preserve">Unmetered Scattered Loads </v>
      </c>
      <c r="AF523" s="111">
        <f t="shared" si="140"/>
        <v>235.5</v>
      </c>
      <c r="AG523" s="111">
        <f>U400</f>
        <v>259.33333333333331</v>
      </c>
      <c r="AH523" s="217" t="str">
        <f t="shared" si="141"/>
        <v>kWh</v>
      </c>
      <c r="AI523" s="111">
        <f t="shared" si="142"/>
        <v>989250</v>
      </c>
      <c r="AJ523" s="111">
        <f>U401</f>
        <v>966945</v>
      </c>
      <c r="AK523" s="217">
        <f t="shared" si="143"/>
        <v>996318.1092805732</v>
      </c>
      <c r="AL523" s="111">
        <f t="shared" si="144"/>
        <v>977580.64021301689</v>
      </c>
      <c r="AM523" s="217">
        <f t="shared" si="145"/>
        <v>4200.6369426751589</v>
      </c>
      <c r="AN523" s="217">
        <f t="shared" si="146"/>
        <v>3728.5796915167098</v>
      </c>
      <c r="AO523" s="217">
        <f t="shared" si="147"/>
        <v>4230.6501455650669</v>
      </c>
      <c r="AP523" s="217">
        <f t="shared" si="148"/>
        <v>3769.5911576337417</v>
      </c>
    </row>
    <row r="524" spans="31:42" x14ac:dyDescent="0.2">
      <c r="AE524" s="218" t="s">
        <v>10</v>
      </c>
      <c r="AF524" s="111">
        <f>SUM(AF517:AF523)</f>
        <v>29732.583333333336</v>
      </c>
      <c r="AG524" s="111">
        <f>SUM(AG517:AG523)</f>
        <v>29944.25</v>
      </c>
      <c r="AH524" s="217"/>
      <c r="AI524" s="228"/>
      <c r="AJ524" s="228"/>
      <c r="AK524" s="228"/>
      <c r="AL524" s="228"/>
      <c r="AM524" s="228"/>
      <c r="AN524" s="228"/>
      <c r="AO524" s="228"/>
      <c r="AP524" s="228"/>
    </row>
    <row r="525" spans="31:42" x14ac:dyDescent="0.2">
      <c r="AE525" s="125"/>
      <c r="AF525" s="268" t="s">
        <v>249</v>
      </c>
      <c r="AG525" s="268"/>
      <c r="AH525" s="125"/>
      <c r="AI525" s="268" t="s">
        <v>249</v>
      </c>
      <c r="AJ525" s="268"/>
      <c r="AK525" s="268" t="s">
        <v>249</v>
      </c>
      <c r="AL525" s="268"/>
      <c r="AM525" s="268" t="s">
        <v>249</v>
      </c>
      <c r="AN525" s="268"/>
      <c r="AO525" s="268" t="s">
        <v>249</v>
      </c>
      <c r="AP525" s="268"/>
    </row>
    <row r="526" spans="31:42" x14ac:dyDescent="0.2">
      <c r="AE526" s="229" t="str">
        <f>AE517</f>
        <v xml:space="preserve">Residential </v>
      </c>
      <c r="AF526" s="269">
        <f>AG517-AF517</f>
        <v>206.41666666666788</v>
      </c>
      <c r="AG526" s="270"/>
      <c r="AH526" s="217" t="str">
        <f>AH517</f>
        <v>kWh</v>
      </c>
      <c r="AI526" s="269">
        <f>AJ517-AI517</f>
        <v>-539554</v>
      </c>
      <c r="AJ526" s="270"/>
      <c r="AK526" s="269">
        <f>AL517-AK517</f>
        <v>66283.940363496542</v>
      </c>
      <c r="AL526" s="270"/>
      <c r="AM526" s="269">
        <f>AN517-AM517</f>
        <v>-105.32556235265656</v>
      </c>
      <c r="AN526" s="270"/>
      <c r="AO526" s="269">
        <f>AP517-AO517</f>
        <v>-76.296547256011763</v>
      </c>
      <c r="AP526" s="270"/>
    </row>
    <row r="527" spans="31:42" x14ac:dyDescent="0.2">
      <c r="AE527" s="229" t="str">
        <f t="shared" ref="AE527:AE532" si="149">AE518</f>
        <v>General Service &lt; 50 kW</v>
      </c>
      <c r="AF527" s="269">
        <f>AG518-AF518</f>
        <v>44.333333333333258</v>
      </c>
      <c r="AG527" s="270"/>
      <c r="AH527" s="217" t="str">
        <f t="shared" ref="AH527:AH532" si="150">AH518</f>
        <v>kWh</v>
      </c>
      <c r="AI527" s="269">
        <f>AJ518-AI518</f>
        <v>1176482</v>
      </c>
      <c r="AJ527" s="270"/>
      <c r="AK527" s="269">
        <f>AL518-AK518</f>
        <v>1392646.3563986421</v>
      </c>
      <c r="AL527" s="270"/>
      <c r="AM527" s="269">
        <f>AN518-AM518</f>
        <v>-114.61649314578244</v>
      </c>
      <c r="AN527" s="270"/>
      <c r="AO527" s="269">
        <f>AP518-AO518</f>
        <v>3.7719010022301518</v>
      </c>
      <c r="AP527" s="270"/>
    </row>
    <row r="528" spans="31:42" x14ac:dyDescent="0.2">
      <c r="AE528" s="229" t="str">
        <f t="shared" si="149"/>
        <v>General Service 50 to 4,999 kW</v>
      </c>
      <c r="AF528" s="269">
        <f>AG519-AF519</f>
        <v>-7.25</v>
      </c>
      <c r="AG528" s="270"/>
      <c r="AH528" s="217" t="str">
        <f t="shared" si="150"/>
        <v>kW</v>
      </c>
      <c r="AI528" s="269">
        <f>AJ519-AI519</f>
        <v>12830</v>
      </c>
      <c r="AJ528" s="270"/>
      <c r="AK528" s="269">
        <f>AL519-AK519</f>
        <v>14472.544163120794</v>
      </c>
      <c r="AL528" s="270"/>
      <c r="AM528" s="269">
        <f>AN519-AM519</f>
        <v>176.44157921865735</v>
      </c>
      <c r="AN528" s="270"/>
      <c r="AO528" s="269">
        <f>AP519-AO519</f>
        <v>187.0778056845129</v>
      </c>
      <c r="AP528" s="270"/>
    </row>
    <row r="529" spans="26:54" x14ac:dyDescent="0.2">
      <c r="AE529" s="229" t="str">
        <f t="shared" si="149"/>
        <v>Large User</v>
      </c>
      <c r="AF529" s="269">
        <f>AG520-AF520</f>
        <v>0</v>
      </c>
      <c r="AG529" s="270"/>
      <c r="AH529" s="217" t="str">
        <f t="shared" si="150"/>
        <v>kW</v>
      </c>
      <c r="AI529" s="269">
        <f>AJ520-AI520</f>
        <v>-93977</v>
      </c>
      <c r="AJ529" s="270"/>
      <c r="AK529" s="269">
        <f>AL520-AK520</f>
        <v>-94420.499024544726</v>
      </c>
      <c r="AL529" s="270"/>
      <c r="AM529" s="269">
        <f>AN520-AM520</f>
        <v>-93977</v>
      </c>
      <c r="AN529" s="270"/>
      <c r="AO529" s="269">
        <f>AP520-AO520</f>
        <v>-94420.499024544726</v>
      </c>
      <c r="AP529" s="270"/>
      <c r="AQ529"/>
      <c r="AR529"/>
      <c r="AS529"/>
      <c r="AT529"/>
      <c r="AU529"/>
      <c r="AV529"/>
      <c r="AW529"/>
      <c r="AX529"/>
      <c r="AY529"/>
      <c r="AZ529"/>
      <c r="BA529"/>
      <c r="BB529"/>
    </row>
    <row r="530" spans="26:54" x14ac:dyDescent="0.2">
      <c r="AE530" s="229" t="str">
        <f t="shared" si="149"/>
        <v xml:space="preserve">Street Lights </v>
      </c>
      <c r="AF530" s="269">
        <f t="shared" ref="AF530:AF532" si="151">AG521-AF521</f>
        <v>5.4166666666660603</v>
      </c>
      <c r="AG530" s="270"/>
      <c r="AH530" s="217" t="str">
        <f t="shared" si="150"/>
        <v>kW</v>
      </c>
      <c r="AI530" s="269">
        <f t="shared" ref="AI530:AI532" si="152">AJ521-AI521</f>
        <v>-931</v>
      </c>
      <c r="AJ530" s="270"/>
      <c r="AK530" s="269">
        <f t="shared" ref="AK530:AK532" si="153">AL521-AK521</f>
        <v>-910.70263637968128</v>
      </c>
      <c r="AL530" s="270"/>
      <c r="AM530" s="269">
        <f t="shared" ref="AM530:AM532" si="154">AN521-AM521</f>
        <v>-0.13816108317427722</v>
      </c>
      <c r="AN530" s="270"/>
      <c r="AO530" s="269">
        <f t="shared" ref="AO530:AO532" si="155">AP521-AO521</f>
        <v>-0.13517595121154402</v>
      </c>
      <c r="AP530" s="270"/>
      <c r="AQ530"/>
      <c r="AR530"/>
      <c r="AS530"/>
      <c r="AT530"/>
      <c r="AU530"/>
      <c r="AV530"/>
      <c r="AW530"/>
      <c r="AX530"/>
      <c r="AY530"/>
      <c r="AZ530"/>
      <c r="BA530"/>
      <c r="BB530"/>
    </row>
    <row r="531" spans="26:54" x14ac:dyDescent="0.2">
      <c r="AE531" s="229" t="str">
        <f t="shared" si="149"/>
        <v>Sentinel Lights</v>
      </c>
      <c r="AF531" s="269">
        <f t="shared" si="151"/>
        <v>-61.083333333333371</v>
      </c>
      <c r="AG531" s="270"/>
      <c r="AH531" s="217" t="str">
        <f t="shared" si="150"/>
        <v>kW</v>
      </c>
      <c r="AI531" s="269">
        <f t="shared" si="152"/>
        <v>-66</v>
      </c>
      <c r="AJ531" s="270"/>
      <c r="AK531" s="269">
        <f t="shared" si="153"/>
        <v>-58.300443717113467</v>
      </c>
      <c r="AL531" s="270"/>
      <c r="AM531" s="269">
        <f t="shared" si="154"/>
        <v>0.3161254316267903</v>
      </c>
      <c r="AN531" s="270"/>
      <c r="AO531" s="269">
        <f t="shared" si="155"/>
        <v>0.33412303813744249</v>
      </c>
      <c r="AP531" s="270"/>
      <c r="AQ531"/>
      <c r="AR531"/>
      <c r="AS531"/>
      <c r="AT531"/>
      <c r="AU531"/>
      <c r="AV531"/>
      <c r="AW531"/>
      <c r="AX531"/>
      <c r="AY531"/>
      <c r="AZ531"/>
      <c r="BA531"/>
      <c r="BB531"/>
    </row>
    <row r="532" spans="26:54" x14ac:dyDescent="0.2">
      <c r="AE532" s="229" t="str">
        <f t="shared" si="149"/>
        <v xml:space="preserve">Unmetered Scattered Loads </v>
      </c>
      <c r="AF532" s="269">
        <f t="shared" si="151"/>
        <v>23.833333333333314</v>
      </c>
      <c r="AG532" s="270"/>
      <c r="AH532" s="217" t="str">
        <f t="shared" si="150"/>
        <v>kWh</v>
      </c>
      <c r="AI532" s="269">
        <f t="shared" si="152"/>
        <v>-22305</v>
      </c>
      <c r="AJ532" s="270"/>
      <c r="AK532" s="269">
        <f t="shared" si="153"/>
        <v>-18737.469067556318</v>
      </c>
      <c r="AL532" s="270"/>
      <c r="AM532" s="269">
        <f t="shared" si="154"/>
        <v>-472.05725115844916</v>
      </c>
      <c r="AN532" s="270"/>
      <c r="AO532" s="269">
        <f t="shared" si="155"/>
        <v>-461.05898793132519</v>
      </c>
      <c r="AP532" s="270"/>
      <c r="AQ532"/>
      <c r="AR532"/>
      <c r="AS532"/>
      <c r="AT532"/>
      <c r="AU532"/>
      <c r="AV532"/>
      <c r="AW532"/>
      <c r="AX532"/>
      <c r="AY532"/>
      <c r="AZ532"/>
      <c r="BA532"/>
      <c r="BB532"/>
    </row>
    <row r="533" spans="26:54" x14ac:dyDescent="0.2">
      <c r="Z533" s="199" t="s">
        <v>276</v>
      </c>
      <c r="AA533" s="199"/>
      <c r="AB533" s="199"/>
      <c r="AC533" s="178"/>
      <c r="AD533" s="178"/>
      <c r="AQ533"/>
      <c r="AR533"/>
      <c r="AS533"/>
      <c r="AT533"/>
      <c r="AU533"/>
      <c r="AV533"/>
      <c r="AW533"/>
      <c r="AX533"/>
      <c r="AY533"/>
      <c r="AZ533"/>
      <c r="BA533"/>
      <c r="BB533"/>
    </row>
    <row r="534" spans="26:54" ht="25.5" x14ac:dyDescent="0.2">
      <c r="Z534" s="216" t="s">
        <v>237</v>
      </c>
      <c r="AA534" s="217" t="str">
        <f>AB503</f>
        <v>2014 Actual</v>
      </c>
      <c r="AB534" s="217" t="s">
        <v>227</v>
      </c>
      <c r="AC534" s="217" t="s">
        <v>239</v>
      </c>
      <c r="AD534" s="217" t="s">
        <v>240</v>
      </c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26:54" x14ac:dyDescent="0.2">
      <c r="Z535" s="218" t="str">
        <f>Z504</f>
        <v xml:space="preserve">Residential </v>
      </c>
      <c r="AA535" s="219">
        <f>S5</f>
        <v>6008631</v>
      </c>
      <c r="AB535" s="219">
        <f>T5</f>
        <v>6086712</v>
      </c>
      <c r="AC535" s="219">
        <f>AB535-AA535</f>
        <v>78081</v>
      </c>
      <c r="AD535" s="220">
        <f>AC535/AA535</f>
        <v>1.2994806970173406E-2</v>
      </c>
      <c r="AQ535"/>
      <c r="AR535"/>
      <c r="AS535"/>
      <c r="AT535"/>
      <c r="AU535"/>
      <c r="AV535"/>
      <c r="AW535"/>
      <c r="AX535"/>
      <c r="AY535"/>
      <c r="AZ535"/>
      <c r="BA535"/>
      <c r="BB535"/>
    </row>
    <row r="536" spans="26:54" x14ac:dyDescent="0.2">
      <c r="Z536" s="218" t="str">
        <f t="shared" ref="Z536:Z541" si="156">Z505</f>
        <v>General Service &lt; 50 kW</v>
      </c>
      <c r="AA536" s="219">
        <f>S6</f>
        <v>1024771</v>
      </c>
      <c r="AB536" s="219">
        <f>T6</f>
        <v>1054960</v>
      </c>
      <c r="AC536" s="219">
        <f t="shared" ref="AC536:AC541" si="157">AB536-AA536</f>
        <v>30189</v>
      </c>
      <c r="AD536" s="220">
        <f t="shared" ref="AD536:AD542" si="158">AC536/AA536</f>
        <v>2.9459264557642636E-2</v>
      </c>
    </row>
    <row r="537" spans="26:54" x14ac:dyDescent="0.2">
      <c r="Z537" s="218" t="str">
        <f t="shared" si="156"/>
        <v>General Service 50 to 4,999 kW</v>
      </c>
      <c r="AA537" s="219">
        <f>S7</f>
        <v>1351549</v>
      </c>
      <c r="AB537" s="219">
        <f>T7</f>
        <v>1379368</v>
      </c>
      <c r="AC537" s="219">
        <f t="shared" si="157"/>
        <v>27819</v>
      </c>
      <c r="AD537" s="220">
        <f t="shared" si="158"/>
        <v>2.0583049523176741E-2</v>
      </c>
    </row>
    <row r="538" spans="26:54" x14ac:dyDescent="0.2">
      <c r="Z538" s="218" t="str">
        <f t="shared" si="156"/>
        <v>Large User</v>
      </c>
      <c r="AA538" s="219">
        <f>S8</f>
        <v>98517</v>
      </c>
      <c r="AB538" s="219">
        <f>T8</f>
        <v>-264</v>
      </c>
      <c r="AC538" s="219">
        <f t="shared" si="157"/>
        <v>-98781</v>
      </c>
      <c r="AD538" s="220">
        <f t="shared" si="158"/>
        <v>-1.002679740552392</v>
      </c>
    </row>
    <row r="539" spans="26:54" x14ac:dyDescent="0.2">
      <c r="Z539" s="218" t="str">
        <f t="shared" si="156"/>
        <v xml:space="preserve">Street Lights </v>
      </c>
      <c r="AA539" s="219">
        <f>S9</f>
        <v>211712</v>
      </c>
      <c r="AB539" s="219">
        <f>T9</f>
        <v>208452</v>
      </c>
      <c r="AC539" s="219">
        <f t="shared" si="157"/>
        <v>-3260</v>
      </c>
      <c r="AD539" s="220">
        <f t="shared" si="158"/>
        <v>-1.5398276904474002E-2</v>
      </c>
    </row>
    <row r="540" spans="26:54" x14ac:dyDescent="0.2">
      <c r="Z540" s="218" t="str">
        <f t="shared" si="156"/>
        <v>Sentinel Lights</v>
      </c>
      <c r="AA540" s="219">
        <f>S10</f>
        <v>28483</v>
      </c>
      <c r="AB540" s="219">
        <f>T10</f>
        <v>27921</v>
      </c>
      <c r="AC540" s="219">
        <f t="shared" si="157"/>
        <v>-562</v>
      </c>
      <c r="AD540" s="220">
        <f t="shared" si="158"/>
        <v>-1.9731067654390338E-2</v>
      </c>
    </row>
    <row r="541" spans="26:54" x14ac:dyDescent="0.2">
      <c r="Z541" s="218" t="str">
        <f t="shared" si="156"/>
        <v xml:space="preserve">Unmetered Scattered Loads </v>
      </c>
      <c r="AA541" s="219">
        <f>S11</f>
        <v>42241</v>
      </c>
      <c r="AB541" s="219">
        <f>T11</f>
        <v>43074</v>
      </c>
      <c r="AC541" s="219">
        <f t="shared" si="157"/>
        <v>833</v>
      </c>
      <c r="AD541" s="220">
        <f t="shared" si="158"/>
        <v>1.9720177079141119E-2</v>
      </c>
    </row>
    <row r="542" spans="26:54" x14ac:dyDescent="0.2">
      <c r="Z542" s="221" t="s">
        <v>16</v>
      </c>
      <c r="AA542" s="219">
        <f>SUM(AA535:AA541)</f>
        <v>8765904</v>
      </c>
      <c r="AB542" s="219">
        <f>SUM(AB535:AB541)</f>
        <v>8800223</v>
      </c>
      <c r="AC542" s="219">
        <f t="shared" ref="AC542" si="159">AB542-AA542</f>
        <v>34319</v>
      </c>
      <c r="AD542" s="220">
        <f t="shared" si="158"/>
        <v>3.91505542383307E-3</v>
      </c>
    </row>
    <row r="544" spans="26:54" x14ac:dyDescent="0.2">
      <c r="AE544" s="199" t="s">
        <v>277</v>
      </c>
      <c r="AF544" s="199"/>
      <c r="AG544" s="199"/>
      <c r="AH544" s="178"/>
      <c r="AI544" s="222"/>
    </row>
    <row r="545" spans="31:42" x14ac:dyDescent="0.2">
      <c r="AE545" s="223" t="s">
        <v>241</v>
      </c>
      <c r="AF545" s="275" t="s">
        <v>242</v>
      </c>
      <c r="AG545" s="275"/>
      <c r="AH545" s="138" t="s">
        <v>243</v>
      </c>
      <c r="AI545" s="276" t="s">
        <v>244</v>
      </c>
      <c r="AJ545" s="276"/>
      <c r="AK545" s="277" t="s">
        <v>245</v>
      </c>
      <c r="AL545" s="277"/>
      <c r="AM545" s="277" t="s">
        <v>246</v>
      </c>
      <c r="AN545" s="277"/>
      <c r="AO545" s="277" t="s">
        <v>247</v>
      </c>
      <c r="AP545" s="277"/>
    </row>
    <row r="546" spans="31:42" x14ac:dyDescent="0.2">
      <c r="AE546" s="271" t="str">
        <f>AE515</f>
        <v>Weather 
Normal Conversion 
Factor</v>
      </c>
      <c r="AF546" s="272"/>
      <c r="AG546" s="272"/>
      <c r="AH546" s="272"/>
      <c r="AI546" s="272"/>
      <c r="AJ546" s="273"/>
      <c r="AK546" s="225">
        <f>AL515</f>
        <v>1.0109992194106354</v>
      </c>
      <c r="AL546" s="225">
        <f>F174</f>
        <v>1.0094390830662907</v>
      </c>
      <c r="AM546" s="266"/>
      <c r="AN546" s="267"/>
      <c r="AO546" s="266"/>
      <c r="AP546" s="267"/>
    </row>
    <row r="547" spans="31:42" ht="25.5" x14ac:dyDescent="0.2">
      <c r="AE547" s="226"/>
      <c r="AF547" s="126" t="str">
        <f>AA534</f>
        <v>2014 Actual</v>
      </c>
      <c r="AG547" s="126" t="str">
        <f>AB534</f>
        <v>2015 
Actual</v>
      </c>
      <c r="AH547" s="227"/>
      <c r="AI547" s="126" t="str">
        <f>AF547</f>
        <v>2014 Actual</v>
      </c>
      <c r="AJ547" s="126" t="str">
        <f>AG547</f>
        <v>2015 
Actual</v>
      </c>
      <c r="AK547" s="126" t="str">
        <f>AI547</f>
        <v>2014 Actual</v>
      </c>
      <c r="AL547" s="126" t="str">
        <f>AJ547</f>
        <v>2015 
Actual</v>
      </c>
      <c r="AM547" s="126" t="str">
        <f>AI547</f>
        <v>2014 Actual</v>
      </c>
      <c r="AN547" s="126" t="str">
        <f>AJ547</f>
        <v>2015 
Actual</v>
      </c>
      <c r="AO547" s="126" t="str">
        <f>AK547</f>
        <v>2014 Actual</v>
      </c>
      <c r="AP547" s="126" t="str">
        <f>AL547</f>
        <v>2015 
Actual</v>
      </c>
    </row>
    <row r="548" spans="31:42" x14ac:dyDescent="0.2">
      <c r="AE548" s="218" t="str">
        <f>AE517</f>
        <v xml:space="preserve">Residential </v>
      </c>
      <c r="AF548" s="111">
        <f>AG517</f>
        <v>20472.166666666668</v>
      </c>
      <c r="AG548" s="111">
        <f>V372</f>
        <v>20635.5</v>
      </c>
      <c r="AH548" s="217" t="str">
        <f>AH526</f>
        <v>kWh</v>
      </c>
      <c r="AI548" s="111">
        <f>AJ517</f>
        <v>158185053</v>
      </c>
      <c r="AJ548" s="111">
        <f>V373</f>
        <v>157973719</v>
      </c>
      <c r="AK548" s="217">
        <f>AI548*$AK$546</f>
        <v>159924965.10543001</v>
      </c>
      <c r="AL548" s="111">
        <f>AJ548*$AL$546</f>
        <v>159464846.05593187</v>
      </c>
      <c r="AM548" s="217">
        <f>AI548/AF548</f>
        <v>7726.8349547759963</v>
      </c>
      <c r="AN548" s="217">
        <f>AJ548/AG548</f>
        <v>7655.434518184682</v>
      </c>
      <c r="AO548" s="217">
        <f>AK548/AF548</f>
        <v>7811.8241077933453</v>
      </c>
      <c r="AP548" s="217">
        <f>AL548/AG548</f>
        <v>7727.6948005103759</v>
      </c>
    </row>
    <row r="549" spans="31:42" x14ac:dyDescent="0.2">
      <c r="AE549" s="218" t="str">
        <f t="shared" ref="AE549:AE554" si="160">AE518</f>
        <v>General Service &lt; 50 kW</v>
      </c>
      <c r="AF549" s="111">
        <f t="shared" ref="AF549:AF554" si="161">AG518</f>
        <v>1742.8333333333333</v>
      </c>
      <c r="AG549" s="111">
        <f>V376</f>
        <v>1769.0833333333333</v>
      </c>
      <c r="AH549" s="217" t="str">
        <f t="shared" ref="AH549:AH554" si="162">AH527</f>
        <v>kWh</v>
      </c>
      <c r="AI549" s="111">
        <f t="shared" ref="AI549:AI554" si="163">AJ518</f>
        <v>53903009</v>
      </c>
      <c r="AJ549" s="111">
        <f>V377</f>
        <v>54312604</v>
      </c>
      <c r="AK549" s="217">
        <f t="shared" ref="AK549:AK554" si="164">AI549*$AK$546</f>
        <v>54495900.022884458</v>
      </c>
      <c r="AL549" s="111">
        <f t="shared" ref="AL549:AL554" si="165">AJ549*$AL$546</f>
        <v>54825265.180702552</v>
      </c>
      <c r="AM549" s="217">
        <f t="shared" ref="AM549:AM554" si="166">AI549/AF549</f>
        <v>30928.378502438558</v>
      </c>
      <c r="AN549" s="217">
        <f t="shared" ref="AN549:AN554" si="167">AJ549/AG549</f>
        <v>30700.986763389705</v>
      </c>
      <c r="AO549" s="217">
        <f t="shared" ref="AO549:AO554" si="168">AK549/AF549</f>
        <v>31268.566523602061</v>
      </c>
      <c r="AP549" s="217">
        <f t="shared" ref="AP549:AP554" si="169">AL549/AG549</f>
        <v>30990.775927666429</v>
      </c>
    </row>
    <row r="550" spans="31:42" x14ac:dyDescent="0.2">
      <c r="AE550" s="218" t="str">
        <f t="shared" si="160"/>
        <v>General Service 50 to 4,999 kW</v>
      </c>
      <c r="AF550" s="111">
        <f t="shared" si="161"/>
        <v>165.41666666666666</v>
      </c>
      <c r="AG550" s="111">
        <f>V380</f>
        <v>158.83333333333334</v>
      </c>
      <c r="AH550" s="217" t="str">
        <f t="shared" si="162"/>
        <v>kW</v>
      </c>
      <c r="AI550" s="111">
        <f t="shared" si="163"/>
        <v>402375</v>
      </c>
      <c r="AJ550" s="111">
        <f>V382</f>
        <v>402768</v>
      </c>
      <c r="AK550" s="217">
        <f t="shared" si="164"/>
        <v>406800.81091035443</v>
      </c>
      <c r="AL550" s="111">
        <f t="shared" si="165"/>
        <v>406569.76060844376</v>
      </c>
      <c r="AM550" s="217">
        <f t="shared" si="166"/>
        <v>2432.4937027707811</v>
      </c>
      <c r="AN550" s="217">
        <f t="shared" si="167"/>
        <v>2535.7901364113327</v>
      </c>
      <c r="AO550" s="217">
        <f t="shared" si="168"/>
        <v>2459.2492347225457</v>
      </c>
      <c r="AP550" s="217">
        <f t="shared" si="169"/>
        <v>2559.7256701475994</v>
      </c>
    </row>
    <row r="551" spans="31:42" x14ac:dyDescent="0.2">
      <c r="AE551" s="218" t="str">
        <f t="shared" si="160"/>
        <v>Large User</v>
      </c>
      <c r="AF551" s="111">
        <f t="shared" si="161"/>
        <v>1</v>
      </c>
      <c r="AG551" s="111">
        <f>V385</f>
        <v>1</v>
      </c>
      <c r="AH551" s="217" t="str">
        <f t="shared" si="162"/>
        <v>kW</v>
      </c>
      <c r="AI551" s="111">
        <f t="shared" si="163"/>
        <v>59144</v>
      </c>
      <c r="AJ551" s="111">
        <f>V387</f>
        <v>479</v>
      </c>
      <c r="AK551" s="217">
        <f t="shared" si="164"/>
        <v>59794.537832822622</v>
      </c>
      <c r="AL551" s="111">
        <f t="shared" si="165"/>
        <v>483.52132078875326</v>
      </c>
      <c r="AM551" s="217">
        <f t="shared" si="166"/>
        <v>59144</v>
      </c>
      <c r="AN551" s="217">
        <f t="shared" si="167"/>
        <v>479</v>
      </c>
      <c r="AO551" s="217">
        <f t="shared" si="168"/>
        <v>59794.537832822622</v>
      </c>
      <c r="AP551" s="217">
        <f t="shared" si="169"/>
        <v>483.52132078875326</v>
      </c>
    </row>
    <row r="552" spans="31:42" x14ac:dyDescent="0.2">
      <c r="AE552" s="218" t="str">
        <f t="shared" si="160"/>
        <v xml:space="preserve">Street Lights </v>
      </c>
      <c r="AF552" s="111">
        <f t="shared" si="161"/>
        <v>6784.333333333333</v>
      </c>
      <c r="AG552" s="111">
        <f>V390</f>
        <v>6792.583333333333</v>
      </c>
      <c r="AH552" s="217" t="str">
        <f t="shared" si="162"/>
        <v>kW</v>
      </c>
      <c r="AI552" s="111">
        <f t="shared" si="163"/>
        <v>6992</v>
      </c>
      <c r="AJ552" s="111">
        <f>V392</f>
        <v>6476</v>
      </c>
      <c r="AK552" s="217">
        <f t="shared" si="164"/>
        <v>7068.9065421191626</v>
      </c>
      <c r="AL552" s="111">
        <f t="shared" si="165"/>
        <v>6537.1275019372988</v>
      </c>
      <c r="AM552" s="217">
        <f t="shared" si="166"/>
        <v>1.0306097381221442</v>
      </c>
      <c r="AN552" s="217">
        <f t="shared" si="167"/>
        <v>0.9533927936106783</v>
      </c>
      <c r="AO552" s="217">
        <f t="shared" si="168"/>
        <v>1.0419456407584871</v>
      </c>
      <c r="AP552" s="217">
        <f t="shared" si="169"/>
        <v>0.9623919473843725</v>
      </c>
    </row>
    <row r="553" spans="31:42" x14ac:dyDescent="0.2">
      <c r="AE553" s="218" t="str">
        <f t="shared" si="160"/>
        <v>Sentinel Lights</v>
      </c>
      <c r="AF553" s="111">
        <f t="shared" si="161"/>
        <v>519.16666666666663</v>
      </c>
      <c r="AG553" s="111">
        <f>V395</f>
        <v>515.08333333333337</v>
      </c>
      <c r="AH553" s="217" t="str">
        <f t="shared" si="162"/>
        <v>kW</v>
      </c>
      <c r="AI553" s="111">
        <f t="shared" si="163"/>
        <v>2120</v>
      </c>
      <c r="AJ553" s="111">
        <f>V397</f>
        <v>2077</v>
      </c>
      <c r="AK553" s="217">
        <f t="shared" si="164"/>
        <v>2143.318345150547</v>
      </c>
      <c r="AL553" s="111">
        <f t="shared" si="165"/>
        <v>2096.6049755286858</v>
      </c>
      <c r="AM553" s="217">
        <f>AI553/AF553</f>
        <v>4.0834670947030505</v>
      </c>
      <c r="AN553" s="217">
        <f>AJ553/AG553</f>
        <v>4.0323572237502017</v>
      </c>
      <c r="AO553" s="217">
        <f>AK553/AF553</f>
        <v>4.1283820452337983</v>
      </c>
      <c r="AP553" s="217">
        <f>AL553/AG553</f>
        <v>4.0704189785381377</v>
      </c>
    </row>
    <row r="554" spans="31:42" x14ac:dyDescent="0.2">
      <c r="AE554" s="218" t="str">
        <f t="shared" si="160"/>
        <v xml:space="preserve">Unmetered Scattered Loads </v>
      </c>
      <c r="AF554" s="111">
        <f t="shared" si="161"/>
        <v>259.33333333333331</v>
      </c>
      <c r="AG554" s="111">
        <f>V400</f>
        <v>256.66666666666669</v>
      </c>
      <c r="AH554" s="217" t="str">
        <f t="shared" si="162"/>
        <v>kWh</v>
      </c>
      <c r="AI554" s="111">
        <f t="shared" si="163"/>
        <v>966945</v>
      </c>
      <c r="AJ554" s="111">
        <f>V401</f>
        <v>970041</v>
      </c>
      <c r="AK554" s="217">
        <f t="shared" si="164"/>
        <v>977580.64021301689</v>
      </c>
      <c r="AL554" s="111">
        <f t="shared" si="165"/>
        <v>979197.29757670767</v>
      </c>
      <c r="AM554" s="217">
        <f t="shared" si="166"/>
        <v>3728.5796915167098</v>
      </c>
      <c r="AN554" s="217">
        <f t="shared" si="167"/>
        <v>3779.3805194805191</v>
      </c>
      <c r="AO554" s="217">
        <f t="shared" si="168"/>
        <v>3769.5911576337417</v>
      </c>
      <c r="AP554" s="217">
        <f t="shared" si="169"/>
        <v>3815.0544061430164</v>
      </c>
    </row>
    <row r="555" spans="31:42" x14ac:dyDescent="0.2">
      <c r="AE555" s="218" t="s">
        <v>10</v>
      </c>
      <c r="AF555" s="111">
        <f>SUM(AF548:AF554)</f>
        <v>29944.25</v>
      </c>
      <c r="AG555" s="111">
        <f>SUM(AG548:AG554)</f>
        <v>30128.749999999996</v>
      </c>
      <c r="AH555" s="217"/>
      <c r="AI555" s="228"/>
      <c r="AJ555" s="228"/>
      <c r="AK555" s="228"/>
      <c r="AL555" s="228"/>
      <c r="AM555" s="228"/>
      <c r="AN555" s="228"/>
      <c r="AO555" s="228"/>
      <c r="AP555" s="228"/>
    </row>
    <row r="556" spans="31:42" x14ac:dyDescent="0.2">
      <c r="AE556" s="125"/>
      <c r="AF556" s="268" t="s">
        <v>249</v>
      </c>
      <c r="AG556" s="268"/>
      <c r="AH556" s="125"/>
      <c r="AI556" s="268" t="s">
        <v>249</v>
      </c>
      <c r="AJ556" s="268"/>
      <c r="AK556" s="268" t="s">
        <v>249</v>
      </c>
      <c r="AL556" s="268"/>
      <c r="AM556" s="268" t="s">
        <v>249</v>
      </c>
      <c r="AN556" s="268"/>
      <c r="AO556" s="268" t="s">
        <v>249</v>
      </c>
      <c r="AP556" s="268"/>
    </row>
    <row r="557" spans="31:42" x14ac:dyDescent="0.2">
      <c r="AE557" s="229" t="str">
        <f>AE548</f>
        <v xml:space="preserve">Residential </v>
      </c>
      <c r="AF557" s="269">
        <f>AG548-AF548</f>
        <v>163.33333333333212</v>
      </c>
      <c r="AG557" s="270"/>
      <c r="AH557" s="217" t="str">
        <f>AH548</f>
        <v>kWh</v>
      </c>
      <c r="AI557" s="269">
        <f>AJ548-AI548</f>
        <v>-211334</v>
      </c>
      <c r="AJ557" s="270"/>
      <c r="AK557" s="269">
        <f>AL548-AK548</f>
        <v>-460119.04949814081</v>
      </c>
      <c r="AL557" s="270"/>
      <c r="AM557" s="269">
        <f>AN548-AM548</f>
        <v>-71.400436591314246</v>
      </c>
      <c r="AN557" s="270"/>
      <c r="AO557" s="269">
        <f>AP548-AO548</f>
        <v>-84.129307282969421</v>
      </c>
      <c r="AP557" s="270"/>
    </row>
    <row r="558" spans="31:42" x14ac:dyDescent="0.2">
      <c r="AE558" s="229" t="str">
        <f t="shared" ref="AE558:AE563" si="170">AE549</f>
        <v>General Service &lt; 50 kW</v>
      </c>
      <c r="AF558" s="269">
        <f t="shared" ref="AF558:AF563" si="171">AG549-AF549</f>
        <v>26.25</v>
      </c>
      <c r="AG558" s="270"/>
      <c r="AH558" s="217" t="str">
        <f t="shared" ref="AH558:AH563" si="172">AH549</f>
        <v>kWh</v>
      </c>
      <c r="AI558" s="269">
        <f>AJ549-AI549</f>
        <v>409595</v>
      </c>
      <c r="AJ558" s="270"/>
      <c r="AK558" s="269">
        <f>AL549-AK549</f>
        <v>329365.1578180939</v>
      </c>
      <c r="AL558" s="270"/>
      <c r="AM558" s="269">
        <f>AN549-AM549</f>
        <v>-227.3917390488532</v>
      </c>
      <c r="AN558" s="270"/>
      <c r="AO558" s="269">
        <f>AP549-AO549</f>
        <v>-277.79059593563215</v>
      </c>
      <c r="AP558" s="270"/>
    </row>
    <row r="559" spans="31:42" x14ac:dyDescent="0.2">
      <c r="AE559" s="229" t="str">
        <f t="shared" si="170"/>
        <v>General Service 50 to 4,999 kW</v>
      </c>
      <c r="AF559" s="269">
        <f t="shared" si="171"/>
        <v>-6.5833333333333144</v>
      </c>
      <c r="AG559" s="270"/>
      <c r="AH559" s="217" t="str">
        <f t="shared" si="172"/>
        <v>kW</v>
      </c>
      <c r="AI559" s="269">
        <f>AJ550-AI550</f>
        <v>393</v>
      </c>
      <c r="AJ559" s="270"/>
      <c r="AK559" s="269">
        <f>AL550-AK550</f>
        <v>-231.05030191066908</v>
      </c>
      <c r="AL559" s="270"/>
      <c r="AM559" s="269">
        <f>AN550-AM550</f>
        <v>103.29643364055164</v>
      </c>
      <c r="AN559" s="270"/>
      <c r="AO559" s="269">
        <f>AP550-AO550</f>
        <v>100.47643542505375</v>
      </c>
      <c r="AP559" s="270"/>
    </row>
    <row r="560" spans="31:42" x14ac:dyDescent="0.2">
      <c r="AE560" s="229" t="str">
        <f t="shared" si="170"/>
        <v>Large User</v>
      </c>
      <c r="AF560" s="269">
        <f t="shared" si="171"/>
        <v>0</v>
      </c>
      <c r="AG560" s="270"/>
      <c r="AH560" s="217" t="str">
        <f t="shared" si="172"/>
        <v>kW</v>
      </c>
      <c r="AI560" s="269">
        <f>AJ552-AI551</f>
        <v>-52668</v>
      </c>
      <c r="AJ560" s="270"/>
      <c r="AK560" s="269">
        <f>AL551-AK551</f>
        <v>-59311.016512033872</v>
      </c>
      <c r="AL560" s="270"/>
      <c r="AM560" s="269">
        <f>AN551-AM551</f>
        <v>-58665</v>
      </c>
      <c r="AN560" s="270"/>
      <c r="AO560" s="269">
        <f>AP551-AO551</f>
        <v>-59311.016512033872</v>
      </c>
      <c r="AP560" s="270"/>
    </row>
    <row r="561" spans="26:42" x14ac:dyDescent="0.2">
      <c r="AE561" s="229" t="str">
        <f t="shared" si="170"/>
        <v xml:space="preserve">Street Lights </v>
      </c>
      <c r="AF561" s="269">
        <f t="shared" si="171"/>
        <v>8.25</v>
      </c>
      <c r="AG561" s="270"/>
      <c r="AH561" s="217" t="str">
        <f t="shared" si="172"/>
        <v>kW</v>
      </c>
      <c r="AI561" s="269">
        <f t="shared" ref="AI561:AI563" si="173">AJ553-AI552</f>
        <v>-4915</v>
      </c>
      <c r="AJ561" s="270"/>
      <c r="AK561" s="269">
        <f t="shared" ref="AK561:AK563" si="174">AL552-AK552</f>
        <v>-531.77904018186382</v>
      </c>
      <c r="AL561" s="270"/>
      <c r="AM561" s="269">
        <f t="shared" ref="AM561:AM563" si="175">AN552-AM552</f>
        <v>-7.7216944511465879E-2</v>
      </c>
      <c r="AN561" s="270"/>
      <c r="AO561" s="269">
        <f t="shared" ref="AO561:AO563" si="176">AP552-AO552</f>
        <v>-7.9553693374114554E-2</v>
      </c>
      <c r="AP561" s="270"/>
    </row>
    <row r="562" spans="26:42" x14ac:dyDescent="0.2">
      <c r="AE562" s="229" t="str">
        <f t="shared" si="170"/>
        <v>Sentinel Lights</v>
      </c>
      <c r="AF562" s="269">
        <f t="shared" si="171"/>
        <v>-4.0833333333332575</v>
      </c>
      <c r="AG562" s="270"/>
      <c r="AH562" s="217" t="str">
        <f t="shared" si="172"/>
        <v>kW</v>
      </c>
      <c r="AI562" s="269">
        <f t="shared" si="173"/>
        <v>967921</v>
      </c>
      <c r="AJ562" s="270"/>
      <c r="AK562" s="269">
        <f t="shared" si="174"/>
        <v>-46.713369621861148</v>
      </c>
      <c r="AL562" s="270"/>
      <c r="AM562" s="269">
        <f t="shared" si="175"/>
        <v>-5.1109870952848802E-2</v>
      </c>
      <c r="AN562" s="270"/>
      <c r="AO562" s="269">
        <f t="shared" si="176"/>
        <v>-5.7963066695660537E-2</v>
      </c>
      <c r="AP562" s="270"/>
    </row>
    <row r="563" spans="26:42" x14ac:dyDescent="0.2">
      <c r="AE563" s="229" t="str">
        <f t="shared" si="170"/>
        <v xml:space="preserve">Unmetered Scattered Loads </v>
      </c>
      <c r="AF563" s="269">
        <f t="shared" si="171"/>
        <v>-2.6666666666666288</v>
      </c>
      <c r="AG563" s="270"/>
      <c r="AH563" s="217" t="str">
        <f t="shared" si="172"/>
        <v>kWh</v>
      </c>
      <c r="AI563" s="269">
        <f t="shared" si="173"/>
        <v>-966945</v>
      </c>
      <c r="AJ563" s="270"/>
      <c r="AK563" s="269">
        <f t="shared" si="174"/>
        <v>1616.6573636907851</v>
      </c>
      <c r="AL563" s="270"/>
      <c r="AM563" s="269">
        <f t="shared" si="175"/>
        <v>50.800827963809297</v>
      </c>
      <c r="AN563" s="270"/>
      <c r="AO563" s="269">
        <f t="shared" si="176"/>
        <v>45.463248509274763</v>
      </c>
      <c r="AP563" s="270"/>
    </row>
    <row r="564" spans="26:42" x14ac:dyDescent="0.2">
      <c r="Z564" s="199" t="s">
        <v>278</v>
      </c>
      <c r="AA564" s="199"/>
      <c r="AB564" s="199"/>
      <c r="AC564" s="178"/>
      <c r="AD564" s="178"/>
    </row>
    <row r="565" spans="26:42" ht="25.5" x14ac:dyDescent="0.2">
      <c r="Z565" s="216" t="s">
        <v>237</v>
      </c>
      <c r="AA565" s="217" t="str">
        <f>AB534</f>
        <v>2015 
Actual</v>
      </c>
      <c r="AB565" s="217" t="s">
        <v>183</v>
      </c>
      <c r="AC565" s="217" t="s">
        <v>239</v>
      </c>
      <c r="AD565" s="217" t="s">
        <v>240</v>
      </c>
    </row>
    <row r="566" spans="26:42" x14ac:dyDescent="0.2">
      <c r="Z566" s="218" t="str">
        <f>Z535</f>
        <v xml:space="preserve">Residential </v>
      </c>
      <c r="AA566" s="219">
        <f>AB535</f>
        <v>6086712</v>
      </c>
      <c r="AB566" s="219">
        <f>U5</f>
        <v>6269169</v>
      </c>
      <c r="AC566" s="219">
        <f>AB566-AA566</f>
        <v>182457</v>
      </c>
      <c r="AD566" s="220">
        <f>AC566/AA566</f>
        <v>2.9976282761530363E-2</v>
      </c>
    </row>
    <row r="567" spans="26:42" x14ac:dyDescent="0.2">
      <c r="Z567" s="218" t="str">
        <f t="shared" ref="Z567:Z572" si="177">Z536</f>
        <v>General Service &lt; 50 kW</v>
      </c>
      <c r="AA567" s="219">
        <f t="shared" ref="AA567:AA572" si="178">AB536</f>
        <v>1054960</v>
      </c>
      <c r="AB567" s="219">
        <f>U6</f>
        <v>1061766</v>
      </c>
      <c r="AC567" s="219">
        <f t="shared" ref="AC567:AC573" si="179">AB567-AA567</f>
        <v>6806</v>
      </c>
      <c r="AD567" s="220">
        <f t="shared" ref="AD567:AD573" si="180">AC567/AA567</f>
        <v>6.4514294380829604E-3</v>
      </c>
    </row>
    <row r="568" spans="26:42" x14ac:dyDescent="0.2">
      <c r="Z568" s="218" t="str">
        <f t="shared" si="177"/>
        <v>General Service 50 to 4,999 kW</v>
      </c>
      <c r="AA568" s="219">
        <f t="shared" si="178"/>
        <v>1379368</v>
      </c>
      <c r="AB568" s="219">
        <f>U7</f>
        <v>1298138</v>
      </c>
      <c r="AC568" s="219">
        <f t="shared" si="179"/>
        <v>-81230</v>
      </c>
      <c r="AD568" s="220">
        <f t="shared" si="180"/>
        <v>-5.888928842774372E-2</v>
      </c>
    </row>
    <row r="569" spans="26:42" x14ac:dyDescent="0.2">
      <c r="Z569" s="218" t="str">
        <f t="shared" si="177"/>
        <v>Large User</v>
      </c>
      <c r="AA569" s="219">
        <f t="shared" si="178"/>
        <v>-264</v>
      </c>
      <c r="AB569" s="219">
        <f>U8</f>
        <v>0</v>
      </c>
      <c r="AC569" s="219">
        <f t="shared" si="179"/>
        <v>264</v>
      </c>
      <c r="AD569" s="220">
        <f t="shared" si="180"/>
        <v>-1</v>
      </c>
    </row>
    <row r="570" spans="26:42" x14ac:dyDescent="0.2">
      <c r="Z570" s="218" t="str">
        <f t="shared" si="177"/>
        <v xml:space="preserve">Street Lights </v>
      </c>
      <c r="AA570" s="219">
        <f t="shared" si="178"/>
        <v>208452</v>
      </c>
      <c r="AB570" s="219">
        <f>U9</f>
        <v>196615</v>
      </c>
      <c r="AC570" s="219">
        <f t="shared" si="179"/>
        <v>-11837</v>
      </c>
      <c r="AD570" s="220">
        <f t="shared" si="180"/>
        <v>-5.6785255118684395E-2</v>
      </c>
    </row>
    <row r="571" spans="26:42" x14ac:dyDescent="0.2">
      <c r="Z571" s="218" t="str">
        <f t="shared" si="177"/>
        <v>Sentinel Lights</v>
      </c>
      <c r="AA571" s="219">
        <f t="shared" si="178"/>
        <v>27921</v>
      </c>
      <c r="AB571" s="219">
        <f>U10</f>
        <v>29098</v>
      </c>
      <c r="AC571" s="219">
        <f t="shared" si="179"/>
        <v>1177</v>
      </c>
      <c r="AD571" s="220">
        <f t="shared" si="180"/>
        <v>4.2154650621396082E-2</v>
      </c>
    </row>
    <row r="572" spans="26:42" x14ac:dyDescent="0.2">
      <c r="Z572" s="218" t="str">
        <f t="shared" si="177"/>
        <v xml:space="preserve">Unmetered Scattered Loads </v>
      </c>
      <c r="AA572" s="219">
        <f t="shared" si="178"/>
        <v>43074</v>
      </c>
      <c r="AB572" s="219">
        <f>U11</f>
        <v>44259</v>
      </c>
      <c r="AC572" s="219">
        <f t="shared" si="179"/>
        <v>1185</v>
      </c>
      <c r="AD572" s="220">
        <f t="shared" si="180"/>
        <v>2.7510795375400472E-2</v>
      </c>
    </row>
    <row r="573" spans="26:42" x14ac:dyDescent="0.2">
      <c r="Z573" s="221" t="s">
        <v>16</v>
      </c>
      <c r="AA573" s="219">
        <f>SUM(AA566:AA572)</f>
        <v>8800223</v>
      </c>
      <c r="AB573" s="219">
        <f>SUM(AB566:AB572)</f>
        <v>8899045</v>
      </c>
      <c r="AC573" s="219">
        <f t="shared" si="179"/>
        <v>98822</v>
      </c>
      <c r="AD573" s="220">
        <f t="shared" si="180"/>
        <v>1.122948816183408E-2</v>
      </c>
    </row>
    <row r="575" spans="26:42" x14ac:dyDescent="0.2">
      <c r="AE575" s="199" t="s">
        <v>279</v>
      </c>
      <c r="AF575" s="199"/>
      <c r="AG575" s="199"/>
      <c r="AH575" s="178"/>
      <c r="AI575" s="222"/>
    </row>
    <row r="576" spans="26:42" x14ac:dyDescent="0.2">
      <c r="AE576" s="223" t="s">
        <v>241</v>
      </c>
      <c r="AF576" s="275" t="s">
        <v>242</v>
      </c>
      <c r="AG576" s="275"/>
      <c r="AH576" s="138" t="s">
        <v>243</v>
      </c>
      <c r="AI576" s="276" t="s">
        <v>244</v>
      </c>
      <c r="AJ576" s="276"/>
      <c r="AK576" s="277" t="s">
        <v>245</v>
      </c>
      <c r="AL576" s="277"/>
      <c r="AM576" s="277" t="s">
        <v>246</v>
      </c>
      <c r="AN576" s="277"/>
      <c r="AO576" s="277" t="s">
        <v>247</v>
      </c>
      <c r="AP576" s="277"/>
    </row>
    <row r="577" spans="31:42" x14ac:dyDescent="0.2">
      <c r="AE577" s="271" t="str">
        <f>AE546</f>
        <v>Weather 
Normal Conversion 
Factor</v>
      </c>
      <c r="AF577" s="272"/>
      <c r="AG577" s="272"/>
      <c r="AH577" s="272"/>
      <c r="AI577" s="272"/>
      <c r="AJ577" s="273"/>
      <c r="AK577" s="225">
        <f>AL546</f>
        <v>1.0094390830662907</v>
      </c>
      <c r="AL577" s="225">
        <v>1</v>
      </c>
      <c r="AM577" s="266"/>
      <c r="AN577" s="267"/>
      <c r="AO577" s="266"/>
      <c r="AP577" s="267"/>
    </row>
    <row r="578" spans="31:42" ht="25.5" x14ac:dyDescent="0.2">
      <c r="AE578" s="226"/>
      <c r="AF578" s="126" t="str">
        <f>AA565</f>
        <v>2015 
Actual</v>
      </c>
      <c r="AG578" s="126" t="str">
        <f>AB565</f>
        <v>2016
Bridge</v>
      </c>
      <c r="AH578" s="227"/>
      <c r="AI578" s="126" t="str">
        <f>AF578</f>
        <v>2015 
Actual</v>
      </c>
      <c r="AJ578" s="126" t="str">
        <f>AG578</f>
        <v>2016
Bridge</v>
      </c>
      <c r="AK578" s="126" t="str">
        <f>AI578</f>
        <v>2015 
Actual</v>
      </c>
      <c r="AL578" s="126" t="str">
        <f>AJ578</f>
        <v>2016
Bridge</v>
      </c>
      <c r="AM578" s="126" t="str">
        <f>AI578</f>
        <v>2015 
Actual</v>
      </c>
      <c r="AN578" s="126" t="str">
        <f>AJ578</f>
        <v>2016
Bridge</v>
      </c>
      <c r="AO578" s="126" t="str">
        <f>AK578</f>
        <v>2015 
Actual</v>
      </c>
      <c r="AP578" s="126" t="str">
        <f>AL578</f>
        <v>2016
Bridge</v>
      </c>
    </row>
    <row r="579" spans="31:42" x14ac:dyDescent="0.2">
      <c r="AE579" s="218" t="str">
        <f>AE548</f>
        <v xml:space="preserve">Residential </v>
      </c>
      <c r="AF579" s="111">
        <f>AG548</f>
        <v>20635.5</v>
      </c>
      <c r="AG579" s="111">
        <f>W372</f>
        <v>20822.5</v>
      </c>
      <c r="AH579" s="217" t="str">
        <f>AH557</f>
        <v>kWh</v>
      </c>
      <c r="AI579" s="111">
        <f>AJ548</f>
        <v>157973719</v>
      </c>
      <c r="AJ579" s="111" t="e">
        <f>W373</f>
        <v>#REF!</v>
      </c>
      <c r="AK579" s="217">
        <f>AI579*$AK$577</f>
        <v>159464846.05593187</v>
      </c>
      <c r="AL579" s="111" t="e">
        <f>AJ579*$AL$577</f>
        <v>#REF!</v>
      </c>
      <c r="AM579" s="217">
        <f>AI579/AF579</f>
        <v>7655.434518184682</v>
      </c>
      <c r="AN579" s="217" t="e">
        <f>AJ579/AG579</f>
        <v>#REF!</v>
      </c>
      <c r="AO579" s="217">
        <f>AK579/AF579</f>
        <v>7727.6948005103759</v>
      </c>
      <c r="AP579" s="217" t="e">
        <f>AL579/AG579</f>
        <v>#REF!</v>
      </c>
    </row>
    <row r="580" spans="31:42" x14ac:dyDescent="0.2">
      <c r="AE580" s="218" t="str">
        <f t="shared" ref="AE580:AE585" si="181">AE549</f>
        <v>General Service &lt; 50 kW</v>
      </c>
      <c r="AF580" s="111">
        <f t="shared" ref="AF580:AF585" si="182">AG549</f>
        <v>1769.0833333333333</v>
      </c>
      <c r="AG580" s="111">
        <f>W376</f>
        <v>1770.5833333333333</v>
      </c>
      <c r="AH580" s="217" t="str">
        <f t="shared" ref="AH580:AH585" si="183">AH558</f>
        <v>kWh</v>
      </c>
      <c r="AI580" s="111">
        <f t="shared" ref="AI580:AI585" si="184">AJ549</f>
        <v>54312604</v>
      </c>
      <c r="AJ580" s="111" t="e">
        <f>W377</f>
        <v>#REF!</v>
      </c>
      <c r="AK580" s="217">
        <f t="shared" ref="AK580:AK585" si="185">AI580*$AK$577</f>
        <v>54825265.180702552</v>
      </c>
      <c r="AL580" s="111" t="e">
        <f t="shared" ref="AL580:AL585" si="186">AJ580*$AL$577</f>
        <v>#REF!</v>
      </c>
      <c r="AM580" s="217">
        <f t="shared" ref="AM580:AM585" si="187">AI580/AF580</f>
        <v>30700.986763389705</v>
      </c>
      <c r="AN580" s="217" t="e">
        <f t="shared" ref="AN580:AN585" si="188">AJ580/AG580</f>
        <v>#REF!</v>
      </c>
      <c r="AO580" s="217">
        <f t="shared" ref="AO580:AO585" si="189">AK580/AF580</f>
        <v>30990.775927666429</v>
      </c>
      <c r="AP580" s="217" t="e">
        <f t="shared" ref="AP580:AP585" si="190">AL580/AG580</f>
        <v>#REF!</v>
      </c>
    </row>
    <row r="581" spans="31:42" x14ac:dyDescent="0.2">
      <c r="AE581" s="218" t="str">
        <f t="shared" si="181"/>
        <v>General Service 50 to 4,999 kW</v>
      </c>
      <c r="AF581" s="111">
        <f t="shared" si="182"/>
        <v>158.83333333333334</v>
      </c>
      <c r="AG581" s="111">
        <f>W380</f>
        <v>159</v>
      </c>
      <c r="AH581" s="217" t="str">
        <f t="shared" si="183"/>
        <v>kW</v>
      </c>
      <c r="AI581" s="111">
        <f t="shared" si="184"/>
        <v>402768</v>
      </c>
      <c r="AJ581" s="111">
        <f>W382</f>
        <v>396528</v>
      </c>
      <c r="AK581" s="217">
        <f t="shared" si="185"/>
        <v>406569.76060844376</v>
      </c>
      <c r="AL581" s="111">
        <f t="shared" si="186"/>
        <v>396528</v>
      </c>
      <c r="AM581" s="217">
        <f t="shared" si="187"/>
        <v>2535.7901364113327</v>
      </c>
      <c r="AN581" s="217">
        <f t="shared" si="188"/>
        <v>2493.8867924528304</v>
      </c>
      <c r="AO581" s="217">
        <f t="shared" si="189"/>
        <v>2559.7256701475994</v>
      </c>
      <c r="AP581" s="217">
        <f t="shared" si="190"/>
        <v>2493.8867924528304</v>
      </c>
    </row>
    <row r="582" spans="31:42" x14ac:dyDescent="0.2">
      <c r="AE582" s="218" t="str">
        <f t="shared" si="181"/>
        <v>Large User</v>
      </c>
      <c r="AF582" s="111">
        <f t="shared" si="182"/>
        <v>1</v>
      </c>
      <c r="AG582" s="111">
        <f>W385</f>
        <v>0</v>
      </c>
      <c r="AH582" s="217" t="str">
        <f t="shared" si="183"/>
        <v>kW</v>
      </c>
      <c r="AI582" s="111">
        <f t="shared" si="184"/>
        <v>479</v>
      </c>
      <c r="AJ582" s="111">
        <f>W387</f>
        <v>0</v>
      </c>
      <c r="AK582" s="217">
        <f t="shared" si="185"/>
        <v>483.52132078875326</v>
      </c>
      <c r="AL582" s="111">
        <f t="shared" si="186"/>
        <v>0</v>
      </c>
      <c r="AM582" s="217">
        <f t="shared" si="187"/>
        <v>479</v>
      </c>
      <c r="AN582" s="217"/>
      <c r="AO582" s="217">
        <f t="shared" si="189"/>
        <v>483.52132078875326</v>
      </c>
      <c r="AP582" s="217"/>
    </row>
    <row r="583" spans="31:42" x14ac:dyDescent="0.2">
      <c r="AE583" s="218" t="str">
        <f t="shared" si="181"/>
        <v xml:space="preserve">Street Lights </v>
      </c>
      <c r="AF583" s="111">
        <f t="shared" si="182"/>
        <v>6792.583333333333</v>
      </c>
      <c r="AG583" s="111">
        <f>W390</f>
        <v>6825</v>
      </c>
      <c r="AH583" s="217" t="str">
        <f t="shared" si="183"/>
        <v>kW</v>
      </c>
      <c r="AI583" s="111">
        <f t="shared" si="184"/>
        <v>6476</v>
      </c>
      <c r="AJ583" s="111">
        <f>W392</f>
        <v>4561</v>
      </c>
      <c r="AK583" s="217">
        <f t="shared" si="185"/>
        <v>6537.1275019372988</v>
      </c>
      <c r="AL583" s="111">
        <f t="shared" si="186"/>
        <v>4561</v>
      </c>
      <c r="AM583" s="217">
        <f t="shared" si="187"/>
        <v>0.9533927936106783</v>
      </c>
      <c r="AN583" s="217">
        <f t="shared" si="188"/>
        <v>0.66827838827838826</v>
      </c>
      <c r="AO583" s="217">
        <f t="shared" si="189"/>
        <v>0.9623919473843725</v>
      </c>
      <c r="AP583" s="217">
        <f t="shared" si="190"/>
        <v>0.66827838827838826</v>
      </c>
    </row>
    <row r="584" spans="31:42" x14ac:dyDescent="0.2">
      <c r="AE584" s="218" t="str">
        <f t="shared" si="181"/>
        <v>Sentinel Lights</v>
      </c>
      <c r="AF584" s="111">
        <f t="shared" si="182"/>
        <v>515.08333333333337</v>
      </c>
      <c r="AG584" s="111">
        <f>W395</f>
        <v>508.75</v>
      </c>
      <c r="AH584" s="217" t="str">
        <f t="shared" si="183"/>
        <v>kW</v>
      </c>
      <c r="AI584" s="111">
        <f t="shared" si="184"/>
        <v>2077</v>
      </c>
      <c r="AJ584" s="111">
        <f>W397</f>
        <v>2061</v>
      </c>
      <c r="AK584" s="217">
        <f t="shared" si="185"/>
        <v>2096.6049755286858</v>
      </c>
      <c r="AL584" s="111">
        <f t="shared" si="186"/>
        <v>2061</v>
      </c>
      <c r="AM584" s="217">
        <f t="shared" si="187"/>
        <v>4.0323572237502017</v>
      </c>
      <c r="AN584" s="217">
        <f t="shared" si="188"/>
        <v>4.0511056511056509</v>
      </c>
      <c r="AO584" s="217">
        <f t="shared" si="189"/>
        <v>4.0704189785381377</v>
      </c>
      <c r="AP584" s="217">
        <f t="shared" si="190"/>
        <v>4.0511056511056509</v>
      </c>
    </row>
    <row r="585" spans="31:42" x14ac:dyDescent="0.2">
      <c r="AE585" s="218" t="str">
        <f t="shared" si="181"/>
        <v xml:space="preserve">Unmetered Scattered Loads </v>
      </c>
      <c r="AF585" s="111">
        <f t="shared" si="182"/>
        <v>256.66666666666669</v>
      </c>
      <c r="AG585" s="111">
        <f>W400</f>
        <v>261.33333333333331</v>
      </c>
      <c r="AH585" s="217" t="str">
        <f t="shared" si="183"/>
        <v>kWh</v>
      </c>
      <c r="AI585" s="111">
        <f t="shared" si="184"/>
        <v>970041</v>
      </c>
      <c r="AJ585" s="111" t="e">
        <f>W401</f>
        <v>#REF!</v>
      </c>
      <c r="AK585" s="217">
        <f t="shared" si="185"/>
        <v>979197.29757670767</v>
      </c>
      <c r="AL585" s="111" t="e">
        <f t="shared" si="186"/>
        <v>#REF!</v>
      </c>
      <c r="AM585" s="217">
        <f t="shared" si="187"/>
        <v>3779.3805194805191</v>
      </c>
      <c r="AN585" s="217" t="e">
        <f t="shared" si="188"/>
        <v>#REF!</v>
      </c>
      <c r="AO585" s="217">
        <f t="shared" si="189"/>
        <v>3815.0544061430164</v>
      </c>
      <c r="AP585" s="217" t="e">
        <f t="shared" si="190"/>
        <v>#REF!</v>
      </c>
    </row>
    <row r="586" spans="31:42" x14ac:dyDescent="0.2">
      <c r="AE586" s="218" t="s">
        <v>10</v>
      </c>
      <c r="AF586" s="111">
        <f>SUM(AF579:AF585)</f>
        <v>30128.749999999996</v>
      </c>
      <c r="AG586" s="111">
        <f>SUM(AG579:AG585)</f>
        <v>30347.166666666664</v>
      </c>
      <c r="AH586" s="217"/>
      <c r="AI586" s="228"/>
      <c r="AJ586" s="228"/>
      <c r="AK586" s="228"/>
      <c r="AL586" s="228"/>
      <c r="AM586" s="228"/>
      <c r="AN586" s="228"/>
      <c r="AO586" s="228"/>
      <c r="AP586" s="228"/>
    </row>
    <row r="587" spans="31:42" x14ac:dyDescent="0.2">
      <c r="AE587" s="125"/>
      <c r="AF587" s="268" t="s">
        <v>249</v>
      </c>
      <c r="AG587" s="268"/>
      <c r="AH587" s="125"/>
      <c r="AI587" s="268" t="s">
        <v>249</v>
      </c>
      <c r="AJ587" s="268"/>
      <c r="AK587" s="268" t="s">
        <v>249</v>
      </c>
      <c r="AL587" s="268"/>
      <c r="AM587" s="268" t="s">
        <v>249</v>
      </c>
      <c r="AN587" s="268"/>
      <c r="AO587" s="268" t="s">
        <v>249</v>
      </c>
      <c r="AP587" s="268"/>
    </row>
    <row r="588" spans="31:42" x14ac:dyDescent="0.2">
      <c r="AE588" s="229" t="str">
        <f>AE579</f>
        <v xml:space="preserve">Residential </v>
      </c>
      <c r="AF588" s="269">
        <f>AG579-AF579</f>
        <v>187</v>
      </c>
      <c r="AG588" s="270"/>
      <c r="AH588" s="217" t="str">
        <f>AH579</f>
        <v>kWh</v>
      </c>
      <c r="AI588" s="269" t="e">
        <f t="shared" ref="AI588:AI594" si="191">AJ579-AI579</f>
        <v>#REF!</v>
      </c>
      <c r="AJ588" s="270"/>
      <c r="AK588" s="269" t="e">
        <f>AL579-AK579</f>
        <v>#REF!</v>
      </c>
      <c r="AL588" s="270"/>
      <c r="AM588" s="269" t="e">
        <f>AN579-AM579</f>
        <v>#REF!</v>
      </c>
      <c r="AN588" s="270"/>
      <c r="AO588" s="269" t="e">
        <f>AP579-AO579</f>
        <v>#REF!</v>
      </c>
      <c r="AP588" s="270"/>
    </row>
    <row r="589" spans="31:42" x14ac:dyDescent="0.2">
      <c r="AE589" s="229" t="str">
        <f t="shared" ref="AE589:AE594" si="192">AE580</f>
        <v>General Service &lt; 50 kW</v>
      </c>
      <c r="AF589" s="269">
        <f t="shared" ref="AF589:AF594" si="193">AG580-AF580</f>
        <v>1.5</v>
      </c>
      <c r="AG589" s="270"/>
      <c r="AH589" s="217" t="str">
        <f t="shared" ref="AH589:AH594" si="194">AH580</f>
        <v>kWh</v>
      </c>
      <c r="AI589" s="269" t="e">
        <f t="shared" si="191"/>
        <v>#REF!</v>
      </c>
      <c r="AJ589" s="270"/>
      <c r="AK589" s="269" t="e">
        <f>AL580-AK580</f>
        <v>#REF!</v>
      </c>
      <c r="AL589" s="270"/>
      <c r="AM589" s="269" t="e">
        <f>AN580-AM580</f>
        <v>#REF!</v>
      </c>
      <c r="AN589" s="270"/>
      <c r="AO589" s="269" t="e">
        <f>AP580-AO580</f>
        <v>#REF!</v>
      </c>
      <c r="AP589" s="270"/>
    </row>
    <row r="590" spans="31:42" x14ac:dyDescent="0.2">
      <c r="AE590" s="229" t="str">
        <f t="shared" si="192"/>
        <v>General Service 50 to 4,999 kW</v>
      </c>
      <c r="AF590" s="269">
        <f t="shared" si="193"/>
        <v>0.16666666666665719</v>
      </c>
      <c r="AG590" s="270"/>
      <c r="AH590" s="217" t="str">
        <f t="shared" si="194"/>
        <v>kW</v>
      </c>
      <c r="AI590" s="269">
        <f t="shared" si="191"/>
        <v>-6240</v>
      </c>
      <c r="AJ590" s="270"/>
      <c r="AK590" s="269">
        <f>AL581-AK581</f>
        <v>-10041.760608443758</v>
      </c>
      <c r="AL590" s="270"/>
      <c r="AM590" s="269">
        <f>AN581-AM581</f>
        <v>-41.903343958502319</v>
      </c>
      <c r="AN590" s="270"/>
      <c r="AO590" s="269">
        <f>AP581-AO581</f>
        <v>-65.838877694769053</v>
      </c>
      <c r="AP590" s="270"/>
    </row>
    <row r="591" spans="31:42" x14ac:dyDescent="0.2">
      <c r="AE591" s="229" t="str">
        <f t="shared" si="192"/>
        <v>Large User</v>
      </c>
      <c r="AF591" s="269">
        <f t="shared" si="193"/>
        <v>-1</v>
      </c>
      <c r="AG591" s="270"/>
      <c r="AH591" s="217" t="str">
        <f t="shared" si="194"/>
        <v>kW</v>
      </c>
      <c r="AI591" s="269">
        <f t="shared" si="191"/>
        <v>-479</v>
      </c>
      <c r="AJ591" s="270"/>
      <c r="AK591" s="269">
        <f t="shared" ref="AK591:AK594" si="195">AL582-AK582</f>
        <v>-483.52132078875326</v>
      </c>
      <c r="AL591" s="270"/>
      <c r="AM591" s="269">
        <f t="shared" ref="AM591:AM594" si="196">AN582-AM582</f>
        <v>-479</v>
      </c>
      <c r="AN591" s="270"/>
      <c r="AO591" s="269">
        <f t="shared" ref="AO591:AO594" si="197">AP582-AO582</f>
        <v>-483.52132078875326</v>
      </c>
      <c r="AP591" s="270"/>
    </row>
    <row r="592" spans="31:42" x14ac:dyDescent="0.2">
      <c r="AE592" s="229" t="str">
        <f t="shared" si="192"/>
        <v xml:space="preserve">Street Lights </v>
      </c>
      <c r="AF592" s="269">
        <f t="shared" si="193"/>
        <v>32.41666666666697</v>
      </c>
      <c r="AG592" s="270"/>
      <c r="AH592" s="217" t="str">
        <f t="shared" si="194"/>
        <v>kW</v>
      </c>
      <c r="AI592" s="269">
        <f t="shared" si="191"/>
        <v>-1915</v>
      </c>
      <c r="AJ592" s="270"/>
      <c r="AK592" s="269">
        <f t="shared" si="195"/>
        <v>-1976.1275019372988</v>
      </c>
      <c r="AL592" s="270"/>
      <c r="AM592" s="269">
        <f t="shared" si="196"/>
        <v>-0.28511440533229004</v>
      </c>
      <c r="AN592" s="270"/>
      <c r="AO592" s="269">
        <f t="shared" si="197"/>
        <v>-0.29411355910598425</v>
      </c>
      <c r="AP592" s="270"/>
    </row>
    <row r="593" spans="26:42" x14ac:dyDescent="0.2">
      <c r="AE593" s="229" t="str">
        <f t="shared" si="192"/>
        <v>Sentinel Lights</v>
      </c>
      <c r="AF593" s="269">
        <f t="shared" si="193"/>
        <v>-6.3333333333333712</v>
      </c>
      <c r="AG593" s="270"/>
      <c r="AH593" s="217" t="str">
        <f t="shared" si="194"/>
        <v>kW</v>
      </c>
      <c r="AI593" s="269">
        <f t="shared" si="191"/>
        <v>-16</v>
      </c>
      <c r="AJ593" s="270"/>
      <c r="AK593" s="269">
        <f t="shared" si="195"/>
        <v>-35.604975528685827</v>
      </c>
      <c r="AL593" s="270"/>
      <c r="AM593" s="269">
        <f t="shared" si="196"/>
        <v>1.8748427355449238E-2</v>
      </c>
      <c r="AN593" s="270"/>
      <c r="AO593" s="269">
        <f t="shared" si="197"/>
        <v>-1.9313327432486815E-2</v>
      </c>
      <c r="AP593" s="270"/>
    </row>
    <row r="594" spans="26:42" x14ac:dyDescent="0.2">
      <c r="AE594" s="229" t="str">
        <f t="shared" si="192"/>
        <v xml:space="preserve">Unmetered Scattered Loads </v>
      </c>
      <c r="AF594" s="269">
        <f t="shared" si="193"/>
        <v>4.6666666666666288</v>
      </c>
      <c r="AG594" s="270"/>
      <c r="AH594" s="217" t="str">
        <f t="shared" si="194"/>
        <v>kWh</v>
      </c>
      <c r="AI594" s="269" t="e">
        <f t="shared" si="191"/>
        <v>#REF!</v>
      </c>
      <c r="AJ594" s="270"/>
      <c r="AK594" s="269" t="e">
        <f t="shared" si="195"/>
        <v>#REF!</v>
      </c>
      <c r="AL594" s="270"/>
      <c r="AM594" s="269" t="e">
        <f t="shared" si="196"/>
        <v>#REF!</v>
      </c>
      <c r="AN594" s="270"/>
      <c r="AO594" s="269" t="e">
        <f t="shared" si="197"/>
        <v>#REF!</v>
      </c>
      <c r="AP594" s="270"/>
    </row>
    <row r="595" spans="26:42" x14ac:dyDescent="0.2">
      <c r="Z595" s="199" t="s">
        <v>280</v>
      </c>
      <c r="AA595" s="199"/>
      <c r="AB595" s="199"/>
      <c r="AC595" s="178"/>
      <c r="AD595" s="178"/>
    </row>
    <row r="596" spans="26:42" ht="25.5" x14ac:dyDescent="0.2">
      <c r="Z596" s="216" t="s">
        <v>237</v>
      </c>
      <c r="AA596" s="217" t="str">
        <f>AB565</f>
        <v>2016
Bridge</v>
      </c>
      <c r="AB596" s="217" t="s">
        <v>229</v>
      </c>
      <c r="AC596" s="217" t="s">
        <v>239</v>
      </c>
      <c r="AD596" s="217" t="s">
        <v>240</v>
      </c>
    </row>
    <row r="597" spans="26:42" x14ac:dyDescent="0.2">
      <c r="Z597" s="218" t="str">
        <f>Z566</f>
        <v xml:space="preserve">Residential </v>
      </c>
      <c r="AA597" s="219">
        <f>AB566</f>
        <v>6269169</v>
      </c>
      <c r="AB597" s="219">
        <f>W5</f>
        <v>7178370</v>
      </c>
      <c r="AC597" s="219">
        <f>AB597-AA597</f>
        <v>909201</v>
      </c>
      <c r="AD597" s="220">
        <f>AC597/AA597</f>
        <v>0.14502735530020008</v>
      </c>
    </row>
    <row r="598" spans="26:42" x14ac:dyDescent="0.2">
      <c r="Z598" s="218" t="str">
        <f t="shared" ref="Z598:Z603" si="198">Z567</f>
        <v>General Service &lt; 50 kW</v>
      </c>
      <c r="AA598" s="219">
        <f t="shared" ref="AA598:AA603" si="199">AB567</f>
        <v>1061766</v>
      </c>
      <c r="AB598" s="219">
        <f>W6</f>
        <v>1211926</v>
      </c>
      <c r="AC598" s="219">
        <f t="shared" ref="AC598:AC603" si="200">AB598-AA598</f>
        <v>150160</v>
      </c>
      <c r="AD598" s="220">
        <f t="shared" ref="AD598:AD604" si="201">AC598/AA598</f>
        <v>0.14142475837425572</v>
      </c>
    </row>
    <row r="599" spans="26:42" x14ac:dyDescent="0.2">
      <c r="Z599" s="218" t="str">
        <f t="shared" si="198"/>
        <v>General Service 50 to 4,999 kW</v>
      </c>
      <c r="AA599" s="219">
        <f t="shared" si="199"/>
        <v>1298138</v>
      </c>
      <c r="AB599" s="219">
        <f>W7</f>
        <v>1572415</v>
      </c>
      <c r="AC599" s="219">
        <f t="shared" si="200"/>
        <v>274277</v>
      </c>
      <c r="AD599" s="220">
        <f t="shared" si="201"/>
        <v>0.21128493272672089</v>
      </c>
    </row>
    <row r="600" spans="26:42" x14ac:dyDescent="0.2">
      <c r="Z600" s="218" t="str">
        <f t="shared" si="198"/>
        <v>Large User</v>
      </c>
      <c r="AA600" s="219">
        <f t="shared" si="199"/>
        <v>0</v>
      </c>
      <c r="AB600" s="219">
        <f>W8</f>
        <v>0</v>
      </c>
      <c r="AC600" s="219">
        <f t="shared" si="200"/>
        <v>0</v>
      </c>
      <c r="AD600" s="220" t="e">
        <f t="shared" si="201"/>
        <v>#DIV/0!</v>
      </c>
    </row>
    <row r="601" spans="26:42" x14ac:dyDescent="0.2">
      <c r="Z601" s="218" t="str">
        <f t="shared" si="198"/>
        <v xml:space="preserve">Street Lights </v>
      </c>
      <c r="AA601" s="219">
        <f t="shared" si="199"/>
        <v>196615</v>
      </c>
      <c r="AB601" s="219">
        <f>W9</f>
        <v>61897</v>
      </c>
      <c r="AC601" s="219">
        <f t="shared" si="200"/>
        <v>-134718</v>
      </c>
      <c r="AD601" s="220">
        <f t="shared" si="201"/>
        <v>-0.68518678635912822</v>
      </c>
    </row>
    <row r="602" spans="26:42" x14ac:dyDescent="0.2">
      <c r="Z602" s="218" t="str">
        <f t="shared" si="198"/>
        <v>Sentinel Lights</v>
      </c>
      <c r="AA602" s="219">
        <f t="shared" si="199"/>
        <v>29098</v>
      </c>
      <c r="AB602" s="219">
        <f>W10</f>
        <v>41723</v>
      </c>
      <c r="AC602" s="219">
        <f t="shared" si="200"/>
        <v>12625</v>
      </c>
      <c r="AD602" s="220">
        <f t="shared" si="201"/>
        <v>0.43387861708708503</v>
      </c>
    </row>
    <row r="603" spans="26:42" x14ac:dyDescent="0.2">
      <c r="Z603" s="218" t="str">
        <f t="shared" si="198"/>
        <v xml:space="preserve">Unmetered Scattered Loads </v>
      </c>
      <c r="AA603" s="219">
        <f t="shared" si="199"/>
        <v>44259</v>
      </c>
      <c r="AB603" s="219">
        <f>W11</f>
        <v>39952</v>
      </c>
      <c r="AC603" s="219">
        <f t="shared" si="200"/>
        <v>-4307</v>
      </c>
      <c r="AD603" s="220">
        <f t="shared" si="201"/>
        <v>-9.7313540748774255E-2</v>
      </c>
    </row>
    <row r="604" spans="26:42" x14ac:dyDescent="0.2">
      <c r="Z604" s="221" t="s">
        <v>16</v>
      </c>
      <c r="AA604" s="219">
        <f>SUM(AA597:AA603)</f>
        <v>8899045</v>
      </c>
      <c r="AB604" s="219">
        <f>SUM(AB597:AB603)+1</f>
        <v>10106284</v>
      </c>
      <c r="AC604" s="219">
        <f>AB604-AA604</f>
        <v>1207239</v>
      </c>
      <c r="AD604" s="220">
        <f t="shared" si="201"/>
        <v>0.13565938817030368</v>
      </c>
    </row>
    <row r="606" spans="26:42" x14ac:dyDescent="0.2">
      <c r="AE606" s="199" t="s">
        <v>281</v>
      </c>
      <c r="AF606" s="199"/>
      <c r="AG606" s="199"/>
      <c r="AH606" s="178"/>
      <c r="AI606" s="222"/>
    </row>
    <row r="607" spans="26:42" x14ac:dyDescent="0.2">
      <c r="AE607" s="223" t="s">
        <v>241</v>
      </c>
      <c r="AF607" s="275" t="s">
        <v>242</v>
      </c>
      <c r="AG607" s="275"/>
      <c r="AH607" s="138" t="s">
        <v>243</v>
      </c>
      <c r="AI607" s="276" t="s">
        <v>244</v>
      </c>
      <c r="AJ607" s="276"/>
      <c r="AK607" s="277" t="s">
        <v>245</v>
      </c>
      <c r="AL607" s="277"/>
      <c r="AM607" s="277" t="s">
        <v>246</v>
      </c>
      <c r="AN607" s="277"/>
      <c r="AO607" s="277" t="s">
        <v>247</v>
      </c>
      <c r="AP607" s="277"/>
    </row>
    <row r="608" spans="26:42" x14ac:dyDescent="0.2">
      <c r="AE608" s="271" t="str">
        <f>AE577</f>
        <v>Weather 
Normal Conversion 
Factor</v>
      </c>
      <c r="AF608" s="272"/>
      <c r="AG608" s="272"/>
      <c r="AH608" s="272"/>
      <c r="AI608" s="272"/>
      <c r="AJ608" s="273"/>
      <c r="AK608" s="225">
        <f>AL577</f>
        <v>1</v>
      </c>
      <c r="AL608" s="225">
        <v>1</v>
      </c>
      <c r="AM608" s="266"/>
      <c r="AN608" s="267"/>
      <c r="AO608" s="266"/>
      <c r="AP608" s="267"/>
    </row>
    <row r="609" spans="31:42" ht="25.5" x14ac:dyDescent="0.2">
      <c r="AE609" s="226"/>
      <c r="AF609" s="126" t="str">
        <f>AA596</f>
        <v>2016
Bridge</v>
      </c>
      <c r="AG609" s="126" t="str">
        <f>AB596</f>
        <v>2017
Test</v>
      </c>
      <c r="AH609" s="227"/>
      <c r="AI609" s="126" t="str">
        <f>AF609</f>
        <v>2016
Bridge</v>
      </c>
      <c r="AJ609" s="126" t="str">
        <f>AG609</f>
        <v>2017
Test</v>
      </c>
      <c r="AK609" s="126" t="str">
        <f>AI609</f>
        <v>2016
Bridge</v>
      </c>
      <c r="AL609" s="126" t="str">
        <f>AJ609</f>
        <v>2017
Test</v>
      </c>
      <c r="AM609" s="126" t="str">
        <f>AI609</f>
        <v>2016
Bridge</v>
      </c>
      <c r="AN609" s="126" t="str">
        <f>AJ609</f>
        <v>2017
Test</v>
      </c>
      <c r="AO609" s="126" t="str">
        <f>AK609</f>
        <v>2016
Bridge</v>
      </c>
      <c r="AP609" s="126" t="str">
        <f>AL609</f>
        <v>2017
Test</v>
      </c>
    </row>
    <row r="610" spans="31:42" x14ac:dyDescent="0.2">
      <c r="AE610" s="218" t="str">
        <f>AE579</f>
        <v xml:space="preserve">Residential </v>
      </c>
      <c r="AF610" s="111">
        <f>AG579</f>
        <v>20822.5</v>
      </c>
      <c r="AG610" s="111">
        <f>X372</f>
        <v>21025.494151407474</v>
      </c>
      <c r="AH610" s="217" t="str">
        <f>AH588</f>
        <v>kWh</v>
      </c>
      <c r="AI610" s="111" t="e">
        <f>AJ579</f>
        <v>#REF!</v>
      </c>
      <c r="AJ610" s="111">
        <f>X373</f>
        <v>165521772.36384144</v>
      </c>
      <c r="AK610" s="217" t="e">
        <f>AI610*$AK$608</f>
        <v>#REF!</v>
      </c>
      <c r="AL610" s="111">
        <f>AJ610*$AL$608</f>
        <v>165521772.36384144</v>
      </c>
      <c r="AM610" s="217" t="e">
        <f>AI610/AF610</f>
        <v>#REF!</v>
      </c>
      <c r="AN610" s="217">
        <f>AJ610/AG610</f>
        <v>7872.4319710108311</v>
      </c>
      <c r="AO610" s="217" t="e">
        <f>AK610/AF610</f>
        <v>#REF!</v>
      </c>
      <c r="AP610" s="217">
        <f>AL610/AG610</f>
        <v>7872.4319710108311</v>
      </c>
    </row>
    <row r="611" spans="31:42" x14ac:dyDescent="0.2">
      <c r="AE611" s="218" t="str">
        <f t="shared" ref="AE611:AE616" si="202">AE580</f>
        <v>General Service &lt; 50 kW</v>
      </c>
      <c r="AF611" s="111">
        <f t="shared" ref="AF611:AF616" si="203">AG580</f>
        <v>1770.5833333333333</v>
      </c>
      <c r="AG611" s="111">
        <f>X376</f>
        <v>1777.2752111718162</v>
      </c>
      <c r="AH611" s="217" t="str">
        <f t="shared" ref="AH611:AH616" si="204">AH589</f>
        <v>kWh</v>
      </c>
      <c r="AI611" s="111" t="e">
        <f t="shared" ref="AI611:AI616" si="205">AJ580</f>
        <v>#REF!</v>
      </c>
      <c r="AJ611" s="111">
        <f>X377</f>
        <v>54016205.037750974</v>
      </c>
      <c r="AK611" s="217" t="e">
        <f t="shared" ref="AK611:AK616" si="206">AI611*$AK$608</f>
        <v>#REF!</v>
      </c>
      <c r="AL611" s="111">
        <f t="shared" ref="AL611:AL616" si="207">AJ611*$AL$608</f>
        <v>54016205.037750974</v>
      </c>
      <c r="AM611" s="217" t="e">
        <f t="shared" ref="AM611:AM616" si="208">AI611/AF611</f>
        <v>#REF!</v>
      </c>
      <c r="AN611" s="217">
        <f t="shared" ref="AN611:AN616" si="209">AJ611/AG611</f>
        <v>30392.707161057126</v>
      </c>
      <c r="AO611" s="217" t="e">
        <f t="shared" ref="AO611:AO616" si="210">AK611/AF611</f>
        <v>#REF!</v>
      </c>
      <c r="AP611" s="217">
        <f t="shared" ref="AP611:AP616" si="211">AL611/AG611</f>
        <v>30392.707161057126</v>
      </c>
    </row>
    <row r="612" spans="31:42" x14ac:dyDescent="0.2">
      <c r="AE612" s="218" t="str">
        <f t="shared" si="202"/>
        <v>General Service 50 to 4,999 kW</v>
      </c>
      <c r="AF612" s="111">
        <f t="shared" si="203"/>
        <v>159</v>
      </c>
      <c r="AG612" s="111">
        <f>X380</f>
        <v>154.41880152657515</v>
      </c>
      <c r="AH612" s="217" t="str">
        <f t="shared" si="204"/>
        <v>kW</v>
      </c>
      <c r="AI612" s="111">
        <f t="shared" si="205"/>
        <v>396528</v>
      </c>
      <c r="AJ612" s="111">
        <f>X382</f>
        <v>393936.63851818646</v>
      </c>
      <c r="AK612" s="217">
        <f t="shared" si="206"/>
        <v>396528</v>
      </c>
      <c r="AL612" s="111">
        <f t="shared" si="207"/>
        <v>393936.63851818646</v>
      </c>
      <c r="AM612" s="217">
        <f t="shared" si="208"/>
        <v>2493.8867924528304</v>
      </c>
      <c r="AN612" s="217">
        <f t="shared" si="209"/>
        <v>2551.0924487416823</v>
      </c>
      <c r="AO612" s="217">
        <f t="shared" si="210"/>
        <v>2493.8867924528304</v>
      </c>
      <c r="AP612" s="217">
        <f t="shared" si="211"/>
        <v>2551.0924487416823</v>
      </c>
    </row>
    <row r="613" spans="31:42" x14ac:dyDescent="0.2">
      <c r="AE613" s="218" t="str">
        <f t="shared" si="202"/>
        <v>Large User</v>
      </c>
      <c r="AF613" s="111">
        <f t="shared" si="203"/>
        <v>0</v>
      </c>
      <c r="AG613" s="111">
        <f>X385</f>
        <v>0</v>
      </c>
      <c r="AH613" s="217" t="str">
        <f t="shared" si="204"/>
        <v>kW</v>
      </c>
      <c r="AI613" s="111">
        <f t="shared" si="205"/>
        <v>0</v>
      </c>
      <c r="AJ613" s="111">
        <f>X387</f>
        <v>0</v>
      </c>
      <c r="AK613" s="217">
        <f t="shared" si="206"/>
        <v>0</v>
      </c>
      <c r="AL613" s="111">
        <f t="shared" si="207"/>
        <v>0</v>
      </c>
      <c r="AM613" s="217"/>
      <c r="AN613" s="217"/>
      <c r="AO613" s="217"/>
      <c r="AP613" s="217"/>
    </row>
    <row r="614" spans="31:42" x14ac:dyDescent="0.2">
      <c r="AE614" s="218" t="str">
        <f t="shared" si="202"/>
        <v xml:space="preserve">Street Lights </v>
      </c>
      <c r="AF614" s="111">
        <f t="shared" si="203"/>
        <v>6825</v>
      </c>
      <c r="AG614" s="111">
        <f>X390</f>
        <v>6855.5173219454664</v>
      </c>
      <c r="AH614" s="217" t="str">
        <f t="shared" si="204"/>
        <v>kW</v>
      </c>
      <c r="AI614" s="111">
        <f t="shared" si="205"/>
        <v>4561</v>
      </c>
      <c r="AJ614" s="111">
        <f>X392</f>
        <v>4406.7319972264631</v>
      </c>
      <c r="AK614" s="217">
        <f t="shared" si="206"/>
        <v>4561</v>
      </c>
      <c r="AL614" s="111">
        <f t="shared" si="207"/>
        <v>4406.7319972264631</v>
      </c>
      <c r="AM614" s="217">
        <f t="shared" si="208"/>
        <v>0.66827838827838826</v>
      </c>
      <c r="AN614" s="217">
        <f t="shared" si="209"/>
        <v>0.64280079682971547</v>
      </c>
      <c r="AO614" s="217">
        <f t="shared" si="210"/>
        <v>0.66827838827838826</v>
      </c>
      <c r="AP614" s="217">
        <f t="shared" si="211"/>
        <v>0.64280079682971547</v>
      </c>
    </row>
    <row r="615" spans="31:42" x14ac:dyDescent="0.2">
      <c r="AE615" s="218" t="str">
        <f t="shared" si="202"/>
        <v>Sentinel Lights</v>
      </c>
      <c r="AF615" s="111">
        <f t="shared" si="203"/>
        <v>508.75</v>
      </c>
      <c r="AG615" s="111">
        <f>X395</f>
        <v>508.75</v>
      </c>
      <c r="AH615" s="217" t="str">
        <f t="shared" si="204"/>
        <v>kW</v>
      </c>
      <c r="AI615" s="111">
        <f t="shared" si="205"/>
        <v>2061</v>
      </c>
      <c r="AJ615" s="111">
        <f>X397</f>
        <v>2061</v>
      </c>
      <c r="AK615" s="217">
        <f t="shared" si="206"/>
        <v>2061</v>
      </c>
      <c r="AL615" s="111">
        <f t="shared" si="207"/>
        <v>2061</v>
      </c>
      <c r="AM615" s="217">
        <f t="shared" si="208"/>
        <v>4.0511056511056509</v>
      </c>
      <c r="AN615" s="217">
        <f t="shared" si="209"/>
        <v>4.0511056511056509</v>
      </c>
      <c r="AO615" s="217">
        <f t="shared" si="210"/>
        <v>4.0511056511056509</v>
      </c>
      <c r="AP615" s="217">
        <f t="shared" si="211"/>
        <v>4.0511056511056509</v>
      </c>
    </row>
    <row r="616" spans="31:42" x14ac:dyDescent="0.2">
      <c r="AE616" s="218" t="str">
        <f t="shared" si="202"/>
        <v xml:space="preserve">Unmetered Scattered Loads </v>
      </c>
      <c r="AF616" s="111">
        <f t="shared" si="203"/>
        <v>261.33333333333331</v>
      </c>
      <c r="AG616" s="111">
        <f>X400</f>
        <v>261.33333333333331</v>
      </c>
      <c r="AH616" s="217" t="str">
        <f t="shared" si="204"/>
        <v>kWh</v>
      </c>
      <c r="AI616" s="111" t="e">
        <f t="shared" si="205"/>
        <v>#REF!</v>
      </c>
      <c r="AJ616" s="111">
        <f>X401</f>
        <v>963824.80996160558</v>
      </c>
      <c r="AK616" s="217" t="e">
        <f t="shared" si="206"/>
        <v>#REF!</v>
      </c>
      <c r="AL616" s="111">
        <f t="shared" si="207"/>
        <v>963824.80996160558</v>
      </c>
      <c r="AM616" s="217" t="e">
        <f t="shared" si="208"/>
        <v>#REF!</v>
      </c>
      <c r="AN616" s="217">
        <f t="shared" si="209"/>
        <v>3688.1051401592053</v>
      </c>
      <c r="AO616" s="217" t="e">
        <f t="shared" si="210"/>
        <v>#REF!</v>
      </c>
      <c r="AP616" s="217">
        <f t="shared" si="211"/>
        <v>3688.1051401592053</v>
      </c>
    </row>
    <row r="617" spans="31:42" x14ac:dyDescent="0.2">
      <c r="AE617" s="218" t="s">
        <v>10</v>
      </c>
      <c r="AF617" s="111">
        <f>SUM(AF610:AF616)</f>
        <v>30347.166666666664</v>
      </c>
      <c r="AG617" s="111">
        <f>SUM(AG610:AG616)</f>
        <v>30582.788819384663</v>
      </c>
      <c r="AH617" s="217"/>
      <c r="AI617" s="228"/>
      <c r="AJ617" s="228"/>
      <c r="AK617" s="228"/>
      <c r="AL617" s="228"/>
      <c r="AM617" s="228"/>
      <c r="AN617" s="228"/>
      <c r="AO617" s="228"/>
      <c r="AP617" s="228"/>
    </row>
    <row r="618" spans="31:42" x14ac:dyDescent="0.2">
      <c r="AE618" s="125"/>
      <c r="AF618" s="268" t="s">
        <v>249</v>
      </c>
      <c r="AG618" s="268"/>
      <c r="AH618" s="125"/>
      <c r="AI618" s="268" t="s">
        <v>249</v>
      </c>
      <c r="AJ618" s="268"/>
      <c r="AK618" s="268" t="s">
        <v>249</v>
      </c>
      <c r="AL618" s="268"/>
      <c r="AM618" s="268" t="s">
        <v>249</v>
      </c>
      <c r="AN618" s="268"/>
      <c r="AO618" s="268" t="s">
        <v>249</v>
      </c>
      <c r="AP618" s="268"/>
    </row>
    <row r="619" spans="31:42" x14ac:dyDescent="0.2">
      <c r="AE619" s="229" t="str">
        <f>AE610</f>
        <v xml:space="preserve">Residential </v>
      </c>
      <c r="AF619" s="269">
        <f>AG610-AF610</f>
        <v>202.99415140747442</v>
      </c>
      <c r="AG619" s="270"/>
      <c r="AH619" s="217" t="str">
        <f>AH610</f>
        <v>kWh</v>
      </c>
      <c r="AI619" s="269" t="e">
        <f>AJ610-AI610</f>
        <v>#REF!</v>
      </c>
      <c r="AJ619" s="270"/>
      <c r="AK619" s="269" t="e">
        <f>AL610-AK610</f>
        <v>#REF!</v>
      </c>
      <c r="AL619" s="270"/>
      <c r="AM619" s="269" t="e">
        <f>AN610-AM610</f>
        <v>#REF!</v>
      </c>
      <c r="AN619" s="270"/>
      <c r="AO619" s="269" t="e">
        <f>AP610-AO610</f>
        <v>#REF!</v>
      </c>
      <c r="AP619" s="270"/>
    </row>
    <row r="620" spans="31:42" x14ac:dyDescent="0.2">
      <c r="AE620" s="229" t="str">
        <f t="shared" ref="AE620:AE625" si="212">AE611</f>
        <v>General Service &lt; 50 kW</v>
      </c>
      <c r="AF620" s="269">
        <f t="shared" ref="AF620:AF625" si="213">AG611-AF611</f>
        <v>6.6918778384829238</v>
      </c>
      <c r="AG620" s="270"/>
      <c r="AH620" s="217" t="str">
        <f t="shared" ref="AH620:AH625" si="214">AH611</f>
        <v>kWh</v>
      </c>
      <c r="AI620" s="269" t="e">
        <f t="shared" ref="AI620:AI625" si="215">AJ611-AI611</f>
        <v>#REF!</v>
      </c>
      <c r="AJ620" s="270"/>
      <c r="AK620" s="269" t="e">
        <f t="shared" ref="AK620:AK625" si="216">AL611-AK611</f>
        <v>#REF!</v>
      </c>
      <c r="AL620" s="270"/>
      <c r="AM620" s="269" t="e">
        <f t="shared" ref="AM620:AM625" si="217">AN611-AM611</f>
        <v>#REF!</v>
      </c>
      <c r="AN620" s="270"/>
      <c r="AO620" s="269" t="e">
        <f t="shared" ref="AO620:AO625" si="218">AP611-AO611</f>
        <v>#REF!</v>
      </c>
      <c r="AP620" s="270"/>
    </row>
    <row r="621" spans="31:42" x14ac:dyDescent="0.2">
      <c r="AE621" s="229" t="str">
        <f t="shared" si="212"/>
        <v>General Service 50 to 4,999 kW</v>
      </c>
      <c r="AF621" s="269">
        <f t="shared" si="213"/>
        <v>-4.5811984734248483</v>
      </c>
      <c r="AG621" s="270"/>
      <c r="AH621" s="217" t="str">
        <f t="shared" si="214"/>
        <v>kW</v>
      </c>
      <c r="AI621" s="269">
        <f t="shared" si="215"/>
        <v>-2591.3614818135393</v>
      </c>
      <c r="AJ621" s="270"/>
      <c r="AK621" s="269">
        <f t="shared" si="216"/>
        <v>-2591.3614818135393</v>
      </c>
      <c r="AL621" s="270"/>
      <c r="AM621" s="269">
        <f t="shared" si="217"/>
        <v>57.205656288851969</v>
      </c>
      <c r="AN621" s="270"/>
      <c r="AO621" s="269">
        <f t="shared" si="218"/>
        <v>57.205656288851969</v>
      </c>
      <c r="AP621" s="270"/>
    </row>
    <row r="622" spans="31:42" x14ac:dyDescent="0.2">
      <c r="AE622" s="229" t="str">
        <f t="shared" si="212"/>
        <v>Large User</v>
      </c>
      <c r="AF622" s="269">
        <f t="shared" si="213"/>
        <v>0</v>
      </c>
      <c r="AG622" s="270"/>
      <c r="AH622" s="217" t="str">
        <f t="shared" si="214"/>
        <v>kW</v>
      </c>
      <c r="AI622" s="269">
        <f t="shared" si="215"/>
        <v>0</v>
      </c>
      <c r="AJ622" s="270"/>
      <c r="AK622" s="269">
        <f t="shared" si="216"/>
        <v>0</v>
      </c>
      <c r="AL622" s="270"/>
      <c r="AM622" s="269">
        <f t="shared" si="217"/>
        <v>0</v>
      </c>
      <c r="AN622" s="270"/>
      <c r="AO622" s="269">
        <f t="shared" si="218"/>
        <v>0</v>
      </c>
      <c r="AP622" s="270"/>
    </row>
    <row r="623" spans="31:42" x14ac:dyDescent="0.2">
      <c r="AE623" s="229" t="str">
        <f t="shared" si="212"/>
        <v xml:space="preserve">Street Lights </v>
      </c>
      <c r="AF623" s="269">
        <f t="shared" si="213"/>
        <v>30.517321945466392</v>
      </c>
      <c r="AG623" s="270"/>
      <c r="AH623" s="217" t="str">
        <f t="shared" si="214"/>
        <v>kW</v>
      </c>
      <c r="AI623" s="269">
        <f>AJ614-AI614</f>
        <v>-154.26800277353686</v>
      </c>
      <c r="AJ623" s="270"/>
      <c r="AK623" s="269">
        <f>AL614-AK614</f>
        <v>-154.26800277353686</v>
      </c>
      <c r="AL623" s="270"/>
      <c r="AM623" s="269">
        <f t="shared" si="217"/>
        <v>-2.5477591448672787E-2</v>
      </c>
      <c r="AN623" s="270"/>
      <c r="AO623" s="269">
        <f>AP614-AO614</f>
        <v>-2.5477591448672787E-2</v>
      </c>
      <c r="AP623" s="270"/>
    </row>
    <row r="624" spans="31:42" x14ac:dyDescent="0.2">
      <c r="AE624" s="229" t="str">
        <f t="shared" si="212"/>
        <v>Sentinel Lights</v>
      </c>
      <c r="AF624" s="269">
        <f t="shared" si="213"/>
        <v>0</v>
      </c>
      <c r="AG624" s="270"/>
      <c r="AH624" s="217" t="str">
        <f t="shared" si="214"/>
        <v>kW</v>
      </c>
      <c r="AI624" s="269">
        <f t="shared" si="215"/>
        <v>0</v>
      </c>
      <c r="AJ624" s="270"/>
      <c r="AK624" s="269">
        <f t="shared" si="216"/>
        <v>0</v>
      </c>
      <c r="AL624" s="270"/>
      <c r="AM624" s="269">
        <f t="shared" si="217"/>
        <v>0</v>
      </c>
      <c r="AN624" s="270"/>
      <c r="AO624" s="269">
        <f t="shared" si="218"/>
        <v>0</v>
      </c>
      <c r="AP624" s="270"/>
    </row>
    <row r="625" spans="31:42" x14ac:dyDescent="0.2">
      <c r="AE625" s="229" t="str">
        <f t="shared" si="212"/>
        <v xml:space="preserve">Unmetered Scattered Loads </v>
      </c>
      <c r="AF625" s="269">
        <f t="shared" si="213"/>
        <v>0</v>
      </c>
      <c r="AG625" s="270"/>
      <c r="AH625" s="217" t="str">
        <f t="shared" si="214"/>
        <v>kWh</v>
      </c>
      <c r="AI625" s="269" t="e">
        <f t="shared" si="215"/>
        <v>#REF!</v>
      </c>
      <c r="AJ625" s="270"/>
      <c r="AK625" s="269" t="e">
        <f t="shared" si="216"/>
        <v>#REF!</v>
      </c>
      <c r="AL625" s="270"/>
      <c r="AM625" s="269" t="e">
        <f t="shared" si="217"/>
        <v>#REF!</v>
      </c>
      <c r="AN625" s="270"/>
      <c r="AO625" s="269" t="e">
        <f t="shared" si="218"/>
        <v>#REF!</v>
      </c>
      <c r="AP625" s="270"/>
    </row>
  </sheetData>
  <mergeCells count="383">
    <mergeCell ref="AM437:AN437"/>
    <mergeCell ref="AM438:AN438"/>
    <mergeCell ref="AM439:AN439"/>
    <mergeCell ref="AO437:AP437"/>
    <mergeCell ref="AO438:AP438"/>
    <mergeCell ref="AO439:AP439"/>
    <mergeCell ref="AF438:AG438"/>
    <mergeCell ref="AF439:AG439"/>
    <mergeCell ref="AI437:AJ437"/>
    <mergeCell ref="AI438:AJ438"/>
    <mergeCell ref="AI439:AJ439"/>
    <mergeCell ref="AK437:AL437"/>
    <mergeCell ref="AK438:AL438"/>
    <mergeCell ref="AK439:AL439"/>
    <mergeCell ref="F313:I313"/>
    <mergeCell ref="A312:I312"/>
    <mergeCell ref="A330:D330"/>
    <mergeCell ref="A332:D332"/>
    <mergeCell ref="A353:E353"/>
    <mergeCell ref="AF437:AG437"/>
    <mergeCell ref="A266:H266"/>
    <mergeCell ref="A269:I269"/>
    <mergeCell ref="A271:I271"/>
    <mergeCell ref="B276:H276"/>
    <mergeCell ref="AF433:AG433"/>
    <mergeCell ref="A310:D310"/>
    <mergeCell ref="B313:E313"/>
    <mergeCell ref="A285:E285"/>
    <mergeCell ref="A292:E292"/>
    <mergeCell ref="A299:F299"/>
    <mergeCell ref="A287:F287"/>
    <mergeCell ref="B274:E274"/>
    <mergeCell ref="A279:E279"/>
    <mergeCell ref="AF435:AG435"/>
    <mergeCell ref="A301:I301"/>
    <mergeCell ref="A303:I303"/>
    <mergeCell ref="A305:I305"/>
    <mergeCell ref="A307:I307"/>
    <mergeCell ref="AF621:AG621"/>
    <mergeCell ref="AI621:AJ621"/>
    <mergeCell ref="AK621:AL621"/>
    <mergeCell ref="AM621:AN621"/>
    <mergeCell ref="AO621:AP621"/>
    <mergeCell ref="AF622:AG622"/>
    <mergeCell ref="AI622:AJ622"/>
    <mergeCell ref="AK622:AL622"/>
    <mergeCell ref="AM622:AN622"/>
    <mergeCell ref="AO622:AP622"/>
    <mergeCell ref="AF619:AG619"/>
    <mergeCell ref="AI619:AJ619"/>
    <mergeCell ref="AK619:AL619"/>
    <mergeCell ref="AM619:AN619"/>
    <mergeCell ref="AO619:AP619"/>
    <mergeCell ref="AF620:AG620"/>
    <mergeCell ref="AI620:AJ620"/>
    <mergeCell ref="AK620:AL620"/>
    <mergeCell ref="AM620:AN620"/>
    <mergeCell ref="AO620:AP620"/>
    <mergeCell ref="AI594:AJ594"/>
    <mergeCell ref="AK594:AL594"/>
    <mergeCell ref="AM594:AN594"/>
    <mergeCell ref="AO594:AP594"/>
    <mergeCell ref="AF607:AG607"/>
    <mergeCell ref="AI607:AJ607"/>
    <mergeCell ref="AK607:AL607"/>
    <mergeCell ref="AM607:AN607"/>
    <mergeCell ref="AO607:AP607"/>
    <mergeCell ref="AF589:AG589"/>
    <mergeCell ref="AI589:AJ589"/>
    <mergeCell ref="AK589:AL589"/>
    <mergeCell ref="AM589:AN589"/>
    <mergeCell ref="AO589:AP589"/>
    <mergeCell ref="AF590:AG590"/>
    <mergeCell ref="AI590:AJ590"/>
    <mergeCell ref="AK590:AL590"/>
    <mergeCell ref="AM590:AN590"/>
    <mergeCell ref="AO590:AP590"/>
    <mergeCell ref="AF587:AG587"/>
    <mergeCell ref="AI587:AJ587"/>
    <mergeCell ref="AK587:AL587"/>
    <mergeCell ref="AM587:AN587"/>
    <mergeCell ref="AO587:AP587"/>
    <mergeCell ref="AF588:AG588"/>
    <mergeCell ref="AI588:AJ588"/>
    <mergeCell ref="AK588:AL588"/>
    <mergeCell ref="AM588:AN588"/>
    <mergeCell ref="AO588:AP588"/>
    <mergeCell ref="AE577:AJ577"/>
    <mergeCell ref="AM577:AN577"/>
    <mergeCell ref="AO577:AP577"/>
    <mergeCell ref="AF559:AG559"/>
    <mergeCell ref="AI559:AJ559"/>
    <mergeCell ref="AK559:AL559"/>
    <mergeCell ref="AM559:AN559"/>
    <mergeCell ref="AO559:AP559"/>
    <mergeCell ref="AF560:AG560"/>
    <mergeCell ref="AI560:AJ560"/>
    <mergeCell ref="AK560:AL560"/>
    <mergeCell ref="AM560:AN560"/>
    <mergeCell ref="AO560:AP560"/>
    <mergeCell ref="AF561:AG561"/>
    <mergeCell ref="AF562:AG562"/>
    <mergeCell ref="AF563:AG563"/>
    <mergeCell ref="AI561:AJ561"/>
    <mergeCell ref="AI562:AJ562"/>
    <mergeCell ref="AI563:AJ563"/>
    <mergeCell ref="AM557:AN557"/>
    <mergeCell ref="AO557:AP557"/>
    <mergeCell ref="AF558:AG558"/>
    <mergeCell ref="AI558:AJ558"/>
    <mergeCell ref="AK558:AL558"/>
    <mergeCell ref="AM558:AN558"/>
    <mergeCell ref="AO558:AP558"/>
    <mergeCell ref="AF576:AG576"/>
    <mergeCell ref="AI576:AJ576"/>
    <mergeCell ref="AK576:AL576"/>
    <mergeCell ref="AM576:AN576"/>
    <mergeCell ref="AO576:AP576"/>
    <mergeCell ref="AO563:AP563"/>
    <mergeCell ref="AF557:AG557"/>
    <mergeCell ref="AI557:AJ557"/>
    <mergeCell ref="AK557:AL557"/>
    <mergeCell ref="AF529:AG529"/>
    <mergeCell ref="AI529:AJ529"/>
    <mergeCell ref="AK529:AL529"/>
    <mergeCell ref="AM529:AN529"/>
    <mergeCell ref="AO529:AP529"/>
    <mergeCell ref="AF545:AG545"/>
    <mergeCell ref="AI545:AJ545"/>
    <mergeCell ref="AK545:AL545"/>
    <mergeCell ref="AM545:AN545"/>
    <mergeCell ref="AO545:AP545"/>
    <mergeCell ref="AO531:AP531"/>
    <mergeCell ref="AO532:AP532"/>
    <mergeCell ref="AO530:AP530"/>
    <mergeCell ref="AF530:AG530"/>
    <mergeCell ref="AF531:AG531"/>
    <mergeCell ref="AF532:AG532"/>
    <mergeCell ref="AI530:AJ530"/>
    <mergeCell ref="AI531:AJ531"/>
    <mergeCell ref="AI532:AJ532"/>
    <mergeCell ref="AK530:AL530"/>
    <mergeCell ref="AK531:AL531"/>
    <mergeCell ref="AK532:AL532"/>
    <mergeCell ref="AM530:AN530"/>
    <mergeCell ref="AM531:AN531"/>
    <mergeCell ref="AK526:AL526"/>
    <mergeCell ref="AM526:AN526"/>
    <mergeCell ref="AO526:AP526"/>
    <mergeCell ref="AF527:AG527"/>
    <mergeCell ref="AI527:AJ527"/>
    <mergeCell ref="AK527:AL527"/>
    <mergeCell ref="AM527:AN527"/>
    <mergeCell ref="AO527:AP527"/>
    <mergeCell ref="AF528:AG528"/>
    <mergeCell ref="AI528:AJ528"/>
    <mergeCell ref="AK528:AL528"/>
    <mergeCell ref="AM528:AN528"/>
    <mergeCell ref="AO528:AP528"/>
    <mergeCell ref="AF466:AG466"/>
    <mergeCell ref="AI466:AJ466"/>
    <mergeCell ref="AK466:AL466"/>
    <mergeCell ref="AM466:AN466"/>
    <mergeCell ref="AO466:AP466"/>
    <mergeCell ref="AF467:AG467"/>
    <mergeCell ref="AI467:AJ467"/>
    <mergeCell ref="AK467:AL467"/>
    <mergeCell ref="AM467:AN467"/>
    <mergeCell ref="AO467:AP467"/>
    <mergeCell ref="AF464:AG464"/>
    <mergeCell ref="AI464:AJ464"/>
    <mergeCell ref="AK464:AL464"/>
    <mergeCell ref="AM464:AN464"/>
    <mergeCell ref="AO464:AP464"/>
    <mergeCell ref="AF465:AG465"/>
    <mergeCell ref="AI465:AJ465"/>
    <mergeCell ref="AK465:AL465"/>
    <mergeCell ref="AM465:AN465"/>
    <mergeCell ref="AO465:AP465"/>
    <mergeCell ref="AE453:AJ453"/>
    <mergeCell ref="AM453:AN453"/>
    <mergeCell ref="AO453:AP453"/>
    <mergeCell ref="AF463:AG463"/>
    <mergeCell ref="AI463:AJ463"/>
    <mergeCell ref="AK463:AL463"/>
    <mergeCell ref="AM463:AN463"/>
    <mergeCell ref="AO463:AP463"/>
    <mergeCell ref="AF452:AG452"/>
    <mergeCell ref="AI452:AJ452"/>
    <mergeCell ref="AK452:AL452"/>
    <mergeCell ref="AM452:AN452"/>
    <mergeCell ref="AO452:AP452"/>
    <mergeCell ref="AI435:AJ435"/>
    <mergeCell ref="AK435:AL435"/>
    <mergeCell ref="AM435:AN435"/>
    <mergeCell ref="AO435:AP435"/>
    <mergeCell ref="AF436:AG436"/>
    <mergeCell ref="AI436:AJ436"/>
    <mergeCell ref="AK436:AL436"/>
    <mergeCell ref="AM436:AN436"/>
    <mergeCell ref="AO436:AP436"/>
    <mergeCell ref="AI433:AJ433"/>
    <mergeCell ref="AK433:AL433"/>
    <mergeCell ref="AM433:AN433"/>
    <mergeCell ref="AO433:AP433"/>
    <mergeCell ref="AF434:AG434"/>
    <mergeCell ref="AI434:AJ434"/>
    <mergeCell ref="AK434:AL434"/>
    <mergeCell ref="AM434:AN434"/>
    <mergeCell ref="AO434:AP434"/>
    <mergeCell ref="AM421:AN421"/>
    <mergeCell ref="AO421:AP421"/>
    <mergeCell ref="AE422:AJ422"/>
    <mergeCell ref="AM422:AN422"/>
    <mergeCell ref="AO422:AP422"/>
    <mergeCell ref="AF432:AG432"/>
    <mergeCell ref="AI432:AJ432"/>
    <mergeCell ref="AK432:AL432"/>
    <mergeCell ref="AM432:AN432"/>
    <mergeCell ref="AO432:AP432"/>
    <mergeCell ref="AF421:AG421"/>
    <mergeCell ref="AI421:AJ421"/>
    <mergeCell ref="AK421:AL421"/>
    <mergeCell ref="A227:H227"/>
    <mergeCell ref="A244:H244"/>
    <mergeCell ref="A246:H246"/>
    <mergeCell ref="A264:H264"/>
    <mergeCell ref="A200:F200"/>
    <mergeCell ref="A220:F220"/>
    <mergeCell ref="A183:I183"/>
    <mergeCell ref="A202:H202"/>
    <mergeCell ref="A222:I222"/>
    <mergeCell ref="A225:H225"/>
    <mergeCell ref="K141:L141"/>
    <mergeCell ref="A158:G158"/>
    <mergeCell ref="A160:G160"/>
    <mergeCell ref="A181:G181"/>
    <mergeCell ref="A86:I86"/>
    <mergeCell ref="A121:H121"/>
    <mergeCell ref="A105:H105"/>
    <mergeCell ref="N2:W2"/>
    <mergeCell ref="N4:W4"/>
    <mergeCell ref="N13:W13"/>
    <mergeCell ref="A25:G25"/>
    <mergeCell ref="A27:G27"/>
    <mergeCell ref="A3:L3"/>
    <mergeCell ref="A50:I50"/>
    <mergeCell ref="A85:I85"/>
    <mergeCell ref="A66:I66"/>
    <mergeCell ref="AM468:AN468"/>
    <mergeCell ref="AM469:AN469"/>
    <mergeCell ref="AM470:AN470"/>
    <mergeCell ref="AO468:AP468"/>
    <mergeCell ref="AO469:AP469"/>
    <mergeCell ref="AO470:AP470"/>
    <mergeCell ref="AF483:AG483"/>
    <mergeCell ref="AI483:AJ483"/>
    <mergeCell ref="AK483:AL483"/>
    <mergeCell ref="AM483:AN483"/>
    <mergeCell ref="AO483:AP483"/>
    <mergeCell ref="AF468:AG468"/>
    <mergeCell ref="AF469:AG469"/>
    <mergeCell ref="AF470:AG470"/>
    <mergeCell ref="AI468:AJ468"/>
    <mergeCell ref="AI469:AJ469"/>
    <mergeCell ref="AI470:AJ470"/>
    <mergeCell ref="AK468:AL468"/>
    <mergeCell ref="AK469:AL469"/>
    <mergeCell ref="AK470:AL470"/>
    <mergeCell ref="AM484:AN484"/>
    <mergeCell ref="AO484:AP484"/>
    <mergeCell ref="AF494:AG494"/>
    <mergeCell ref="AI494:AJ494"/>
    <mergeCell ref="AK494:AL494"/>
    <mergeCell ref="AM494:AN494"/>
    <mergeCell ref="AO494:AP494"/>
    <mergeCell ref="AF495:AG495"/>
    <mergeCell ref="AI495:AJ495"/>
    <mergeCell ref="AK495:AL495"/>
    <mergeCell ref="AM495:AN495"/>
    <mergeCell ref="AO495:AP495"/>
    <mergeCell ref="AE484:AJ484"/>
    <mergeCell ref="AM496:AN496"/>
    <mergeCell ref="AO496:AP496"/>
    <mergeCell ref="AF497:AG497"/>
    <mergeCell ref="AI497:AJ497"/>
    <mergeCell ref="AK497:AL497"/>
    <mergeCell ref="AM497:AN497"/>
    <mergeCell ref="AO497:AP497"/>
    <mergeCell ref="AF498:AG498"/>
    <mergeCell ref="AI498:AJ498"/>
    <mergeCell ref="AK498:AL498"/>
    <mergeCell ref="AM498:AN498"/>
    <mergeCell ref="AO498:AP498"/>
    <mergeCell ref="AF496:AG496"/>
    <mergeCell ref="AI496:AJ496"/>
    <mergeCell ref="AK496:AL496"/>
    <mergeCell ref="AM499:AN499"/>
    <mergeCell ref="AO499:AP499"/>
    <mergeCell ref="AF500:AG500"/>
    <mergeCell ref="AI500:AJ500"/>
    <mergeCell ref="AK500:AL500"/>
    <mergeCell ref="AM500:AN500"/>
    <mergeCell ref="AO500:AP500"/>
    <mergeCell ref="AF514:AG514"/>
    <mergeCell ref="AI514:AJ514"/>
    <mergeCell ref="AK514:AL514"/>
    <mergeCell ref="AM514:AN514"/>
    <mergeCell ref="AO514:AP514"/>
    <mergeCell ref="AF501:AG501"/>
    <mergeCell ref="AI501:AJ501"/>
    <mergeCell ref="AK501:AL501"/>
    <mergeCell ref="AM501:AN501"/>
    <mergeCell ref="AO501:AP501"/>
    <mergeCell ref="AF499:AG499"/>
    <mergeCell ref="AI499:AJ499"/>
    <mergeCell ref="AK499:AL499"/>
    <mergeCell ref="AM623:AN623"/>
    <mergeCell ref="AM624:AN624"/>
    <mergeCell ref="AM625:AN625"/>
    <mergeCell ref="AO623:AP623"/>
    <mergeCell ref="AO624:AP624"/>
    <mergeCell ref="AO625:AP625"/>
    <mergeCell ref="AF591:AG591"/>
    <mergeCell ref="AF592:AG592"/>
    <mergeCell ref="AF593:AG593"/>
    <mergeCell ref="AI591:AJ591"/>
    <mergeCell ref="AI592:AJ592"/>
    <mergeCell ref="AI593:AJ593"/>
    <mergeCell ref="AK591:AL591"/>
    <mergeCell ref="AK592:AL592"/>
    <mergeCell ref="AK593:AL593"/>
    <mergeCell ref="AE608:AJ608"/>
    <mergeCell ref="AM608:AN608"/>
    <mergeCell ref="AO608:AP608"/>
    <mergeCell ref="AF618:AG618"/>
    <mergeCell ref="AI618:AJ618"/>
    <mergeCell ref="AK618:AL618"/>
    <mergeCell ref="AM618:AN618"/>
    <mergeCell ref="AO618:AP618"/>
    <mergeCell ref="AF594:AG594"/>
    <mergeCell ref="AF623:AG623"/>
    <mergeCell ref="AF624:AG624"/>
    <mergeCell ref="AF625:AG625"/>
    <mergeCell ref="AI623:AJ623"/>
    <mergeCell ref="AI624:AJ624"/>
    <mergeCell ref="AI625:AJ625"/>
    <mergeCell ref="AK623:AL623"/>
    <mergeCell ref="AK624:AL624"/>
    <mergeCell ref="AK625:AL625"/>
    <mergeCell ref="AM591:AN591"/>
    <mergeCell ref="AM592:AN592"/>
    <mergeCell ref="AM593:AN593"/>
    <mergeCell ref="AO591:AP591"/>
    <mergeCell ref="AO592:AP592"/>
    <mergeCell ref="AO593:AP593"/>
    <mergeCell ref="AK561:AL561"/>
    <mergeCell ref="AK562:AL562"/>
    <mergeCell ref="AK563:AL563"/>
    <mergeCell ref="AM515:AN515"/>
    <mergeCell ref="AO515:AP515"/>
    <mergeCell ref="AM525:AN525"/>
    <mergeCell ref="AO525:AP525"/>
    <mergeCell ref="AF526:AG526"/>
    <mergeCell ref="AI526:AJ526"/>
    <mergeCell ref="AM561:AN561"/>
    <mergeCell ref="AM562:AN562"/>
    <mergeCell ref="AM563:AN563"/>
    <mergeCell ref="AO561:AP561"/>
    <mergeCell ref="AO562:AP562"/>
    <mergeCell ref="AM532:AN532"/>
    <mergeCell ref="AE546:AJ546"/>
    <mergeCell ref="AM546:AN546"/>
    <mergeCell ref="AO546:AP546"/>
    <mergeCell ref="AF556:AG556"/>
    <mergeCell ref="AI556:AJ556"/>
    <mergeCell ref="AK556:AL556"/>
    <mergeCell ref="AM556:AN556"/>
    <mergeCell ref="AO556:AP556"/>
    <mergeCell ref="AF525:AG525"/>
    <mergeCell ref="AI525:AJ525"/>
    <mergeCell ref="AK525:AL525"/>
    <mergeCell ref="AE515:AJ515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32:D44 F32:F46 AL424 AA473:AA479 AF486:AF492 AI486:AI492 AA504:AA510" formula="1"/>
    <ignoredError sqref="AI464:AJ466 AD473:AD480 AC504 AD504:AD511 AD535:AD542 AD566:AD573 AD597:AD598 AD599:AD60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64"/>
  <sheetViews>
    <sheetView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Q19" sqref="Q19"/>
    </sheetView>
  </sheetViews>
  <sheetFormatPr defaultRowHeight="12.75" x14ac:dyDescent="0.2"/>
  <cols>
    <col min="1" max="1" width="34" customWidth="1"/>
    <col min="2" max="2" width="13" style="1" customWidth="1"/>
    <col min="3" max="3" width="12.5703125" style="1" customWidth="1"/>
    <col min="4" max="4" width="12.7109375" style="1" bestFit="1" customWidth="1"/>
    <col min="5" max="5" width="13.5703125" style="1" customWidth="1"/>
    <col min="6" max="6" width="12.7109375" style="1" customWidth="1"/>
    <col min="7" max="7" width="13" style="1" customWidth="1"/>
    <col min="8" max="8" width="12.7109375" style="1" bestFit="1" customWidth="1"/>
    <col min="9" max="11" width="12.85546875" style="1" customWidth="1"/>
    <col min="12" max="12" width="12.7109375" style="23" bestFit="1" customWidth="1"/>
    <col min="13" max="13" width="12" style="1" customWidth="1"/>
    <col min="14" max="14" width="11.5703125" customWidth="1"/>
    <col min="15" max="15" width="11.140625" bestFit="1" customWidth="1"/>
    <col min="16" max="16" width="14" bestFit="1" customWidth="1"/>
    <col min="17" max="17" width="13.28515625" customWidth="1"/>
  </cols>
  <sheetData>
    <row r="1" spans="1:17" ht="15.75" x14ac:dyDescent="0.25">
      <c r="A1" s="43" t="s">
        <v>166</v>
      </c>
    </row>
    <row r="3" spans="1:17" ht="38.25" x14ac:dyDescent="0.2">
      <c r="B3" s="45" t="s">
        <v>50</v>
      </c>
      <c r="C3" s="45" t="s">
        <v>51</v>
      </c>
      <c r="D3" s="45" t="s">
        <v>52</v>
      </c>
      <c r="E3" s="45" t="s">
        <v>53</v>
      </c>
      <c r="F3" s="45" t="s">
        <v>54</v>
      </c>
      <c r="G3" s="45" t="s">
        <v>55</v>
      </c>
      <c r="H3" s="45" t="s">
        <v>65</v>
      </c>
      <c r="I3" s="45" t="s">
        <v>68</v>
      </c>
      <c r="J3" s="45" t="s">
        <v>74</v>
      </c>
      <c r="K3" s="45" t="s">
        <v>76</v>
      </c>
      <c r="L3" s="45" t="s">
        <v>167</v>
      </c>
      <c r="M3" s="45" t="s">
        <v>168</v>
      </c>
      <c r="N3" s="45" t="s">
        <v>169</v>
      </c>
      <c r="O3" s="45" t="s">
        <v>170</v>
      </c>
      <c r="P3" s="45" t="s">
        <v>282</v>
      </c>
      <c r="Q3" s="45" t="s">
        <v>171</v>
      </c>
    </row>
    <row r="4" spans="1:17" x14ac:dyDescent="0.2">
      <c r="A4" s="19" t="s">
        <v>58</v>
      </c>
      <c r="B4" s="6">
        <f>'Purchased Power Model '!B198</f>
        <v>522661540</v>
      </c>
      <c r="C4" s="29">
        <f>'Purchased Power Model '!B199</f>
        <v>497113270</v>
      </c>
      <c r="D4" s="29">
        <f>'Purchased Power Model '!B200</f>
        <v>501185430</v>
      </c>
      <c r="E4" s="29">
        <f>'Purchased Power Model '!B201</f>
        <v>520774860</v>
      </c>
      <c r="F4" s="29">
        <f>'Purchased Power Model '!B202</f>
        <v>488381990</v>
      </c>
      <c r="G4" s="29">
        <f>'Purchased Power Model '!B203</f>
        <v>493927030</v>
      </c>
      <c r="H4" s="29">
        <f>'Purchased Power Model '!B204</f>
        <v>487062910</v>
      </c>
      <c r="I4" s="29">
        <f>'Purchased Power Model '!B205</f>
        <v>419617213.07692301</v>
      </c>
      <c r="J4" s="29">
        <f>'Purchased Power Model '!B206</f>
        <v>443594623.07692289</v>
      </c>
      <c r="K4" s="29">
        <f>'Purchased Power Model '!B207</f>
        <v>451220848.00000006</v>
      </c>
      <c r="L4" s="29">
        <f>'Purchased Power Model '!B208</f>
        <v>421671164.32258064</v>
      </c>
      <c r="M4" s="29">
        <f>'Purchased Power Model '!B209</f>
        <v>415369616</v>
      </c>
      <c r="N4" s="29">
        <f>'Purchased Power Model '!B210</f>
        <v>391554997.00000006</v>
      </c>
      <c r="O4" s="29">
        <f>'Purchased Power Model '!B211</f>
        <v>372480929.99999994</v>
      </c>
      <c r="P4" s="29">
        <f>'Purchased Power Model '!B212</f>
        <v>380580437.84850001</v>
      </c>
    </row>
    <row r="5" spans="1:17" x14ac:dyDescent="0.2">
      <c r="A5" s="19" t="s">
        <v>59</v>
      </c>
      <c r="B5" s="29">
        <f>'Purchased Power Model '!K198</f>
        <v>512039645.79947102</v>
      </c>
      <c r="C5" s="29">
        <f>'Purchased Power Model '!K199</f>
        <v>499473509.33795565</v>
      </c>
      <c r="D5" s="29">
        <f>'Purchased Power Model '!K200</f>
        <v>495773140.59486818</v>
      </c>
      <c r="E5" s="29">
        <f>'Purchased Power Model '!K201</f>
        <v>517472706.58177626</v>
      </c>
      <c r="F5" s="29">
        <f>'Purchased Power Model '!K202</f>
        <v>493240677.22552299</v>
      </c>
      <c r="G5" s="29">
        <f>'Purchased Power Model '!K203</f>
        <v>487518264.45096147</v>
      </c>
      <c r="H5" s="29">
        <f>'Purchased Power Model '!K204</f>
        <v>468975372.19405693</v>
      </c>
      <c r="I5" s="29">
        <f>'Purchased Power Model '!K205</f>
        <v>451430463.66173619</v>
      </c>
      <c r="J5" s="29">
        <f>'Purchased Power Model '!K206</f>
        <v>457976030.17038697</v>
      </c>
      <c r="K5" s="29">
        <f>'Purchased Power Model '!K207</f>
        <v>446307047.26310718</v>
      </c>
      <c r="L5" s="59">
        <f>'Purchased Power Model '!K208</f>
        <v>428913787.08059371</v>
      </c>
      <c r="M5" s="29">
        <f>'Purchased Power Model '!K209</f>
        <v>408477732.4401511</v>
      </c>
      <c r="N5" s="29">
        <f>'Purchased Power Model '!K210</f>
        <v>384614257.26620692</v>
      </c>
      <c r="O5" s="29">
        <f>'Purchased Power Model '!K211</f>
        <v>377299933.41984731</v>
      </c>
      <c r="P5" s="29">
        <f>'Purchased Power Model '!K212</f>
        <v>377684291.83828664</v>
      </c>
      <c r="Q5" s="29">
        <f>'Purchased Power Model '!K213</f>
        <v>377669392.21158886</v>
      </c>
    </row>
    <row r="6" spans="1:17" x14ac:dyDescent="0.2">
      <c r="A6" s="19" t="s">
        <v>9</v>
      </c>
      <c r="B6" s="44">
        <f t="shared" ref="B6:M6" si="0">(B5-B4)/B4</f>
        <v>-2.0322700997913449E-2</v>
      </c>
      <c r="C6" s="44">
        <f t="shared" si="0"/>
        <v>4.7478904314013862E-3</v>
      </c>
      <c r="D6" s="44">
        <f t="shared" si="0"/>
        <v>-1.0798975950142479E-2</v>
      </c>
      <c r="E6" s="44">
        <f t="shared" si="0"/>
        <v>-6.3408464422106299E-3</v>
      </c>
      <c r="F6" s="44">
        <f t="shared" si="0"/>
        <v>9.9485388998947211E-3</v>
      </c>
      <c r="G6" s="44">
        <f t="shared" si="0"/>
        <v>-1.297512620242413E-2</v>
      </c>
      <c r="H6" s="44">
        <f t="shared" si="0"/>
        <v>-3.7135937544378141E-2</v>
      </c>
      <c r="I6" s="44">
        <f t="shared" si="0"/>
        <v>7.5814932260610729E-2</v>
      </c>
      <c r="J6" s="44">
        <f t="shared" si="0"/>
        <v>3.2420156479151516E-2</v>
      </c>
      <c r="K6" s="44">
        <f t="shared" si="0"/>
        <v>-1.0890012637210589E-2</v>
      </c>
      <c r="L6" s="44">
        <f t="shared" si="0"/>
        <v>1.7175997248112574E-2</v>
      </c>
      <c r="M6" s="44">
        <f t="shared" si="0"/>
        <v>-1.6592170670107233E-2</v>
      </c>
      <c r="N6" s="44">
        <f t="shared" ref="N6:P6" si="1">(N5-N4)/N4</f>
        <v>-1.7726091575823097E-2</v>
      </c>
      <c r="O6" s="44">
        <f t="shared" si="1"/>
        <v>1.2937584267327109E-2</v>
      </c>
      <c r="P6" s="44">
        <f t="shared" si="1"/>
        <v>-7.6098131227813181E-3</v>
      </c>
      <c r="Q6" s="44"/>
    </row>
    <row r="7" spans="1:17" x14ac:dyDescent="0.2">
      <c r="A7" s="19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x14ac:dyDescent="0.2">
      <c r="A8" s="19" t="s">
        <v>176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22"/>
      <c r="Q8" s="122">
        <f>'Rate Class Energy Model'!G82*'Rate Class Energy Model'!F24</f>
        <v>0</v>
      </c>
    </row>
    <row r="9" spans="1:17" x14ac:dyDescent="0.2">
      <c r="A9" s="19" t="s">
        <v>177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29"/>
      <c r="Q9" s="29">
        <f>Q5+Q8</f>
        <v>377669392.21158886</v>
      </c>
    </row>
    <row r="10" spans="1:17" x14ac:dyDescent="0.2">
      <c r="A10" s="1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58"/>
    </row>
    <row r="11" spans="1:17" x14ac:dyDescent="0.2">
      <c r="A11" s="19" t="s">
        <v>61</v>
      </c>
      <c r="B11" s="29">
        <f>'Rate Class Energy Model'!G6</f>
        <v>502676915.61999995</v>
      </c>
      <c r="C11" s="29">
        <f>'Rate Class Energy Model'!G7</f>
        <v>477862795.18000001</v>
      </c>
      <c r="D11" s="29">
        <f>'Rate Class Energy Model'!G8</f>
        <v>484141789.55000001</v>
      </c>
      <c r="E11" s="29">
        <f>'Rate Class Energy Model'!G9</f>
        <v>501866998.31999999</v>
      </c>
      <c r="F11" s="29">
        <f>'Rate Class Energy Model'!G10</f>
        <v>476790670.77000004</v>
      </c>
      <c r="G11" s="29">
        <f>'Rate Class Energy Model'!G11</f>
        <v>468834411.74000007</v>
      </c>
      <c r="H11" s="29">
        <f>'Rate Class Energy Model'!G12</f>
        <v>467645348.06999999</v>
      </c>
      <c r="I11" s="29">
        <f>'Rate Class Energy Model'!G13</f>
        <v>397504326.69</v>
      </c>
      <c r="J11" s="29">
        <f>'Rate Class Energy Model'!G14</f>
        <v>425977886.94999999</v>
      </c>
      <c r="K11" s="29">
        <f>'Rate Class Energy Model'!G15</f>
        <v>429972781</v>
      </c>
      <c r="L11" s="29">
        <f>'Rate Class Energy Model'!G16</f>
        <v>405481205.32258064</v>
      </c>
      <c r="M11" s="29">
        <f>'Rate Class Energy Model'!G17</f>
        <v>399002323</v>
      </c>
      <c r="N11" s="29">
        <f>'Rate Class Energy Model'!G18</f>
        <v>380885629</v>
      </c>
      <c r="O11" s="29">
        <f>'Rate Class Energy Model'!G19</f>
        <v>356369056</v>
      </c>
      <c r="P11" s="29">
        <f>'Rate Class Energy Model'!G20</f>
        <v>363388525</v>
      </c>
      <c r="Q11" s="29">
        <f>'Rate Class Energy Model'!O69</f>
        <v>362675000</v>
      </c>
    </row>
    <row r="12" spans="1:17" x14ac:dyDescent="0.2">
      <c r="A12" s="19"/>
      <c r="B12" s="41"/>
      <c r="C12" s="41"/>
      <c r="D12" s="41"/>
      <c r="E12" s="41"/>
      <c r="F12" s="41"/>
      <c r="G12" s="41"/>
      <c r="I12" s="23"/>
      <c r="J12" s="23"/>
    </row>
    <row r="13" spans="1:17" ht="15.75" x14ac:dyDescent="0.25">
      <c r="A13" s="43" t="s">
        <v>60</v>
      </c>
    </row>
    <row r="14" spans="1:17" x14ac:dyDescent="0.2">
      <c r="A14" s="42" t="str">
        <f>'Rate Class Energy Model'!H2</f>
        <v xml:space="preserve">Residential </v>
      </c>
    </row>
    <row r="15" spans="1:17" x14ac:dyDescent="0.2">
      <c r="A15" t="s">
        <v>47</v>
      </c>
      <c r="B15" s="6">
        <f>'Rate Class Customer Model'!B3</f>
        <v>18178</v>
      </c>
      <c r="C15" s="6">
        <f>'Rate Class Customer Model'!B4</f>
        <v>18297.833333333332</v>
      </c>
      <c r="D15" s="6">
        <f>'Rate Class Customer Model'!B5</f>
        <v>18497.833333333332</v>
      </c>
      <c r="E15" s="6">
        <f>'Rate Class Customer Model'!B6</f>
        <v>18756.166666666668</v>
      </c>
      <c r="F15" s="6">
        <f>'Rate Class Customer Model'!B7</f>
        <v>18914.833333333332</v>
      </c>
      <c r="G15" s="6">
        <f>'Rate Class Customer Model'!B8</f>
        <v>18996.166666666668</v>
      </c>
      <c r="H15" s="6">
        <f>'Rate Class Customer Model'!B9</f>
        <v>19136.5</v>
      </c>
      <c r="I15" s="6">
        <f>'Rate Class Customer Model'!B10</f>
        <v>19277.083333333332</v>
      </c>
      <c r="J15" s="6">
        <f>'Rate Class Customer Model'!B11</f>
        <v>19434.333333333332</v>
      </c>
      <c r="K15" s="6">
        <f>'Rate Class Customer Model'!B12</f>
        <v>19716.902777777785</v>
      </c>
      <c r="L15" s="27">
        <f>'Rate Class Customer Model'!B13</f>
        <v>20109.833333333332</v>
      </c>
      <c r="M15" s="6">
        <f>'Rate Class Customer Model'!B14</f>
        <v>20265.75</v>
      </c>
      <c r="N15" s="6">
        <f>'Rate Class Customer Model'!B15</f>
        <v>20472.166666666668</v>
      </c>
      <c r="O15" s="6">
        <f>'Rate Class Customer Model'!B16</f>
        <v>20635.5</v>
      </c>
      <c r="P15" s="6">
        <f>'Rate Class Customer Model'!B17</f>
        <v>20822.5</v>
      </c>
      <c r="Q15" s="6">
        <f>'Rate Class Customer Model'!B18</f>
        <v>21025.494151407474</v>
      </c>
    </row>
    <row r="16" spans="1:17" x14ac:dyDescent="0.2">
      <c r="A16" t="s">
        <v>48</v>
      </c>
      <c r="B16" s="6">
        <f>'Rate Class Energy Model'!H6</f>
        <v>163758007.56999999</v>
      </c>
      <c r="C16" s="6">
        <f>'Rate Class Energy Model'!H7</f>
        <v>157611433.94999999</v>
      </c>
      <c r="D16" s="6">
        <f>'Rate Class Energy Model'!H8</f>
        <v>158198542.48000002</v>
      </c>
      <c r="E16" s="6">
        <f>'Rate Class Energy Model'!H9</f>
        <v>170925878.90000001</v>
      </c>
      <c r="F16" s="6">
        <f>'Rate Class Energy Model'!H10</f>
        <v>160694398.38</v>
      </c>
      <c r="G16" s="6">
        <f>'Rate Class Energy Model'!H11</f>
        <v>162856079.99000001</v>
      </c>
      <c r="H16" s="6">
        <f>'Rate Class Energy Model'!H12</f>
        <v>157944948.05999997</v>
      </c>
      <c r="I16" s="6">
        <f>'Rate Class Energy Model'!H13</f>
        <v>152428517.84</v>
      </c>
      <c r="J16" s="6">
        <f>'Rate Class Energy Model'!H14</f>
        <v>159733337.50999999</v>
      </c>
      <c r="K16" s="6">
        <f>'Rate Class Energy Model'!H15</f>
        <v>158621921</v>
      </c>
      <c r="L16" s="6">
        <f>'Rate Class Energy Model'!H16</f>
        <v>159179968</v>
      </c>
      <c r="M16" s="6">
        <f>'Rate Class Energy Model'!H17</f>
        <v>158724607</v>
      </c>
      <c r="N16" s="6">
        <f>'Rate Class Energy Model'!H18</f>
        <v>158185053</v>
      </c>
      <c r="O16" s="6">
        <f>'Rate Class Energy Model'!H19</f>
        <v>157973719</v>
      </c>
      <c r="P16" s="6">
        <f>'Rate Class Energy Model'!H20</f>
        <v>163109690</v>
      </c>
      <c r="Q16" s="6">
        <f>'Rate Class Energy Model'!H69</f>
        <v>165521772.36384144</v>
      </c>
    </row>
    <row r="17" spans="1:17" x14ac:dyDescent="0.2">
      <c r="H17" s="50"/>
      <c r="I17" s="23"/>
      <c r="J17" s="23"/>
    </row>
    <row r="18" spans="1:17" x14ac:dyDescent="0.2">
      <c r="A18" s="42" t="str">
        <f>'Rate Class Energy Model'!I2</f>
        <v>General Service 
&lt; 50 kW</v>
      </c>
      <c r="N18" s="6"/>
    </row>
    <row r="19" spans="1:17" x14ac:dyDescent="0.2">
      <c r="A19" t="s">
        <v>47</v>
      </c>
      <c r="B19" s="6">
        <f>'Rate Class Customer Model'!C3</f>
        <v>1679.5</v>
      </c>
      <c r="C19" s="6">
        <f>'Rate Class Customer Model'!C4</f>
        <v>1684.3333333333333</v>
      </c>
      <c r="D19" s="6">
        <f>'Rate Class Customer Model'!C5</f>
        <v>1682.9166666666667</v>
      </c>
      <c r="E19" s="6">
        <f>'Rate Class Customer Model'!C6</f>
        <v>1690.8333333333333</v>
      </c>
      <c r="F19" s="6">
        <f>'Rate Class Customer Model'!C7</f>
        <v>1668</v>
      </c>
      <c r="G19" s="6">
        <f>'Rate Class Customer Model'!C8</f>
        <v>1656.5</v>
      </c>
      <c r="H19" s="6">
        <f>'Rate Class Customer Model'!C9</f>
        <v>1676.25</v>
      </c>
      <c r="I19" s="6">
        <f>'Rate Class Customer Model'!C10</f>
        <v>1690.1666666666667</v>
      </c>
      <c r="J19" s="6">
        <f>'Rate Class Customer Model'!C11</f>
        <v>1690.6666666666667</v>
      </c>
      <c r="K19" s="6">
        <f>'Rate Class Customer Model'!C12</f>
        <v>1690.8055555555559</v>
      </c>
      <c r="L19" s="6">
        <f>'Rate Class Customer Model'!C13</f>
        <v>1698.8333333333333</v>
      </c>
      <c r="M19" s="6">
        <f>'Rate Class Customer Model'!C14</f>
        <v>1698.5</v>
      </c>
      <c r="N19" s="6">
        <f>'Rate Class Customer Model'!C15</f>
        <v>1742.8333333333333</v>
      </c>
      <c r="O19" s="6">
        <f>'Rate Class Customer Model'!C16</f>
        <v>1769.0833333333333</v>
      </c>
      <c r="P19" s="6">
        <f>'Rate Class Customer Model'!C17</f>
        <v>1770.5833333333333</v>
      </c>
      <c r="Q19" s="6">
        <f>'Rate Class Customer Model'!C18</f>
        <v>1777.2752111718162</v>
      </c>
    </row>
    <row r="20" spans="1:17" x14ac:dyDescent="0.2">
      <c r="A20" t="s">
        <v>48</v>
      </c>
      <c r="B20" s="6">
        <f>'Rate Class Energy Model'!I6</f>
        <v>47941435.170000002</v>
      </c>
      <c r="C20" s="6">
        <f>'Rate Class Energy Model'!I7</f>
        <v>46463108.060000002</v>
      </c>
      <c r="D20" s="6">
        <f>'Rate Class Energy Model'!I8</f>
        <v>49935622.290000007</v>
      </c>
      <c r="E20" s="6">
        <f>'Rate Class Energy Model'!I9</f>
        <v>52581299.459999993</v>
      </c>
      <c r="F20" s="6">
        <f>'Rate Class Energy Model'!I10</f>
        <v>50343291.240000002</v>
      </c>
      <c r="G20" s="6">
        <f>'Rate Class Energy Model'!I11</f>
        <v>53416948.359999999</v>
      </c>
      <c r="H20" s="6">
        <f>'Rate Class Energy Model'!I12</f>
        <v>55072082.170000002</v>
      </c>
      <c r="I20" s="6">
        <f>'Rate Class Energy Model'!I13</f>
        <v>54644526.329999998</v>
      </c>
      <c r="J20" s="6">
        <f>'Rate Class Energy Model'!I14</f>
        <v>54184999.660000004</v>
      </c>
      <c r="K20" s="6">
        <f>'Rate Class Energy Model'!I15</f>
        <v>54435719</v>
      </c>
      <c r="L20" s="6">
        <f>'Rate Class Energy Model'!I16</f>
        <v>50022065</v>
      </c>
      <c r="M20" s="6">
        <f>'Rate Class Energy Model'!I17</f>
        <v>52726527</v>
      </c>
      <c r="N20" s="6">
        <f>'Rate Class Energy Model'!I18</f>
        <v>53903009</v>
      </c>
      <c r="O20" s="6">
        <f>'Rate Class Energy Model'!I19</f>
        <v>54312604</v>
      </c>
      <c r="P20" s="6">
        <f>'Rate Class Energy Model'!I20</f>
        <v>53545593</v>
      </c>
      <c r="Q20" s="6">
        <f>'Rate Class Energy Model'!I69</f>
        <v>54016205.037750974</v>
      </c>
    </row>
    <row r="21" spans="1:17" x14ac:dyDescent="0.2">
      <c r="H21" s="50"/>
      <c r="I21" s="23"/>
      <c r="J21" s="23"/>
    </row>
    <row r="22" spans="1:17" x14ac:dyDescent="0.2">
      <c r="A22" s="42" t="str">
        <f>'Rate Class Energy Model'!J2</f>
        <v>General Service 
50 to 
4,999 kW</v>
      </c>
      <c r="M22" s="6"/>
    </row>
    <row r="23" spans="1:17" x14ac:dyDescent="0.2">
      <c r="A23" t="s">
        <v>47</v>
      </c>
      <c r="B23" s="6">
        <f>'Rate Class Customer Model'!D3</f>
        <v>239.41666666666666</v>
      </c>
      <c r="C23" s="6">
        <f>'Rate Class Customer Model'!D4</f>
        <v>235.75</v>
      </c>
      <c r="D23" s="6">
        <f>'Rate Class Customer Model'!D5</f>
        <v>216.5</v>
      </c>
      <c r="E23" s="6">
        <f>'Rate Class Customer Model'!D6</f>
        <v>208</v>
      </c>
      <c r="F23" s="6">
        <f>'Rate Class Customer Model'!D7</f>
        <v>208.5</v>
      </c>
      <c r="G23" s="6">
        <f>'Rate Class Customer Model'!D8</f>
        <v>194.16666666666666</v>
      </c>
      <c r="H23" s="6">
        <f>'Rate Class Customer Model'!D9</f>
        <v>176.25</v>
      </c>
      <c r="I23" s="6">
        <f>'Rate Class Customer Model'!D10</f>
        <v>170.75</v>
      </c>
      <c r="J23" s="6">
        <f>'Rate Class Customer Model'!D11</f>
        <v>172.33333333333334</v>
      </c>
      <c r="K23" s="27">
        <f>'Rate Class Customer Model'!D12</f>
        <v>169.73611111111106</v>
      </c>
      <c r="L23" s="6">
        <f>'Rate Class Customer Model'!D13</f>
        <v>173.25</v>
      </c>
      <c r="M23" s="6">
        <f>'Rate Class Customer Model'!D14</f>
        <v>172.66666666666666</v>
      </c>
      <c r="N23" s="6">
        <f>'Rate Class Customer Model'!D15</f>
        <v>165.41666666666666</v>
      </c>
      <c r="O23" s="6">
        <f>'Rate Class Customer Model'!D16</f>
        <v>158.83333333333334</v>
      </c>
      <c r="P23" s="6">
        <f>'Rate Class Customer Model'!D17</f>
        <v>159</v>
      </c>
      <c r="Q23" s="6">
        <f>'Rate Class Customer Model'!D18</f>
        <v>154.41880152657515</v>
      </c>
    </row>
    <row r="24" spans="1:17" x14ac:dyDescent="0.2">
      <c r="A24" t="s">
        <v>48</v>
      </c>
      <c r="B24" s="6">
        <f>'Rate Class Energy Model'!J6</f>
        <v>220590237.66</v>
      </c>
      <c r="C24" s="6">
        <f>'Rate Class Energy Model'!J7</f>
        <v>148754541.44</v>
      </c>
      <c r="D24" s="6">
        <f>'Rate Class Energy Model'!J8</f>
        <v>145858310.61000001</v>
      </c>
      <c r="E24" s="6">
        <f>'Rate Class Energy Model'!J9</f>
        <v>147125296.04999998</v>
      </c>
      <c r="F24" s="6">
        <f>'Rate Class Energy Model'!J10</f>
        <v>146968682.79000002</v>
      </c>
      <c r="G24" s="6">
        <f>'Rate Class Energy Model'!J11</f>
        <v>163224573.41000003</v>
      </c>
      <c r="H24" s="6">
        <f>'Rate Class Energy Model'!J12</f>
        <v>145113726.81</v>
      </c>
      <c r="I24" s="6">
        <f>'Rate Class Energy Model'!J13</f>
        <v>135381160.95000002</v>
      </c>
      <c r="J24" s="6">
        <f>'Rate Class Energy Model'!J14</f>
        <v>144932476.47</v>
      </c>
      <c r="K24" s="6">
        <f>'Rate Class Energy Model'!J15</f>
        <v>150174158</v>
      </c>
      <c r="L24" s="6">
        <f>'Rate Class Energy Model'!J16</f>
        <v>141440866.32258064</v>
      </c>
      <c r="M24" s="6">
        <f>'Rate Class Energy Model'!J17</f>
        <v>138149957</v>
      </c>
      <c r="N24" s="6">
        <f>'Rate Class Energy Model'!J18</f>
        <v>144192534</v>
      </c>
      <c r="O24" s="6">
        <f>'Rate Class Energy Model'!J19</f>
        <v>139796962</v>
      </c>
      <c r="P24" s="6">
        <f>'Rate Class Energy Model'!J20</f>
        <v>143431671</v>
      </c>
      <c r="Q24" s="6">
        <f>'Rate Class Energy Model'!J69</f>
        <v>139841290.42471802</v>
      </c>
    </row>
    <row r="25" spans="1:17" x14ac:dyDescent="0.2">
      <c r="A25" t="s">
        <v>49</v>
      </c>
      <c r="B25" s="6">
        <f>'Rate Class Load Model'!B2</f>
        <v>551945.62</v>
      </c>
      <c r="C25" s="6">
        <f>'Rate Class Load Model'!B3</f>
        <v>449454.27000000008</v>
      </c>
      <c r="D25" s="6">
        <f>'Rate Class Load Model'!B4</f>
        <v>418532.51999999996</v>
      </c>
      <c r="E25" s="6">
        <f>'Rate Class Load Model'!B5</f>
        <v>415116.47000000003</v>
      </c>
      <c r="F25" s="6">
        <f>'Rate Class Load Model'!B6</f>
        <v>414301.29000000004</v>
      </c>
      <c r="G25" s="6">
        <f>'Rate Class Load Model'!B7</f>
        <v>441184.35</v>
      </c>
      <c r="H25" s="6">
        <f>'Rate Class Load Model'!B8</f>
        <v>417425.21</v>
      </c>
      <c r="I25" s="6">
        <f>'Rate Class Load Model'!B9</f>
        <v>390493.22</v>
      </c>
      <c r="J25" s="27">
        <f>'Rate Class Load Model'!B10</f>
        <v>432238.21</v>
      </c>
      <c r="K25" s="27">
        <f>'Rate Class Load Model'!B11</f>
        <v>417210</v>
      </c>
      <c r="L25" s="27">
        <f>'Rate Class Load Model'!B12</f>
        <v>387769</v>
      </c>
      <c r="M25" s="27">
        <f>'Rate Class Load Model'!B13</f>
        <v>389545</v>
      </c>
      <c r="N25" s="27">
        <f>'Rate Class Load Model'!B14</f>
        <v>402375</v>
      </c>
      <c r="O25" s="27">
        <f>'Rate Class Load Model'!B15</f>
        <v>402768</v>
      </c>
      <c r="P25" s="27">
        <f>'Rate Class Load Model'!B16</f>
        <v>396528</v>
      </c>
      <c r="Q25" s="27">
        <f>'Rate Class Load Model'!B17</f>
        <v>393936.63851818646</v>
      </c>
    </row>
    <row r="26" spans="1:17" x14ac:dyDescent="0.2">
      <c r="H26" s="50"/>
      <c r="I26" s="23"/>
      <c r="J26" s="23"/>
    </row>
    <row r="27" spans="1:17" x14ac:dyDescent="0.2">
      <c r="A27" s="42" t="str">
        <f>'Rate Class Energy Model'!K2</f>
        <v>Large User</v>
      </c>
      <c r="M27" s="6"/>
    </row>
    <row r="28" spans="1:17" x14ac:dyDescent="0.2">
      <c r="A28" t="s">
        <v>47</v>
      </c>
      <c r="B28" s="6">
        <f>'Rate Class Customer Model'!E3</f>
        <v>1.3333333333333333</v>
      </c>
      <c r="C28" s="6">
        <f>'Rate Class Customer Model'!E4</f>
        <v>2.75</v>
      </c>
      <c r="D28" s="6">
        <f>'Rate Class Customer Model'!E5</f>
        <v>2.8333333333333335</v>
      </c>
      <c r="E28" s="6">
        <f>'Rate Class Customer Model'!E6</f>
        <v>2.8333333333333335</v>
      </c>
      <c r="F28" s="6">
        <f>'Rate Class Customer Model'!E7</f>
        <v>3</v>
      </c>
      <c r="G28" s="6">
        <f>'Rate Class Customer Model'!E8</f>
        <v>2.4166666666666665</v>
      </c>
      <c r="H28" s="6">
        <f>'Rate Class Customer Model'!E9</f>
        <v>2.5</v>
      </c>
      <c r="I28" s="6">
        <f>'Rate Class Customer Model'!E10</f>
        <v>2.5</v>
      </c>
      <c r="J28" s="6">
        <f>'Rate Class Customer Model'!E11</f>
        <v>1.3333333333333333</v>
      </c>
      <c r="K28" s="6">
        <f>'Rate Class Customer Model'!E12</f>
        <v>1</v>
      </c>
      <c r="L28" s="27">
        <f>'Rate Class Customer Model'!E13</f>
        <v>1</v>
      </c>
      <c r="M28" s="6">
        <f>'Rate Class Customer Model'!E14</f>
        <v>1</v>
      </c>
      <c r="N28" s="6">
        <f>'Rate Class Customer Model'!E15</f>
        <v>1</v>
      </c>
      <c r="O28" s="6">
        <f>'Rate Class Customer Model'!E16</f>
        <v>1</v>
      </c>
      <c r="P28" s="6">
        <f>'Rate Class Customer Model'!E17</f>
        <v>0</v>
      </c>
      <c r="Q28" s="6">
        <f>'Rate Class Customer Model'!E18</f>
        <v>0</v>
      </c>
    </row>
    <row r="29" spans="1:17" x14ac:dyDescent="0.2">
      <c r="A29" t="s">
        <v>48</v>
      </c>
      <c r="B29" s="6">
        <f>'Rate Class Energy Model'!K6</f>
        <v>64185900.630000003</v>
      </c>
      <c r="C29" s="6">
        <f>'Rate Class Energy Model'!K7</f>
        <v>118136694</v>
      </c>
      <c r="D29" s="6">
        <f>'Rate Class Energy Model'!K8</f>
        <v>123252607</v>
      </c>
      <c r="E29" s="6">
        <f>'Rate Class Energy Model'!K9</f>
        <v>124361165</v>
      </c>
      <c r="F29" s="6">
        <f>'Rate Class Energy Model'!K10</f>
        <v>111878086</v>
      </c>
      <c r="G29" s="6">
        <f>'Rate Class Energy Model'!K11</f>
        <v>82520777</v>
      </c>
      <c r="H29" s="6">
        <f>'Rate Class Energy Model'!K12</f>
        <v>102682486</v>
      </c>
      <c r="I29" s="6">
        <f>'Rate Class Energy Model'!K13</f>
        <v>48153613</v>
      </c>
      <c r="J29" s="6">
        <f>'Rate Class Energy Model'!K14</f>
        <v>60389409</v>
      </c>
      <c r="K29" s="6">
        <f>'Rate Class Energy Model'!K15</f>
        <v>59993492</v>
      </c>
      <c r="L29" s="6">
        <f>'Rate Class Energy Model'!K16</f>
        <v>48424320</v>
      </c>
      <c r="M29" s="6">
        <f>'Rate Class Energy Model'!K17</f>
        <v>44784691</v>
      </c>
      <c r="N29" s="6">
        <f>'Rate Class Energy Model'!K18</f>
        <v>20367511</v>
      </c>
      <c r="O29" s="6">
        <f>'Rate Class Energy Model'!K19</f>
        <v>277079</v>
      </c>
      <c r="P29" s="6">
        <f>'Rate Class Energy Model'!K20</f>
        <v>0</v>
      </c>
      <c r="Q29" s="6">
        <f>'Rate Class Energy Model'!K69</f>
        <v>0</v>
      </c>
    </row>
    <row r="30" spans="1:17" x14ac:dyDescent="0.2">
      <c r="A30" t="s">
        <v>49</v>
      </c>
      <c r="B30" s="6">
        <f>'Rate Class Load Model'!C2</f>
        <v>193768.13</v>
      </c>
      <c r="C30" s="6">
        <f>'Rate Class Load Model'!C3</f>
        <v>293338</v>
      </c>
      <c r="D30" s="6">
        <f>'Rate Class Load Model'!C4</f>
        <v>287801.01</v>
      </c>
      <c r="E30" s="6">
        <f>'Rate Class Load Model'!C5</f>
        <v>296227</v>
      </c>
      <c r="F30" s="6">
        <f>'Rate Class Load Model'!C6</f>
        <v>313394</v>
      </c>
      <c r="G30" s="6">
        <f>'Rate Class Load Model'!C7</f>
        <v>248610</v>
      </c>
      <c r="H30" s="6">
        <f>'Rate Class Load Model'!C8</f>
        <v>271979</v>
      </c>
      <c r="I30" s="6">
        <f>'Rate Class Load Model'!C9</f>
        <v>195437</v>
      </c>
      <c r="J30" s="6">
        <f>'Rate Class Load Model'!C10</f>
        <v>168338</v>
      </c>
      <c r="K30" s="6">
        <f>'Rate Class Load Model'!C11</f>
        <v>170236</v>
      </c>
      <c r="L30" s="6">
        <f>'Rate Class Load Model'!C12</f>
        <v>152573</v>
      </c>
      <c r="M30" s="6">
        <f>'Rate Class Load Model'!C13</f>
        <v>153121</v>
      </c>
      <c r="N30" s="6">
        <f>'Rate Class Load Model'!C14</f>
        <v>59144</v>
      </c>
      <c r="O30" s="6">
        <f>'Rate Class Load Model'!C15</f>
        <v>479</v>
      </c>
      <c r="P30" s="6">
        <f>'Rate Class Load Model'!C16</f>
        <v>0</v>
      </c>
      <c r="Q30" s="6">
        <f>'Rate Class Load Model'!C17</f>
        <v>0</v>
      </c>
    </row>
    <row r="32" spans="1:17" x14ac:dyDescent="0.2">
      <c r="A32" s="42" t="str">
        <f>'Rate Class Energy Model'!L2</f>
        <v xml:space="preserve">Street Lights </v>
      </c>
      <c r="M32" s="6"/>
    </row>
    <row r="33" spans="1:21" x14ac:dyDescent="0.2">
      <c r="A33" t="s">
        <v>69</v>
      </c>
      <c r="B33" s="6">
        <f>'Rate Class Customer Model'!F3</f>
        <v>6411.75</v>
      </c>
      <c r="C33" s="6">
        <f>'Rate Class Customer Model'!F4</f>
        <v>6457.5</v>
      </c>
      <c r="D33" s="6">
        <f>'Rate Class Customer Model'!F5</f>
        <v>6471.333333333333</v>
      </c>
      <c r="E33" s="6">
        <f>'Rate Class Customer Model'!F6</f>
        <v>6520.166666666667</v>
      </c>
      <c r="F33" s="6">
        <f>'Rate Class Customer Model'!F7</f>
        <v>6557.75</v>
      </c>
      <c r="G33" s="6">
        <f>'Rate Class Customer Model'!F8</f>
        <v>6610.333333333333</v>
      </c>
      <c r="H33" s="6">
        <f>'Rate Class Customer Model'!F9</f>
        <v>6670.583333333333</v>
      </c>
      <c r="I33" s="6">
        <f>'Rate Class Customer Model'!F10</f>
        <v>6709.416666666667</v>
      </c>
      <c r="J33" s="27">
        <f>'Rate Class Customer Model'!F11</f>
        <v>6737.666666666667</v>
      </c>
      <c r="K33" s="27">
        <f>'Rate Class Customer Model'!F12</f>
        <v>6739</v>
      </c>
      <c r="L33" s="6">
        <f>'Rate Class Customer Model'!F13</f>
        <v>6749.166666666667</v>
      </c>
      <c r="M33" s="6">
        <f>'Rate Class Customer Model'!F14</f>
        <v>6778.916666666667</v>
      </c>
      <c r="N33" s="6">
        <f>'Rate Class Customer Model'!F15</f>
        <v>6784.333333333333</v>
      </c>
      <c r="O33" s="6">
        <f>'Rate Class Customer Model'!F16</f>
        <v>6792.583333333333</v>
      </c>
      <c r="P33" s="6">
        <f>'Rate Class Customer Model'!F17</f>
        <v>6825</v>
      </c>
      <c r="Q33" s="6">
        <f>'Rate Class Customer Model'!F18</f>
        <v>6855.5173219454664</v>
      </c>
    </row>
    <row r="34" spans="1:21" x14ac:dyDescent="0.2">
      <c r="A34" t="s">
        <v>48</v>
      </c>
      <c r="B34" s="6">
        <f>'Rate Class Energy Model'!L6</f>
        <v>4578874</v>
      </c>
      <c r="C34" s="6">
        <f>'Rate Class Energy Model'!L7</f>
        <v>4648825</v>
      </c>
      <c r="D34" s="6">
        <f>'Rate Class Energy Model'!L8</f>
        <v>4671053</v>
      </c>
      <c r="E34" s="6">
        <f>'Rate Class Energy Model'!L9</f>
        <v>4673771</v>
      </c>
      <c r="F34" s="6">
        <f>'Rate Class Energy Model'!L10</f>
        <v>4688652</v>
      </c>
      <c r="G34" s="6">
        <f>'Rate Class Energy Model'!L11</f>
        <v>4691239</v>
      </c>
      <c r="H34" s="6">
        <f>'Rate Class Energy Model'!L12</f>
        <v>4724654</v>
      </c>
      <c r="I34" s="6">
        <f>'Rate Class Energy Model'!L13</f>
        <v>4691957</v>
      </c>
      <c r="J34" s="6">
        <f>'Rate Class Energy Model'!L14</f>
        <v>4700576</v>
      </c>
      <c r="K34" s="6">
        <f>'Rate Class Energy Model'!L15</f>
        <v>4730347</v>
      </c>
      <c r="L34" s="6">
        <f>'Rate Class Energy Model'!L16</f>
        <v>4479319</v>
      </c>
      <c r="M34" s="6">
        <f>'Rate Class Energy Model'!L17</f>
        <v>2844301</v>
      </c>
      <c r="N34" s="6">
        <f>'Rate Class Energy Model'!L18</f>
        <v>2503378</v>
      </c>
      <c r="O34" s="6">
        <f>'Rate Class Energy Model'!L19</f>
        <v>2284687</v>
      </c>
      <c r="P34" s="6">
        <f>'Rate Class Energy Model'!L20</f>
        <v>1575426</v>
      </c>
      <c r="Q34" s="6">
        <f>'Rate Class Energy Model'!L69</f>
        <v>1582470.3637279498</v>
      </c>
    </row>
    <row r="35" spans="1:21" x14ac:dyDescent="0.2">
      <c r="A35" t="s">
        <v>49</v>
      </c>
      <c r="B35" s="6">
        <f>'Rate Class Load Model'!D2</f>
        <v>11856.554</v>
      </c>
      <c r="C35" s="6">
        <f>'Rate Class Load Model'!D3</f>
        <v>12974.98</v>
      </c>
      <c r="D35" s="6">
        <f>'Rate Class Load Model'!D4</f>
        <v>13023.570000000002</v>
      </c>
      <c r="E35" s="6">
        <f>'Rate Class Load Model'!D5</f>
        <v>13038.970000000003</v>
      </c>
      <c r="F35" s="6">
        <f>'Rate Class Load Model'!D6</f>
        <v>13083.960000000001</v>
      </c>
      <c r="G35" s="6">
        <f>'Rate Class Load Model'!D7</f>
        <v>13085.879999999997</v>
      </c>
      <c r="H35" s="6">
        <f>'Rate Class Load Model'!D8</f>
        <v>13186.060000000001</v>
      </c>
      <c r="I35" s="6">
        <f>'Rate Class Load Model'!D9</f>
        <v>13091.060000000001</v>
      </c>
      <c r="J35" s="27">
        <f>'Rate Class Load Model'!D10</f>
        <v>13118.889999999998</v>
      </c>
      <c r="K35" s="27">
        <f>'Rate Class Load Model'!D11</f>
        <v>13148</v>
      </c>
      <c r="L35" s="27">
        <f>'Rate Class Load Model'!D12</f>
        <v>12420</v>
      </c>
      <c r="M35" s="27">
        <f>'Rate Class Load Model'!D13</f>
        <v>7923</v>
      </c>
      <c r="N35" s="27">
        <f>'Rate Class Load Model'!D14</f>
        <v>6992</v>
      </c>
      <c r="O35" s="27">
        <f>'Rate Class Load Model'!D15</f>
        <v>6476</v>
      </c>
      <c r="P35" s="27">
        <f>'Rate Class Load Model'!D16</f>
        <v>4561</v>
      </c>
      <c r="Q35" s="27">
        <f>'Rate Class Load Model'!D17</f>
        <v>4406.7319972264631</v>
      </c>
      <c r="U35" s="81"/>
    </row>
    <row r="37" spans="1:21" x14ac:dyDescent="0.2">
      <c r="A37" s="42" t="str">
        <f>'Rate Class Energy Model'!M2</f>
        <v>Sentinel Lights</v>
      </c>
    </row>
    <row r="38" spans="1:21" x14ac:dyDescent="0.2">
      <c r="A38" t="s">
        <v>69</v>
      </c>
      <c r="B38" s="6">
        <f>'Rate Class Customer Model'!G3</f>
        <v>765</v>
      </c>
      <c r="C38" s="6">
        <f>'Rate Class Customer Model'!G4</f>
        <v>758.08333333333337</v>
      </c>
      <c r="D38" s="6">
        <f>'Rate Class Customer Model'!G5</f>
        <v>750.41666666666663</v>
      </c>
      <c r="E38" s="6">
        <f>'Rate Class Customer Model'!G6</f>
        <v>739.25</v>
      </c>
      <c r="F38" s="6">
        <f>'Rate Class Customer Model'!G7</f>
        <v>732.41666666666663</v>
      </c>
      <c r="G38" s="6">
        <f>'Rate Class Customer Model'!G8</f>
        <v>704.41666666666663</v>
      </c>
      <c r="H38" s="6">
        <f>'Rate Class Customer Model'!G9</f>
        <v>689</v>
      </c>
      <c r="I38" s="6">
        <f>'Rate Class Customer Model'!G10</f>
        <v>679.66666666666663</v>
      </c>
      <c r="J38" s="27">
        <f>'Rate Class Customer Model'!G11</f>
        <v>679.16666666666663</v>
      </c>
      <c r="K38" s="27">
        <f>'Rate Class Customer Model'!G12</f>
        <v>663.28472222222206</v>
      </c>
      <c r="L38" s="6">
        <f>'Rate Class Customer Model'!G13</f>
        <v>626.84577546296293</v>
      </c>
      <c r="M38" s="6">
        <f>'Rate Class Customer Model'!G14</f>
        <v>580.25</v>
      </c>
      <c r="N38" s="6">
        <f>'Rate Class Customer Model'!G15</f>
        <v>519.16666666666663</v>
      </c>
      <c r="O38" s="6">
        <f>'Rate Class Customer Model'!G16</f>
        <v>515.08333333333337</v>
      </c>
      <c r="P38" s="6">
        <f>'Rate Class Customer Model'!G17</f>
        <v>508.75</v>
      </c>
      <c r="Q38" s="6">
        <f>'Rate Class Customer Model'!G18</f>
        <v>508.75</v>
      </c>
    </row>
    <row r="39" spans="1:21" x14ac:dyDescent="0.2">
      <c r="A39" t="s">
        <v>48</v>
      </c>
      <c r="B39" s="6">
        <f>'Rate Class Energy Model'!M6</f>
        <v>608624.5</v>
      </c>
      <c r="C39" s="6">
        <f>'Rate Class Energy Model'!M7</f>
        <v>1025570.6699999999</v>
      </c>
      <c r="D39" s="6">
        <f>'Rate Class Energy Model'!M8</f>
        <v>1029431.6400000001</v>
      </c>
      <c r="E39" s="6">
        <f>'Rate Class Energy Model'!M9</f>
        <v>999999.72</v>
      </c>
      <c r="F39" s="6">
        <f>'Rate Class Energy Model'!M10</f>
        <v>1010962.7199999999</v>
      </c>
      <c r="G39" s="6">
        <f>'Rate Class Energy Model'!M11</f>
        <v>980631.10999999975</v>
      </c>
      <c r="H39" s="6">
        <f>'Rate Class Energy Model'!M12</f>
        <v>949655.42</v>
      </c>
      <c r="I39" s="6">
        <f>'Rate Class Energy Model'!M13</f>
        <v>1052725.24</v>
      </c>
      <c r="J39" s="6">
        <f>'Rate Class Energy Model'!M14</f>
        <v>908961.79999999993</v>
      </c>
      <c r="K39" s="6">
        <f>'Rate Class Energy Model'!M15</f>
        <v>894240</v>
      </c>
      <c r="L39" s="6">
        <f>'Rate Class Energy Model'!M16</f>
        <v>849278</v>
      </c>
      <c r="M39" s="6">
        <f>'Rate Class Energy Model'!M17</f>
        <v>782990</v>
      </c>
      <c r="N39" s="6">
        <f>'Rate Class Energy Model'!M18</f>
        <v>767199</v>
      </c>
      <c r="O39" s="6">
        <f>'Rate Class Energy Model'!M19</f>
        <v>753964</v>
      </c>
      <c r="P39" s="6">
        <f>'Rate Class Energy Model'!M20</f>
        <v>749437</v>
      </c>
      <c r="Q39" s="6">
        <f>'Rate Class Energy Model'!M69</f>
        <v>749437</v>
      </c>
    </row>
    <row r="40" spans="1:21" x14ac:dyDescent="0.2">
      <c r="A40" t="s">
        <v>49</v>
      </c>
      <c r="B40" s="6">
        <f>'Rate Class Load Model'!E2</f>
        <v>2536</v>
      </c>
      <c r="C40" s="6">
        <f>'Rate Class Load Model'!E3</f>
        <v>2928.96</v>
      </c>
      <c r="D40" s="6">
        <f>'Rate Class Load Model'!E4</f>
        <v>3192.2000000000003</v>
      </c>
      <c r="E40" s="6">
        <f>'Rate Class Load Model'!E5</f>
        <v>2843.5</v>
      </c>
      <c r="F40" s="6">
        <f>'Rate Class Load Model'!E6</f>
        <v>2812.06</v>
      </c>
      <c r="G40" s="6">
        <f>'Rate Class Load Model'!E7</f>
        <v>3041.58</v>
      </c>
      <c r="H40" s="6">
        <f>'Rate Class Load Model'!E8</f>
        <v>2690.21</v>
      </c>
      <c r="I40" s="6">
        <f>'Rate Class Load Model'!E9</f>
        <v>3630.8800000000006</v>
      </c>
      <c r="J40" s="6">
        <f>'Rate Class Load Model'!E10</f>
        <v>2816.28</v>
      </c>
      <c r="K40" s="6">
        <f>'Rate Class Load Model'!E11</f>
        <v>2462</v>
      </c>
      <c r="L40" s="6">
        <f>'Rate Class Load Model'!E12</f>
        <v>2331</v>
      </c>
      <c r="M40" s="6">
        <f>'Rate Class Load Model'!E13</f>
        <v>2186</v>
      </c>
      <c r="N40" s="6">
        <f>'Rate Class Load Model'!E14</f>
        <v>2120</v>
      </c>
      <c r="O40" s="6">
        <f>'Rate Class Load Model'!E15</f>
        <v>2077</v>
      </c>
      <c r="P40" s="6">
        <f>'Rate Class Load Model'!E16</f>
        <v>2061</v>
      </c>
      <c r="Q40" s="6">
        <f>'Rate Class Load Model'!E17</f>
        <v>2061</v>
      </c>
    </row>
    <row r="42" spans="1:21" x14ac:dyDescent="0.2">
      <c r="A42" s="42" t="str">
        <f>'Rate Class Energy Model'!N2</f>
        <v xml:space="preserve">Unmetered Scattered Loads </v>
      </c>
      <c r="M42" s="6"/>
    </row>
    <row r="43" spans="1:21" x14ac:dyDescent="0.2">
      <c r="A43" t="s">
        <v>69</v>
      </c>
      <c r="B43" s="6">
        <f>'Rate Class Customer Model'!H3</f>
        <v>225.25</v>
      </c>
      <c r="C43" s="6">
        <f>'Rate Class Customer Model'!H4</f>
        <v>228.58333333333334</v>
      </c>
      <c r="D43" s="6">
        <f>'Rate Class Customer Model'!H5</f>
        <v>232.41666666666666</v>
      </c>
      <c r="E43" s="6">
        <f>'Rate Class Customer Model'!H6</f>
        <v>234</v>
      </c>
      <c r="F43" s="6">
        <f>'Rate Class Customer Model'!H7</f>
        <v>232.58333333333334</v>
      </c>
      <c r="G43" s="6">
        <f>'Rate Class Customer Model'!H8</f>
        <v>231.66666666666666</v>
      </c>
      <c r="H43" s="6">
        <f>'Rate Class Customer Model'!H9</f>
        <v>232</v>
      </c>
      <c r="I43" s="6">
        <f>'Rate Class Customer Model'!H10</f>
        <v>230.5</v>
      </c>
      <c r="J43" s="6">
        <f>'Rate Class Customer Model'!H11</f>
        <v>227.25</v>
      </c>
      <c r="K43" s="6">
        <f>'Rate Class Customer Model'!H12</f>
        <v>226.32291666666671</v>
      </c>
      <c r="L43" s="27">
        <f>'Rate Class Customer Model'!H13</f>
        <v>220.70008680555566</v>
      </c>
      <c r="M43" s="6">
        <f>'Rate Class Customer Model'!H14</f>
        <v>235.5</v>
      </c>
      <c r="N43" s="6">
        <f>'Rate Class Customer Model'!H15</f>
        <v>259.33333333333331</v>
      </c>
      <c r="O43" s="6">
        <f>'Rate Class Customer Model'!H16</f>
        <v>256.66666666666669</v>
      </c>
      <c r="P43" s="6">
        <f>'Rate Class Customer Model'!H17</f>
        <v>261.33333333333331</v>
      </c>
      <c r="Q43" s="6">
        <f>'Rate Class Customer Model'!H18</f>
        <v>261.33333333333331</v>
      </c>
    </row>
    <row r="44" spans="1:21" x14ac:dyDescent="0.2">
      <c r="A44" t="s">
        <v>48</v>
      </c>
      <c r="B44" s="6">
        <f>'Rate Class Energy Model'!N6</f>
        <v>1013836.09</v>
      </c>
      <c r="C44" s="6">
        <f>'Rate Class Energy Model'!N7</f>
        <v>1222622.06</v>
      </c>
      <c r="D44" s="6">
        <f>'Rate Class Energy Model'!N8</f>
        <v>1196222.5299999998</v>
      </c>
      <c r="E44" s="6">
        <f>'Rate Class Energy Model'!N9</f>
        <v>1199588.1900000002</v>
      </c>
      <c r="F44" s="6">
        <f>'Rate Class Energy Model'!N10</f>
        <v>1206597.6399999999</v>
      </c>
      <c r="G44" s="6">
        <f>'Rate Class Energy Model'!N11</f>
        <v>1144162.8699999999</v>
      </c>
      <c r="H44" s="6">
        <f>'Rate Class Energy Model'!N12</f>
        <v>1157795.6099999999</v>
      </c>
      <c r="I44" s="6">
        <f>'Rate Class Energy Model'!N13</f>
        <v>1151826.33</v>
      </c>
      <c r="J44" s="6">
        <f>'Rate Class Energy Model'!N14</f>
        <v>1128126.51</v>
      </c>
      <c r="K44" s="6">
        <f>'Rate Class Energy Model'!N15</f>
        <v>1122904</v>
      </c>
      <c r="L44" s="6">
        <f>'Rate Class Energy Model'!N16</f>
        <v>1085389</v>
      </c>
      <c r="M44" s="6">
        <f>'Rate Class Energy Model'!N17</f>
        <v>989250</v>
      </c>
      <c r="N44" s="6">
        <f>'Rate Class Energy Model'!N18</f>
        <v>966945</v>
      </c>
      <c r="O44" s="6">
        <f>'Rate Class Energy Model'!N19</f>
        <v>970041</v>
      </c>
      <c r="P44" s="6">
        <f>'Rate Class Energy Model'!N20</f>
        <v>976708</v>
      </c>
      <c r="Q44" s="6">
        <f>'Rate Class Energy Model'!N69</f>
        <v>963824.80996160558</v>
      </c>
    </row>
    <row r="46" spans="1:21" x14ac:dyDescent="0.2">
      <c r="A46" s="42" t="s">
        <v>70</v>
      </c>
      <c r="B46" s="6"/>
      <c r="C46" s="6"/>
      <c r="D46" s="6"/>
      <c r="E46" s="6"/>
      <c r="F46" s="6"/>
      <c r="H46" s="6"/>
      <c r="I46" s="6"/>
      <c r="J46" s="6"/>
      <c r="K46" s="6"/>
      <c r="L46" s="27"/>
    </row>
    <row r="47" spans="1:21" x14ac:dyDescent="0.2">
      <c r="A47" t="s">
        <v>57</v>
      </c>
      <c r="B47" s="6">
        <f>SUM(B15+B19+B23+B28+B33+B38+B43)</f>
        <v>27500.25</v>
      </c>
      <c r="C47" s="6">
        <f t="shared" ref="C47:N47" si="2">SUM(C15+C19+C23+C28+C33+C38+C43)</f>
        <v>27664.833333333328</v>
      </c>
      <c r="D47" s="6">
        <f t="shared" si="2"/>
        <v>27854.25</v>
      </c>
      <c r="E47" s="6">
        <f t="shared" si="2"/>
        <v>28151.25</v>
      </c>
      <c r="F47" s="6">
        <f t="shared" si="2"/>
        <v>28317.083333333332</v>
      </c>
      <c r="G47" s="6">
        <f t="shared" si="2"/>
        <v>28395.666666666672</v>
      </c>
      <c r="H47" s="6">
        <f t="shared" si="2"/>
        <v>28583.083333333332</v>
      </c>
      <c r="I47" s="6">
        <f t="shared" si="2"/>
        <v>28760.083333333336</v>
      </c>
      <c r="J47" s="6">
        <f t="shared" si="2"/>
        <v>28942.75</v>
      </c>
      <c r="K47" s="6">
        <f t="shared" si="2"/>
        <v>29207.052083333339</v>
      </c>
      <c r="L47" s="6">
        <f t="shared" si="2"/>
        <v>29579.62919560185</v>
      </c>
      <c r="M47" s="6">
        <f t="shared" si="2"/>
        <v>29732.583333333336</v>
      </c>
      <c r="N47" s="6">
        <f t="shared" si="2"/>
        <v>29944.25</v>
      </c>
      <c r="O47" s="6">
        <f t="shared" ref="O47:Q47" si="3">SUM(O15+O19+O23+O28+O33+O38+O43)</f>
        <v>30128.749999999996</v>
      </c>
      <c r="P47" s="6">
        <f t="shared" si="3"/>
        <v>30347.166666666664</v>
      </c>
      <c r="Q47" s="6">
        <f t="shared" si="3"/>
        <v>30582.788819384663</v>
      </c>
    </row>
    <row r="48" spans="1:21" x14ac:dyDescent="0.2">
      <c r="A48" t="s">
        <v>48</v>
      </c>
      <c r="B48" s="6">
        <f>SUM(B16+B20+B24+B29+B34+B39+B44)</f>
        <v>502676915.61999995</v>
      </c>
      <c r="C48" s="6">
        <f t="shared" ref="C48:N48" si="4">SUM(C16+C20+C24+C29+C34+C39+C44)</f>
        <v>477862795.18000001</v>
      </c>
      <c r="D48" s="6">
        <f t="shared" si="4"/>
        <v>484141789.55000001</v>
      </c>
      <c r="E48" s="6">
        <f t="shared" si="4"/>
        <v>501866998.31999999</v>
      </c>
      <c r="F48" s="6">
        <f t="shared" si="4"/>
        <v>476790670.77000004</v>
      </c>
      <c r="G48" s="6">
        <f t="shared" si="4"/>
        <v>468834411.74000007</v>
      </c>
      <c r="H48" s="6">
        <f t="shared" si="4"/>
        <v>467645348.06999999</v>
      </c>
      <c r="I48" s="6">
        <f t="shared" si="4"/>
        <v>397504326.69</v>
      </c>
      <c r="J48" s="6">
        <f t="shared" si="4"/>
        <v>425977886.94999999</v>
      </c>
      <c r="K48" s="6">
        <f t="shared" si="4"/>
        <v>429972781</v>
      </c>
      <c r="L48" s="6">
        <f t="shared" si="4"/>
        <v>405481205.32258064</v>
      </c>
      <c r="M48" s="6">
        <f t="shared" si="4"/>
        <v>399002323</v>
      </c>
      <c r="N48" s="6">
        <f t="shared" si="4"/>
        <v>380885629</v>
      </c>
      <c r="O48" s="6">
        <f t="shared" ref="O48:Q48" si="5">SUM(O16+O20+O24+O29+O34+O39+O44)</f>
        <v>356369056</v>
      </c>
      <c r="P48" s="6">
        <f t="shared" si="5"/>
        <v>363388525</v>
      </c>
      <c r="Q48" s="6">
        <f t="shared" si="5"/>
        <v>362675000</v>
      </c>
    </row>
    <row r="49" spans="1:17" x14ac:dyDescent="0.2">
      <c r="A49" t="s">
        <v>56</v>
      </c>
      <c r="B49" s="6">
        <f>SUM(B25+B30+B35+B40)</f>
        <v>760106.304</v>
      </c>
      <c r="C49" s="6">
        <f t="shared" ref="C49:N49" si="6">SUM(C25+C30+C35+C40)</f>
        <v>758696.21</v>
      </c>
      <c r="D49" s="6">
        <f t="shared" si="6"/>
        <v>722549.29999999993</v>
      </c>
      <c r="E49" s="6">
        <f t="shared" si="6"/>
        <v>727225.94</v>
      </c>
      <c r="F49" s="6">
        <f t="shared" si="6"/>
        <v>743591.31</v>
      </c>
      <c r="G49" s="6">
        <f t="shared" si="6"/>
        <v>705921.80999999994</v>
      </c>
      <c r="H49" s="6">
        <f t="shared" si="6"/>
        <v>705280.48</v>
      </c>
      <c r="I49" s="6">
        <f t="shared" si="6"/>
        <v>602652.16000000003</v>
      </c>
      <c r="J49" s="6">
        <f t="shared" si="6"/>
        <v>616511.38</v>
      </c>
      <c r="K49" s="6">
        <f t="shared" si="6"/>
        <v>603056</v>
      </c>
      <c r="L49" s="6">
        <f t="shared" si="6"/>
        <v>555093</v>
      </c>
      <c r="M49" s="6">
        <f t="shared" si="6"/>
        <v>552775</v>
      </c>
      <c r="N49" s="6">
        <f t="shared" si="6"/>
        <v>470631</v>
      </c>
      <c r="O49" s="6">
        <f t="shared" ref="O49:Q49" si="7">SUM(O25+O30+O35+O40)</f>
        <v>411800</v>
      </c>
      <c r="P49" s="6">
        <f t="shared" si="7"/>
        <v>403150</v>
      </c>
      <c r="Q49" s="6">
        <f t="shared" si="7"/>
        <v>400404.37051541294</v>
      </c>
    </row>
    <row r="51" spans="1:17" x14ac:dyDescent="0.2">
      <c r="A51" s="42" t="s">
        <v>71</v>
      </c>
      <c r="M51" s="6"/>
    </row>
    <row r="52" spans="1:17" x14ac:dyDescent="0.2">
      <c r="A52" t="s">
        <v>57</v>
      </c>
      <c r="B52" s="6">
        <f>'Rate Class Customer Model'!I3</f>
        <v>27500.25</v>
      </c>
      <c r="C52" s="6">
        <f>'Rate Class Customer Model'!I4</f>
        <v>27664.833333333328</v>
      </c>
      <c r="D52" s="6">
        <f>'Rate Class Customer Model'!I5</f>
        <v>27854.25</v>
      </c>
      <c r="E52" s="6">
        <f>'Rate Class Customer Model'!I6</f>
        <v>28151.25</v>
      </c>
      <c r="F52" s="6">
        <f>'Rate Class Customer Model'!I7</f>
        <v>28317.083333333332</v>
      </c>
      <c r="G52" s="6">
        <f>'Rate Class Customer Model'!I8</f>
        <v>28395.666666666672</v>
      </c>
      <c r="H52" s="6">
        <f>'Rate Class Customer Model'!I9</f>
        <v>28583.083333333332</v>
      </c>
      <c r="I52" s="6">
        <f>'Rate Class Customer Model'!I10</f>
        <v>28760.083333333336</v>
      </c>
      <c r="J52" s="6">
        <f>'Rate Class Customer Model'!I11</f>
        <v>28942.75</v>
      </c>
      <c r="K52" s="6">
        <f>'Rate Class Customer Model'!I12</f>
        <v>29207.052083333339</v>
      </c>
      <c r="L52" s="6">
        <f>'Rate Class Customer Model'!I13</f>
        <v>29579.62919560185</v>
      </c>
      <c r="M52" s="6">
        <f>'Rate Class Customer Model'!I14</f>
        <v>29732.583333333336</v>
      </c>
      <c r="N52" s="6">
        <f>'Rate Class Customer Model'!I15</f>
        <v>29944.25</v>
      </c>
      <c r="O52" s="6">
        <f>'Rate Class Customer Model'!I16</f>
        <v>30128.749999999996</v>
      </c>
      <c r="P52" s="6">
        <f>'Rate Class Customer Model'!I17</f>
        <v>30347.166666666664</v>
      </c>
      <c r="Q52" s="6">
        <f>'Rate Class Customer Model'!I18</f>
        <v>30582.788819384663</v>
      </c>
    </row>
    <row r="53" spans="1:17" x14ac:dyDescent="0.2">
      <c r="A53" t="s">
        <v>48</v>
      </c>
      <c r="B53" s="6">
        <f>'Rate Class Energy Model'!G6</f>
        <v>502676915.61999995</v>
      </c>
      <c r="C53" s="6">
        <f>'Rate Class Energy Model'!G7</f>
        <v>477862795.18000001</v>
      </c>
      <c r="D53" s="6">
        <f>'Rate Class Energy Model'!G8</f>
        <v>484141789.55000001</v>
      </c>
      <c r="E53" s="6">
        <f>'Rate Class Energy Model'!G9</f>
        <v>501866998.31999999</v>
      </c>
      <c r="F53" s="6">
        <f>'Rate Class Energy Model'!G10</f>
        <v>476790670.77000004</v>
      </c>
      <c r="G53" s="6">
        <f>'Rate Class Energy Model'!G11</f>
        <v>468834411.74000007</v>
      </c>
      <c r="H53" s="6">
        <f>'Rate Class Energy Model'!G12</f>
        <v>467645348.06999999</v>
      </c>
      <c r="I53" s="6">
        <f>'Rate Class Energy Model'!G13</f>
        <v>397504326.69</v>
      </c>
      <c r="J53" s="6">
        <f>'Rate Class Energy Model'!G14</f>
        <v>425977886.94999999</v>
      </c>
      <c r="K53" s="6">
        <f>'Rate Class Energy Model'!G15</f>
        <v>429972781</v>
      </c>
      <c r="L53" s="6">
        <f>'Rate Class Energy Model'!G16</f>
        <v>405481205.32258064</v>
      </c>
      <c r="M53" s="6">
        <f>'Rate Class Energy Model'!G17</f>
        <v>399002323</v>
      </c>
      <c r="N53" s="6">
        <f>'Rate Class Energy Model'!G18</f>
        <v>380885629</v>
      </c>
      <c r="O53" s="6">
        <f>'Rate Class Energy Model'!G19</f>
        <v>356369056</v>
      </c>
      <c r="P53" s="6">
        <f>'Rate Class Energy Model'!G20</f>
        <v>363388525</v>
      </c>
      <c r="Q53" s="6">
        <f>'Rate Class Energy Model'!O69</f>
        <v>362675000</v>
      </c>
    </row>
    <row r="54" spans="1:17" x14ac:dyDescent="0.2">
      <c r="A54" t="s">
        <v>56</v>
      </c>
      <c r="B54" s="6">
        <f>'Rate Class Load Model'!F2</f>
        <v>760106.304</v>
      </c>
      <c r="C54" s="6">
        <f>'Rate Class Load Model'!F3</f>
        <v>758696.21</v>
      </c>
      <c r="D54" s="6">
        <f>'Rate Class Load Model'!F4</f>
        <v>722549.29999999993</v>
      </c>
      <c r="E54" s="6">
        <f>'Rate Class Load Model'!F5</f>
        <v>727225.94</v>
      </c>
      <c r="F54" s="6">
        <f>'Rate Class Load Model'!F6</f>
        <v>743591.31</v>
      </c>
      <c r="G54" s="6">
        <f>'Rate Class Load Model'!F7</f>
        <v>705921.80999999994</v>
      </c>
      <c r="H54" s="6">
        <f>'Rate Class Load Model'!F8</f>
        <v>705280.48</v>
      </c>
      <c r="I54" s="6">
        <f>'Rate Class Load Model'!F9</f>
        <v>602652.16000000003</v>
      </c>
      <c r="J54" s="27">
        <f>'Rate Class Load Model'!F10</f>
        <v>616511.38</v>
      </c>
      <c r="K54" s="27">
        <f>'Rate Class Load Model'!F11</f>
        <v>603056</v>
      </c>
      <c r="L54" s="27">
        <f>'Rate Class Load Model'!F12</f>
        <v>555093</v>
      </c>
      <c r="M54" s="27">
        <f>'Rate Class Load Model'!F13</f>
        <v>552775</v>
      </c>
      <c r="N54" s="27">
        <f>'Rate Class Load Model'!F14</f>
        <v>470631</v>
      </c>
      <c r="O54" s="27">
        <f>'Rate Class Load Model'!F15</f>
        <v>411800</v>
      </c>
      <c r="P54" s="27">
        <f>'Rate Class Load Model'!F16</f>
        <v>403150</v>
      </c>
      <c r="Q54" s="27">
        <f>'Rate Class Load Model'!F17</f>
        <v>400404.37051541294</v>
      </c>
    </row>
    <row r="56" spans="1:17" x14ac:dyDescent="0.2">
      <c r="A56" s="42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7" x14ac:dyDescent="0.2">
      <c r="A57" t="s">
        <v>57</v>
      </c>
      <c r="B57" s="6">
        <f t="shared" ref="B57:B59" si="8">B47-B52</f>
        <v>0</v>
      </c>
      <c r="C57" s="6">
        <f t="shared" ref="C57:N57" si="9">C47-C52</f>
        <v>0</v>
      </c>
      <c r="D57" s="6">
        <f t="shared" si="9"/>
        <v>0</v>
      </c>
      <c r="E57" s="6">
        <f t="shared" si="9"/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si="9"/>
        <v>0</v>
      </c>
      <c r="J57" s="6">
        <f t="shared" si="9"/>
        <v>0</v>
      </c>
      <c r="K57" s="6">
        <f t="shared" si="9"/>
        <v>0</v>
      </c>
      <c r="L57" s="6">
        <f t="shared" si="9"/>
        <v>0</v>
      </c>
      <c r="M57" s="6">
        <f t="shared" si="9"/>
        <v>0</v>
      </c>
      <c r="N57" s="6">
        <f t="shared" si="9"/>
        <v>0</v>
      </c>
      <c r="O57" s="6">
        <f t="shared" ref="O57:Q57" si="10">O47-O52</f>
        <v>0</v>
      </c>
      <c r="P57" s="6">
        <f t="shared" si="10"/>
        <v>0</v>
      </c>
      <c r="Q57" s="6">
        <f t="shared" si="10"/>
        <v>0</v>
      </c>
    </row>
    <row r="58" spans="1:17" x14ac:dyDescent="0.2">
      <c r="A58" t="s">
        <v>48</v>
      </c>
      <c r="B58" s="6">
        <f t="shared" si="8"/>
        <v>0</v>
      </c>
      <c r="C58" s="6">
        <f t="shared" ref="C58:N58" si="11">C48-C53</f>
        <v>0</v>
      </c>
      <c r="D58" s="6">
        <f t="shared" si="11"/>
        <v>0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 t="shared" si="11"/>
        <v>0</v>
      </c>
      <c r="J58" s="6">
        <f t="shared" si="11"/>
        <v>0</v>
      </c>
      <c r="K58" s="6">
        <f t="shared" si="11"/>
        <v>0</v>
      </c>
      <c r="L58" s="6">
        <f t="shared" si="11"/>
        <v>0</v>
      </c>
      <c r="M58" s="6">
        <f t="shared" si="11"/>
        <v>0</v>
      </c>
      <c r="N58" s="6">
        <f t="shared" si="11"/>
        <v>0</v>
      </c>
      <c r="O58" s="6">
        <f t="shared" ref="O58:Q58" si="12">O48-O53</f>
        <v>0</v>
      </c>
      <c r="P58" s="6">
        <f t="shared" si="12"/>
        <v>0</v>
      </c>
      <c r="Q58" s="6">
        <f t="shared" si="12"/>
        <v>0</v>
      </c>
    </row>
    <row r="59" spans="1:17" x14ac:dyDescent="0.2">
      <c r="A59" t="s">
        <v>56</v>
      </c>
      <c r="B59" s="6">
        <f t="shared" si="8"/>
        <v>0</v>
      </c>
      <c r="C59" s="6">
        <f t="shared" ref="C59:N59" si="13">C49-C54</f>
        <v>0</v>
      </c>
      <c r="D59" s="6">
        <f t="shared" si="13"/>
        <v>0</v>
      </c>
      <c r="E59" s="6">
        <f t="shared" si="13"/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6">
        <f t="shared" si="13"/>
        <v>0</v>
      </c>
      <c r="K59" s="6">
        <f t="shared" si="13"/>
        <v>0</v>
      </c>
      <c r="L59" s="6">
        <f t="shared" si="13"/>
        <v>0</v>
      </c>
      <c r="M59" s="6">
        <f t="shared" si="13"/>
        <v>0</v>
      </c>
      <c r="N59" s="6">
        <f t="shared" si="13"/>
        <v>0</v>
      </c>
      <c r="O59" s="6">
        <f t="shared" ref="O59:Q59" si="14">O49-O54</f>
        <v>0</v>
      </c>
      <c r="P59" s="6">
        <f t="shared" si="14"/>
        <v>0</v>
      </c>
      <c r="Q59" s="6">
        <f t="shared" si="14"/>
        <v>0</v>
      </c>
    </row>
    <row r="62" spans="1:17" s="94" customFormat="1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</row>
    <row r="63" spans="1:17" s="94" customFormat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7"/>
      <c r="M63" s="96"/>
    </row>
    <row r="64" spans="1:17" s="94" customFormat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7"/>
      <c r="M64" s="96"/>
    </row>
  </sheetData>
  <phoneticPr fontId="0" type="noConversion"/>
  <pageMargins left="0.38" right="0.75" top="0.73" bottom="0.74" header="0.5" footer="0.5"/>
  <pageSetup scale="6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Z247"/>
  <sheetViews>
    <sheetView topLeftCell="A199" workbookViewId="0">
      <selection activeCell="O217" sqref="O217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23" customWidth="1"/>
    <col min="4" max="4" width="13.42578125" style="23" customWidth="1"/>
    <col min="5" max="5" width="10.140625" style="23" customWidth="1"/>
    <col min="6" max="8" width="12.42578125" style="23" customWidth="1"/>
    <col min="9" max="9" width="14.42578125" style="35" hidden="1" customWidth="1"/>
    <col min="10" max="10" width="12.42578125" style="23" hidden="1" customWidth="1"/>
    <col min="11" max="11" width="15.42578125" style="23" bestFit="1" customWidth="1"/>
    <col min="12" max="12" width="17" style="1" customWidth="1"/>
    <col min="13" max="13" width="12.42578125" style="1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5" t="s">
        <v>100</v>
      </c>
      <c r="J1" s="305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 s="12" t="s">
        <v>255</v>
      </c>
      <c r="N2" t="s">
        <v>19</v>
      </c>
    </row>
    <row r="3" spans="1:19" ht="13.5" thickBot="1" x14ac:dyDescent="0.25">
      <c r="A3" s="105">
        <v>37275</v>
      </c>
      <c r="B3" s="106">
        <f>'[14]Data Input'!B5</f>
        <v>46293277</v>
      </c>
      <c r="C3" s="17">
        <f>'Historical HDD &amp; CDD'!C150</f>
        <v>558.79999999999984</v>
      </c>
      <c r="D3" s="107">
        <f>'Historical HDD &amp; CDD'!D150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'[14]Data Input'!AJ5</f>
        <v>20461</v>
      </c>
      <c r="K3" s="17">
        <f>$O$18+$O$19*C3+$O$20*D3+$O$21*E3+$O$22*F3+$O$23*G3+H3*$O$24</f>
        <v>43415866.859274745</v>
      </c>
      <c r="L3" s="238">
        <f>K3-B3</f>
        <v>-2877410.140725255</v>
      </c>
      <c r="M3" s="239">
        <f>ABS(L3/B3)</f>
        <v>6.2156112662433795E-2</v>
      </c>
    </row>
    <row r="4" spans="1:19" x14ac:dyDescent="0.2">
      <c r="A4" s="32">
        <v>37308</v>
      </c>
      <c r="B4" s="106">
        <f>'[14]Data Input'!B6</f>
        <v>41843002</v>
      </c>
      <c r="C4" s="17">
        <f>'Historical HDD &amp; CDD'!C151</f>
        <v>518.9</v>
      </c>
      <c r="D4" s="107">
        <f>'Historical HDD &amp; CDD'!D151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'[14]Data Input'!AJ6</f>
        <v>20122</v>
      </c>
      <c r="K4" s="17">
        <f t="shared" ref="K4:K67" si="0">$O$18+$O$19*C4+$O$20*D4+$O$21*E4+$O$22*F4+$O$23*G4+H4*$O$24</f>
        <v>40090306.702346101</v>
      </c>
      <c r="L4" s="238">
        <f t="shared" ref="L4:L5" si="1">K4-B4</f>
        <v>-1752695.2976538986</v>
      </c>
      <c r="M4" s="239">
        <f t="shared" ref="M4:M5" si="2">ABS(L4/B4)</f>
        <v>4.1887417581890962E-2</v>
      </c>
      <c r="N4" s="55" t="s">
        <v>20</v>
      </c>
      <c r="O4" s="55"/>
    </row>
    <row r="5" spans="1:19" x14ac:dyDescent="0.2">
      <c r="A5" s="32">
        <v>37341</v>
      </c>
      <c r="B5" s="106">
        <f>'[14]Data Input'!B7</f>
        <v>44412572</v>
      </c>
      <c r="C5" s="17">
        <f>'Historical HDD &amp; CDD'!C152</f>
        <v>512.29999999999995</v>
      </c>
      <c r="D5" s="107">
        <f>'Historical HDD &amp; CDD'!D152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'[14]Data Input'!AJ7</f>
        <v>20174</v>
      </c>
      <c r="K5" s="17">
        <f t="shared" si="0"/>
        <v>41306942.970137753</v>
      </c>
      <c r="L5" s="238">
        <f t="shared" si="1"/>
        <v>-3105629.0298622474</v>
      </c>
      <c r="M5" s="239">
        <f t="shared" si="2"/>
        <v>6.9926799777825233E-2</v>
      </c>
      <c r="N5" s="36" t="s">
        <v>21</v>
      </c>
      <c r="O5" s="87">
        <v>0.95127012089895857</v>
      </c>
    </row>
    <row r="6" spans="1:19" x14ac:dyDescent="0.2">
      <c r="A6" s="32">
        <v>37374</v>
      </c>
      <c r="B6" s="106">
        <f>'[14]Data Input'!B8</f>
        <v>42581129</v>
      </c>
      <c r="C6" s="17">
        <f>'Historical HDD &amp; CDD'!C153</f>
        <v>306.79999999999995</v>
      </c>
      <c r="D6" s="107">
        <f>'Historical HDD &amp; CDD'!D153</f>
        <v>5.0999999999999996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'[14]Data Input'!AJ8</f>
        <v>20139</v>
      </c>
      <c r="K6" s="17">
        <f t="shared" si="0"/>
        <v>39627704.561727874</v>
      </c>
      <c r="L6" s="238">
        <f t="shared" ref="L6:L69" si="3">K6-B6</f>
        <v>-2953424.438272126</v>
      </c>
      <c r="M6" s="239">
        <f t="shared" ref="M6:M69" si="4">ABS(L6/B6)</f>
        <v>6.9359937315709178E-2</v>
      </c>
      <c r="N6" s="36" t="s">
        <v>22</v>
      </c>
      <c r="O6" s="87">
        <v>0.90491484291511926</v>
      </c>
    </row>
    <row r="7" spans="1:19" x14ac:dyDescent="0.2">
      <c r="A7" s="32">
        <v>37407</v>
      </c>
      <c r="B7" s="106">
        <f>'[14]Data Input'!B9</f>
        <v>40099130</v>
      </c>
      <c r="C7" s="17">
        <f>'Historical HDD &amp; CDD'!C154</f>
        <v>220.39999999999998</v>
      </c>
      <c r="D7" s="107">
        <f>'Historical HDD &amp; CDD'!D154</f>
        <v>8.8000000000000007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'[14]Data Input'!AJ9</f>
        <v>20074</v>
      </c>
      <c r="K7" s="17">
        <f t="shared" si="0"/>
        <v>39710626.140262917</v>
      </c>
      <c r="L7" s="238">
        <f t="shared" si="3"/>
        <v>-388503.85973708332</v>
      </c>
      <c r="M7" s="239">
        <f t="shared" si="4"/>
        <v>9.688585755777827E-3</v>
      </c>
      <c r="N7" s="36" t="s">
        <v>23</v>
      </c>
      <c r="O7" s="87">
        <v>0.90161709180234872</v>
      </c>
    </row>
    <row r="8" spans="1:19" x14ac:dyDescent="0.2">
      <c r="A8" s="32">
        <v>37408</v>
      </c>
      <c r="B8" s="106">
        <f>'[14]Data Input'!B10</f>
        <v>42830520</v>
      </c>
      <c r="C8" s="17">
        <f>'Historical HDD &amp; CDD'!C155</f>
        <v>26.999999999999996</v>
      </c>
      <c r="D8" s="107">
        <f>'Historical HDD &amp; CDD'!D155</f>
        <v>74.699999999999989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'[14]Data Input'!AJ10</f>
        <v>19924</v>
      </c>
      <c r="K8" s="17">
        <f t="shared" si="0"/>
        <v>42418774.774996117</v>
      </c>
      <c r="L8" s="238">
        <f t="shared" si="3"/>
        <v>-411745.22500388324</v>
      </c>
      <c r="M8" s="239">
        <f t="shared" si="4"/>
        <v>9.6133604029062271E-3</v>
      </c>
      <c r="N8" s="36" t="s">
        <v>24</v>
      </c>
      <c r="O8" s="92">
        <v>1643543.3023847949</v>
      </c>
    </row>
    <row r="9" spans="1:19" ht="13.5" thickBot="1" x14ac:dyDescent="0.25">
      <c r="A9" s="32">
        <v>37440</v>
      </c>
      <c r="B9" s="106">
        <f>'[14]Data Input'!B11</f>
        <v>50209650</v>
      </c>
      <c r="C9" s="17">
        <f>'Historical HDD &amp; CDD'!C156</f>
        <v>0.7</v>
      </c>
      <c r="D9" s="107">
        <f>'Historical HDD &amp; CDD'!D156</f>
        <v>169.20000000000002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'[14]Data Input'!AJ11</f>
        <v>19945</v>
      </c>
      <c r="K9" s="17">
        <f t="shared" si="0"/>
        <v>51448501.256662056</v>
      </c>
      <c r="L9" s="238">
        <f t="shared" si="3"/>
        <v>1238851.2566620559</v>
      </c>
      <c r="M9" s="239">
        <f t="shared" si="4"/>
        <v>2.4673568859015265E-2</v>
      </c>
      <c r="N9" s="53" t="s">
        <v>25</v>
      </c>
      <c r="O9" s="53">
        <v>180</v>
      </c>
    </row>
    <row r="10" spans="1:19" x14ac:dyDescent="0.2">
      <c r="A10" s="32">
        <v>37473</v>
      </c>
      <c r="B10" s="106">
        <f>'[14]Data Input'!B12</f>
        <v>49113260</v>
      </c>
      <c r="C10" s="17">
        <f>'Historical HDD &amp; CDD'!C157</f>
        <v>0.5</v>
      </c>
      <c r="D10" s="107">
        <f>'Historical HDD &amp; CDD'!D157</f>
        <v>141.59999999999997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'[14]Data Input'!AJ12</f>
        <v>20011</v>
      </c>
      <c r="K10" s="17">
        <f t="shared" si="0"/>
        <v>48779095.204509594</v>
      </c>
      <c r="L10" s="238">
        <f t="shared" si="3"/>
        <v>-334164.79549040645</v>
      </c>
      <c r="M10" s="239">
        <f t="shared" si="4"/>
        <v>6.8039628298021031E-3</v>
      </c>
    </row>
    <row r="11" spans="1:19" ht="13.5" thickBot="1" x14ac:dyDescent="0.25">
      <c r="A11" s="32">
        <v>37506</v>
      </c>
      <c r="B11" s="106">
        <f>'[14]Data Input'!B13</f>
        <v>43203390</v>
      </c>
      <c r="C11" s="17">
        <f>'Historical HDD &amp; CDD'!C158</f>
        <v>21.3</v>
      </c>
      <c r="D11" s="107">
        <f>'Historical HDD &amp; CDD'!D158</f>
        <v>77.299999999999983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'[14]Data Input'!AJ13</f>
        <v>20036</v>
      </c>
      <c r="K11" s="17">
        <f t="shared" si="0"/>
        <v>41750075.761103511</v>
      </c>
      <c r="L11" s="238">
        <f t="shared" si="3"/>
        <v>-1453314.2388964891</v>
      </c>
      <c r="M11" s="239">
        <f t="shared" si="4"/>
        <v>3.3638893589056071E-2</v>
      </c>
      <c r="N11" t="s">
        <v>26</v>
      </c>
    </row>
    <row r="12" spans="1:19" x14ac:dyDescent="0.2">
      <c r="A12" s="32">
        <v>37539</v>
      </c>
      <c r="B12" s="106">
        <f>'[14]Data Input'!B14</f>
        <v>39840800</v>
      </c>
      <c r="C12" s="17">
        <f>'Historical HDD &amp; CDD'!C159</f>
        <v>259.89999999999998</v>
      </c>
      <c r="D12" s="107">
        <f>'Historical HDD &amp; CDD'!D159</f>
        <v>11.600000000000001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'[14]Data Input'!AJ14</f>
        <v>20008</v>
      </c>
      <c r="K12" s="17">
        <f t="shared" si="0"/>
        <v>40363435.690251157</v>
      </c>
      <c r="L12" s="238">
        <f t="shared" si="3"/>
        <v>522635.69025115669</v>
      </c>
      <c r="M12" s="239">
        <f t="shared" si="4"/>
        <v>1.3118102303446635E-2</v>
      </c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'[14]Data Input'!B15</f>
        <v>40267910</v>
      </c>
      <c r="C13" s="17">
        <f>'Historical HDD &amp; CDD'!C160</f>
        <v>412.89999999999992</v>
      </c>
      <c r="D13" s="107">
        <f>'Historical HDD &amp; CDD'!D160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'[14]Data Input'!AJ15</f>
        <v>20099</v>
      </c>
      <c r="K13" s="17">
        <f t="shared" si="0"/>
        <v>39946758.727692291</v>
      </c>
      <c r="L13" s="238">
        <f t="shared" si="3"/>
        <v>-321151.27230770886</v>
      </c>
      <c r="M13" s="239">
        <f t="shared" si="4"/>
        <v>7.9753648080496068E-3</v>
      </c>
      <c r="N13" s="36" t="s">
        <v>27</v>
      </c>
      <c r="O13" s="36">
        <v>6</v>
      </c>
      <c r="P13" s="36">
        <v>4447371293129663.5</v>
      </c>
      <c r="Q13" s="36">
        <v>741228548854943.87</v>
      </c>
      <c r="R13" s="36">
        <v>274.40361991263279</v>
      </c>
      <c r="S13" s="36">
        <v>1.285081878415126E-85</v>
      </c>
    </row>
    <row r="14" spans="1:19" x14ac:dyDescent="0.2">
      <c r="A14" s="32">
        <v>37605</v>
      </c>
      <c r="B14" s="106">
        <f>'[14]Data Input'!B16</f>
        <v>41966900</v>
      </c>
      <c r="C14" s="17">
        <f>'Historical HDD &amp; CDD'!C161</f>
        <v>610.90000000000009</v>
      </c>
      <c r="D14" s="107">
        <f>'Historical HDD &amp; CDD'!D161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'[14]Data Input'!AJ16</f>
        <v>20186</v>
      </c>
      <c r="K14" s="17">
        <f t="shared" si="0"/>
        <v>43181557.150506832</v>
      </c>
      <c r="L14" s="238">
        <f t="shared" si="3"/>
        <v>1214657.1505068317</v>
      </c>
      <c r="M14" s="239">
        <f t="shared" si="4"/>
        <v>2.8943218357963818E-2</v>
      </c>
      <c r="N14" s="36" t="s">
        <v>28</v>
      </c>
      <c r="O14" s="36">
        <v>173</v>
      </c>
      <c r="P14" s="36">
        <v>467313583518807.69</v>
      </c>
      <c r="Q14" s="36">
        <v>2701234586813.9175</v>
      </c>
      <c r="R14" s="36"/>
      <c r="S14" s="36"/>
    </row>
    <row r="15" spans="1:19" ht="13.5" thickBot="1" x14ac:dyDescent="0.25">
      <c r="A15" s="32">
        <v>37622</v>
      </c>
      <c r="B15" s="106">
        <f>'[14]Data Input'!B19</f>
        <v>45793920</v>
      </c>
      <c r="C15" s="17">
        <f>'Historical HDD &amp; CDD'!C162</f>
        <v>781.49999999999977</v>
      </c>
      <c r="D15" s="107">
        <f>'Historical HDD &amp; CDD'!D162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'[14]Data Input'!AJ19</f>
        <v>20303</v>
      </c>
      <c r="K15" s="17">
        <f t="shared" si="0"/>
        <v>45791490.513028309</v>
      </c>
      <c r="L15" s="238">
        <f t="shared" si="3"/>
        <v>-2429.4869716912508</v>
      </c>
      <c r="M15" s="239">
        <f t="shared" si="4"/>
        <v>5.3052609859371085E-5</v>
      </c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'[14]Data Input'!B20</f>
        <v>41797690</v>
      </c>
      <c r="C16" s="17">
        <f>'Historical HDD &amp; CDD'!C163</f>
        <v>681.19999999999993</v>
      </c>
      <c r="D16" s="107">
        <f>'Historical HDD &amp; CDD'!D163</f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'[14]Data Input'!AJ20</f>
        <v>20308</v>
      </c>
      <c r="K16" s="17">
        <f t="shared" si="0"/>
        <v>41821621.111884505</v>
      </c>
      <c r="L16" s="238">
        <f t="shared" si="3"/>
        <v>23931.111884504557</v>
      </c>
      <c r="M16" s="239">
        <f t="shared" si="4"/>
        <v>5.7254627910070051E-4</v>
      </c>
    </row>
    <row r="17" spans="1:20" ht="15" customHeight="1" x14ac:dyDescent="0.2">
      <c r="A17" s="32">
        <v>37681</v>
      </c>
      <c r="B17" s="106">
        <f>'[14]Data Input'!B21</f>
        <v>43041020</v>
      </c>
      <c r="C17" s="17">
        <f>'Historical HDD &amp; CDD'!C164</f>
        <v>529.79999999999995</v>
      </c>
      <c r="D17" s="107">
        <f>'Historical HDD &amp; CDD'!D164</f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'[14]Data Input'!AJ21</f>
        <v>20266</v>
      </c>
      <c r="K17" s="17">
        <f t="shared" si="0"/>
        <v>41897848.831450745</v>
      </c>
      <c r="L17" s="238">
        <f t="shared" si="3"/>
        <v>-1143171.1685492545</v>
      </c>
      <c r="M17" s="239">
        <f t="shared" si="4"/>
        <v>2.6560038970945728E-2</v>
      </c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'[14]Data Input'!B22</f>
        <v>39112340</v>
      </c>
      <c r="C18" s="17">
        <f>'Historical HDD &amp; CDD'!C165</f>
        <v>360.39999999999992</v>
      </c>
      <c r="D18" s="107">
        <f>'Historical HDD &amp; CDD'!D165</f>
        <v>0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'[14]Data Input'!AJ22</f>
        <v>20218</v>
      </c>
      <c r="K18" s="17">
        <f t="shared" si="0"/>
        <v>39386721.719061568</v>
      </c>
      <c r="L18" s="238">
        <f t="shared" si="3"/>
        <v>274381.71906156838</v>
      </c>
      <c r="M18" s="239">
        <f t="shared" si="4"/>
        <v>7.0152212591107661E-3</v>
      </c>
      <c r="N18" s="36" t="s">
        <v>29</v>
      </c>
      <c r="O18" s="92">
        <v>6974504.7522088084</v>
      </c>
      <c r="P18" s="92">
        <v>4833235.0452816701</v>
      </c>
      <c r="Q18" s="88">
        <v>1.4430303278996335</v>
      </c>
      <c r="R18" s="36">
        <v>0.15082013353689511</v>
      </c>
      <c r="S18" s="92">
        <v>-2565196.0446084253</v>
      </c>
      <c r="T18" s="92">
        <v>16514205.549026042</v>
      </c>
    </row>
    <row r="19" spans="1:20" x14ac:dyDescent="0.2">
      <c r="A19" s="32">
        <v>37742</v>
      </c>
      <c r="B19" s="106">
        <f>'[14]Data Input'!B23</f>
        <v>37768340</v>
      </c>
      <c r="C19" s="17">
        <f>'Historical HDD &amp; CDD'!C166</f>
        <v>149.20000000000002</v>
      </c>
      <c r="D19" s="107">
        <f>'Historical HDD &amp; CDD'!D166</f>
        <v>0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'[14]Data Input'!AJ23</f>
        <v>20233</v>
      </c>
      <c r="K19" s="17">
        <f t="shared" si="0"/>
        <v>37837847.203167826</v>
      </c>
      <c r="L19" s="238">
        <f t="shared" si="3"/>
        <v>69507.203167825937</v>
      </c>
      <c r="M19" s="239">
        <f t="shared" si="4"/>
        <v>1.8403563187533774E-3</v>
      </c>
      <c r="N19" s="36" t="s">
        <v>3</v>
      </c>
      <c r="O19" s="92">
        <v>10667.371592966154</v>
      </c>
      <c r="P19" s="92">
        <v>792.6403717542579</v>
      </c>
      <c r="Q19" s="88">
        <v>13.458022040130649</v>
      </c>
      <c r="R19" s="36">
        <v>1.0355971513027664E-28</v>
      </c>
      <c r="S19" s="92">
        <v>9102.8807467377283</v>
      </c>
      <c r="T19" s="92">
        <v>12231.86243919458</v>
      </c>
    </row>
    <row r="20" spans="1:20" x14ac:dyDescent="0.2">
      <c r="A20" s="32">
        <v>37773</v>
      </c>
      <c r="B20" s="106">
        <f>'[14]Data Input'!B24</f>
        <v>38550110</v>
      </c>
      <c r="C20" s="17">
        <f>'Historical HDD &amp; CDD'!C167</f>
        <v>33.199999999999996</v>
      </c>
      <c r="D20" s="107">
        <f>'Historical HDD &amp; CDD'!D167</f>
        <v>35.6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'[14]Data Input'!AJ24</f>
        <v>20150</v>
      </c>
      <c r="K20" s="17">
        <f t="shared" si="0"/>
        <v>39661869.805700116</v>
      </c>
      <c r="L20" s="238">
        <f t="shared" si="3"/>
        <v>1111759.8057001159</v>
      </c>
      <c r="M20" s="239">
        <f t="shared" si="4"/>
        <v>2.883934198112835E-2</v>
      </c>
      <c r="N20" s="36" t="s">
        <v>4</v>
      </c>
      <c r="O20" s="92">
        <v>82660.132880743055</v>
      </c>
      <c r="P20" s="92">
        <v>5125.662673330814</v>
      </c>
      <c r="Q20" s="88">
        <v>16.126721196622942</v>
      </c>
      <c r="R20" s="36">
        <v>2.6302741986399334E-36</v>
      </c>
      <c r="S20" s="92">
        <v>72543.246813568418</v>
      </c>
      <c r="T20" s="92">
        <v>92777.018947917692</v>
      </c>
    </row>
    <row r="21" spans="1:20" x14ac:dyDescent="0.2">
      <c r="A21" s="32">
        <v>37803</v>
      </c>
      <c r="B21" s="106">
        <f>'[14]Data Input'!B25</f>
        <v>45139630</v>
      </c>
      <c r="C21" s="17">
        <f>'Historical HDD &amp; CDD'!C168</f>
        <v>0.7</v>
      </c>
      <c r="D21" s="107">
        <f>'Historical HDD &amp; CDD'!D168</f>
        <v>105.29999999999997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'[14]Data Input'!AJ25</f>
        <v>20104</v>
      </c>
      <c r="K21" s="17">
        <f t="shared" si="0"/>
        <v>46166518.765582576</v>
      </c>
      <c r="L21" s="238">
        <f t="shared" si="3"/>
        <v>1026888.7655825764</v>
      </c>
      <c r="M21" s="239">
        <f t="shared" si="4"/>
        <v>2.2749162223584384E-2</v>
      </c>
      <c r="N21" s="36" t="s">
        <v>5</v>
      </c>
      <c r="O21" s="92">
        <v>702888.9485335662</v>
      </c>
      <c r="P21" s="92">
        <v>169462.0652162609</v>
      </c>
      <c r="Q21" s="88">
        <v>4.1477657411796951</v>
      </c>
      <c r="R21" s="36">
        <v>5.2534858784958953E-5</v>
      </c>
      <c r="S21" s="92">
        <v>368409.58151994611</v>
      </c>
      <c r="T21" s="92">
        <v>1037368.3155471863</v>
      </c>
    </row>
    <row r="22" spans="1:20" x14ac:dyDescent="0.2">
      <c r="A22" s="32">
        <v>37834</v>
      </c>
      <c r="B22" s="106">
        <f>'[14]Data Input'!B26</f>
        <v>44242730</v>
      </c>
      <c r="C22" s="17">
        <f>'Historical HDD &amp; CDD'!C169</f>
        <v>4.2</v>
      </c>
      <c r="D22" s="107">
        <f>'Historical HDD &amp; CDD'!D169</f>
        <v>127.79999999999997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'[14]Data Input'!AJ26</f>
        <v>20166</v>
      </c>
      <c r="K22" s="17">
        <f t="shared" si="0"/>
        <v>47273627.787213229</v>
      </c>
      <c r="L22" s="238">
        <f t="shared" si="3"/>
        <v>3030897.7872132286</v>
      </c>
      <c r="M22" s="239">
        <f t="shared" si="4"/>
        <v>6.8506120377590365E-2</v>
      </c>
      <c r="N22" s="36" t="s">
        <v>75</v>
      </c>
      <c r="O22" s="118">
        <v>-7.772457580366444</v>
      </c>
      <c r="P22" s="92">
        <v>0.25566684062735995</v>
      </c>
      <c r="Q22" s="88">
        <v>-30.400726043683434</v>
      </c>
      <c r="R22" s="36">
        <v>2.6620137311128256E-71</v>
      </c>
      <c r="S22" s="92">
        <v>-8.2770854621893175</v>
      </c>
      <c r="T22" s="92">
        <v>-7.2678296985435704</v>
      </c>
    </row>
    <row r="23" spans="1:20" x14ac:dyDescent="0.2">
      <c r="A23" s="32">
        <v>37865</v>
      </c>
      <c r="B23" s="106">
        <f>'[14]Data Input'!B27</f>
        <v>39933800</v>
      </c>
      <c r="C23" s="17">
        <f>'Historical HDD &amp; CDD'!C170</f>
        <v>51.1</v>
      </c>
      <c r="D23" s="107">
        <f>'Historical HDD &amp; CDD'!D170</f>
        <v>29.000000000000004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'[14]Data Input'!AJ27</f>
        <v>20176</v>
      </c>
      <c r="K23" s="17">
        <f t="shared" si="0"/>
        <v>38484447.538898692</v>
      </c>
      <c r="L23" s="238">
        <f t="shared" si="3"/>
        <v>-1449352.4611013085</v>
      </c>
      <c r="M23" s="239">
        <f t="shared" si="4"/>
        <v>3.6293877895449682E-2</v>
      </c>
      <c r="N23" s="36" t="s">
        <v>77</v>
      </c>
      <c r="O23" s="92">
        <v>24696.166815499026</v>
      </c>
      <c r="P23" s="92">
        <v>8303.075091651941</v>
      </c>
      <c r="Q23" s="88">
        <v>2.9743398130084349</v>
      </c>
      <c r="R23" s="36">
        <v>3.3558550173136657E-3</v>
      </c>
      <c r="S23" s="92">
        <v>8307.7951915716731</v>
      </c>
      <c r="T23" s="92">
        <v>41084.538439426382</v>
      </c>
    </row>
    <row r="24" spans="1:20" ht="13.5" thickBot="1" x14ac:dyDescent="0.25">
      <c r="A24" s="32">
        <v>37895</v>
      </c>
      <c r="B24" s="106">
        <f>'[14]Data Input'!B28</f>
        <v>39274410</v>
      </c>
      <c r="C24" s="17">
        <f>'Historical HDD &amp; CDD'!C171</f>
        <v>263.59999999999997</v>
      </c>
      <c r="D24" s="107">
        <f>'Historical HDD &amp; CDD'!D171</f>
        <v>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'[14]Data Input'!AJ28</f>
        <v>20165</v>
      </c>
      <c r="K24" s="17">
        <f t="shared" si="0"/>
        <v>39526707.556609258</v>
      </c>
      <c r="L24" s="238">
        <f t="shared" si="3"/>
        <v>252297.55660925806</v>
      </c>
      <c r="M24" s="239">
        <f t="shared" si="4"/>
        <v>6.4239680903992718E-3</v>
      </c>
      <c r="N24" s="53" t="s">
        <v>18</v>
      </c>
      <c r="O24" s="93">
        <v>-822811.34130261524</v>
      </c>
      <c r="P24" s="93">
        <v>325851.78221039666</v>
      </c>
      <c r="Q24" s="89">
        <v>-2.5251092251855192</v>
      </c>
      <c r="R24" s="53">
        <v>1.2465212444375888E-2</v>
      </c>
      <c r="S24" s="93">
        <v>-1465968.2491032123</v>
      </c>
      <c r="T24" s="93">
        <v>-179654.43350201834</v>
      </c>
    </row>
    <row r="25" spans="1:20" x14ac:dyDescent="0.2">
      <c r="A25" s="32">
        <v>37926</v>
      </c>
      <c r="B25" s="106">
        <f>'[14]Data Input'!B29</f>
        <v>39924090</v>
      </c>
      <c r="C25" s="17">
        <f>'Historical HDD &amp; CDD'!C172</f>
        <v>352.09999999999991</v>
      </c>
      <c r="D25" s="107">
        <f>'Historical HDD &amp; CDD'!D172</f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'[14]Data Input'!AJ29</f>
        <v>20235</v>
      </c>
      <c r="K25" s="17">
        <f t="shared" si="0"/>
        <v>38889214.01237528</v>
      </c>
      <c r="L25" s="238">
        <f t="shared" si="3"/>
        <v>-1034875.9876247197</v>
      </c>
      <c r="M25" s="239">
        <f t="shared" si="4"/>
        <v>2.5921091441901863E-2</v>
      </c>
    </row>
    <row r="26" spans="1:20" x14ac:dyDescent="0.2">
      <c r="A26" s="32">
        <v>37956</v>
      </c>
      <c r="B26" s="106">
        <f>'[14]Data Input'!B30</f>
        <v>42535190</v>
      </c>
      <c r="C26" s="17">
        <f>'Historical HDD &amp; CDD'!C173</f>
        <v>531.20000000000005</v>
      </c>
      <c r="D26" s="107">
        <f>'Historical HDD &amp; CDD'!D173</f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'[14]Data Input'!AJ30</f>
        <v>20324</v>
      </c>
      <c r="K26" s="17">
        <f t="shared" si="0"/>
        <v>42735594.49298352</v>
      </c>
      <c r="L26" s="238">
        <f t="shared" si="3"/>
        <v>200404.49298352003</v>
      </c>
      <c r="M26" s="239">
        <f t="shared" si="4"/>
        <v>4.7114987139711857E-3</v>
      </c>
    </row>
    <row r="27" spans="1:20" x14ac:dyDescent="0.2">
      <c r="A27" s="32">
        <v>37987</v>
      </c>
      <c r="B27" s="106">
        <f>'[14]Data Input'!B33</f>
        <v>46623430</v>
      </c>
      <c r="C27" s="17">
        <f>'Historical HDD &amp; CDD'!C174</f>
        <v>805.39999999999986</v>
      </c>
      <c r="D27" s="107">
        <f>'Historical HDD &amp; CDD'!D174</f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'[14]Data Input'!AJ33</f>
        <v>20483</v>
      </c>
      <c r="K27" s="17">
        <f t="shared" si="0"/>
        <v>45660587.783774838</v>
      </c>
      <c r="L27" s="238">
        <f t="shared" si="3"/>
        <v>-962842.21622516215</v>
      </c>
      <c r="M27" s="239">
        <f t="shared" si="4"/>
        <v>2.065146678880473E-2</v>
      </c>
    </row>
    <row r="28" spans="1:20" x14ac:dyDescent="0.2">
      <c r="A28" s="32">
        <v>38018</v>
      </c>
      <c r="B28" s="106">
        <f>'[14]Data Input'!B34</f>
        <v>42059450</v>
      </c>
      <c r="C28" s="17">
        <f>'Historical HDD &amp; CDD'!C175</f>
        <v>616.79999999999995</v>
      </c>
      <c r="D28" s="107">
        <f>'Historical HDD &amp; CDD'!D175</f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'[14]Data Input'!AJ34</f>
        <v>20455</v>
      </c>
      <c r="K28" s="17">
        <f t="shared" si="0"/>
        <v>41844643.825873926</v>
      </c>
      <c r="L28" s="238">
        <f t="shared" si="3"/>
        <v>-214806.17412607372</v>
      </c>
      <c r="M28" s="239">
        <f t="shared" si="4"/>
        <v>5.1072035922027923E-3</v>
      </c>
    </row>
    <row r="29" spans="1:20" x14ac:dyDescent="0.2">
      <c r="A29" s="32">
        <v>38047</v>
      </c>
      <c r="B29" s="106">
        <f>'[14]Data Input'!B35</f>
        <v>44041140</v>
      </c>
      <c r="C29" s="17">
        <f>'Historical HDD &amp; CDD'!C176</f>
        <v>478.59999999999997</v>
      </c>
      <c r="D29" s="107">
        <f>'Historical HDD &amp; CDD'!D176</f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'[14]Data Input'!AJ35</f>
        <v>20436</v>
      </c>
      <c r="K29" s="17">
        <f t="shared" si="0"/>
        <v>42141759.174652331</v>
      </c>
      <c r="L29" s="238">
        <f t="shared" si="3"/>
        <v>-1899380.8253476694</v>
      </c>
      <c r="M29" s="239">
        <f t="shared" si="4"/>
        <v>4.3127421891160617E-2</v>
      </c>
    </row>
    <row r="30" spans="1:20" x14ac:dyDescent="0.2">
      <c r="A30" s="32">
        <v>38078</v>
      </c>
      <c r="B30" s="106">
        <f>'[14]Data Input'!B36</f>
        <v>39465450</v>
      </c>
      <c r="C30" s="17">
        <f>'Historical HDD &amp; CDD'!C177</f>
        <v>302.89999999999992</v>
      </c>
      <c r="D30" s="107">
        <f>'Historical HDD &amp; CDD'!D177</f>
        <v>0.8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'[14]Data Input'!AJ36</f>
        <v>20438</v>
      </c>
      <c r="K30" s="17">
        <f t="shared" si="0"/>
        <v>38839475.95877061</v>
      </c>
      <c r="L30" s="238">
        <f t="shared" si="3"/>
        <v>-625974.04122938961</v>
      </c>
      <c r="M30" s="239">
        <f t="shared" si="4"/>
        <v>1.5861317715353294E-2</v>
      </c>
    </row>
    <row r="31" spans="1:20" x14ac:dyDescent="0.2">
      <c r="A31" s="32">
        <v>38108</v>
      </c>
      <c r="B31" s="106">
        <f>'[14]Data Input'!B37</f>
        <v>38649380</v>
      </c>
      <c r="C31" s="17">
        <f>'Historical HDD &amp; CDD'!C178</f>
        <v>117.30000000000003</v>
      </c>
      <c r="D31" s="107">
        <f>'Historical HDD &amp; CDD'!D178</f>
        <v>17.100000000000001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'[14]Data Input'!AJ37</f>
        <v>20382</v>
      </c>
      <c r="K31" s="17">
        <f t="shared" si="0"/>
        <v>38506819.463176832</v>
      </c>
      <c r="L31" s="238">
        <f t="shared" si="3"/>
        <v>-142560.5368231684</v>
      </c>
      <c r="M31" s="239">
        <f t="shared" si="4"/>
        <v>3.6885594755509247E-3</v>
      </c>
    </row>
    <row r="32" spans="1:20" x14ac:dyDescent="0.2">
      <c r="A32" s="32">
        <v>38139</v>
      </c>
      <c r="B32" s="106">
        <f>'[14]Data Input'!B38</f>
        <v>40366830</v>
      </c>
      <c r="C32" s="17">
        <f>'Historical HDD &amp; CDD'!C179</f>
        <v>47</v>
      </c>
      <c r="D32" s="107">
        <f>'Historical HDD &amp; CDD'!D179</f>
        <v>41.999999999999986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'[14]Data Input'!AJ38</f>
        <v>20295</v>
      </c>
      <c r="K32" s="17">
        <f t="shared" si="0"/>
        <v>40729291.666477308</v>
      </c>
      <c r="L32" s="238">
        <f t="shared" si="3"/>
        <v>362461.66647730768</v>
      </c>
      <c r="M32" s="239">
        <f t="shared" si="4"/>
        <v>8.9791957029399551E-3</v>
      </c>
    </row>
    <row r="33" spans="1:13" x14ac:dyDescent="0.2">
      <c r="A33" s="32">
        <v>38169</v>
      </c>
      <c r="B33" s="106">
        <f>'[14]Data Input'!B39</f>
        <v>42442080</v>
      </c>
      <c r="C33" s="17">
        <f>'Historical HDD &amp; CDD'!C180</f>
        <v>0.89999999999999991</v>
      </c>
      <c r="D33" s="107">
        <f>'Historical HDD &amp; CDD'!D180</f>
        <v>93.09999999999998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'[14]Data Input'!AJ39</f>
        <v>20268</v>
      </c>
      <c r="K33" s="17">
        <f t="shared" si="0"/>
        <v>44774345.708430745</v>
      </c>
      <c r="L33" s="238">
        <f t="shared" si="3"/>
        <v>2332265.7084307447</v>
      </c>
      <c r="M33" s="239">
        <f t="shared" si="4"/>
        <v>5.4951729708599219E-2</v>
      </c>
    </row>
    <row r="34" spans="1:13" x14ac:dyDescent="0.2">
      <c r="A34" s="32">
        <v>38200</v>
      </c>
      <c r="B34" s="106">
        <f>'[14]Data Input'!B40</f>
        <v>42940430</v>
      </c>
      <c r="C34" s="17">
        <f>'Historical HDD &amp; CDD'!C181</f>
        <v>11.7</v>
      </c>
      <c r="D34" s="107">
        <f>'Historical HDD &amp; CDD'!D181</f>
        <v>61.599999999999994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'[14]Data Input'!AJ40</f>
        <v>20241</v>
      </c>
      <c r="K34" s="17">
        <f t="shared" si="0"/>
        <v>42285759.13589137</v>
      </c>
      <c r="L34" s="238">
        <f t="shared" si="3"/>
        <v>-654670.86410862952</v>
      </c>
      <c r="M34" s="239">
        <f t="shared" si="4"/>
        <v>1.5246024879318384E-2</v>
      </c>
    </row>
    <row r="35" spans="1:13" x14ac:dyDescent="0.2">
      <c r="A35" s="32">
        <v>38231</v>
      </c>
      <c r="B35" s="106">
        <f>'[14]Data Input'!B41</f>
        <v>41663760</v>
      </c>
      <c r="C35" s="17">
        <f>'Historical HDD &amp; CDD'!C182</f>
        <v>27.7</v>
      </c>
      <c r="D35" s="107">
        <f>'Historical HDD &amp; CDD'!D182</f>
        <v>46.699999999999996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'[14]Data Input'!AJ41</f>
        <v>20388</v>
      </c>
      <c r="K35" s="17">
        <f t="shared" si="0"/>
        <v>39697915.395612434</v>
      </c>
      <c r="L35" s="238">
        <f t="shared" si="3"/>
        <v>-1965844.6043875664</v>
      </c>
      <c r="M35" s="239">
        <f t="shared" si="4"/>
        <v>4.7183562030588849E-2</v>
      </c>
    </row>
    <row r="36" spans="1:13" x14ac:dyDescent="0.2">
      <c r="A36" s="32">
        <v>38261</v>
      </c>
      <c r="B36" s="106">
        <f>'[14]Data Input'!B42</f>
        <v>39406350</v>
      </c>
      <c r="C36" s="17">
        <f>'Historical HDD &amp; CDD'!C183</f>
        <v>208.99999999999994</v>
      </c>
      <c r="D36" s="107">
        <f>'Historical HDD &amp; CDD'!D183</f>
        <v>0.3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'[14]Data Input'!AJ42</f>
        <v>20386</v>
      </c>
      <c r="K36" s="17">
        <f t="shared" si="0"/>
        <v>38096327.20585534</v>
      </c>
      <c r="L36" s="238">
        <f t="shared" si="3"/>
        <v>-1310022.7941446602</v>
      </c>
      <c r="M36" s="239">
        <f t="shared" si="4"/>
        <v>3.3243951651057764E-2</v>
      </c>
    </row>
    <row r="37" spans="1:13" x14ac:dyDescent="0.2">
      <c r="A37" s="32">
        <v>38292</v>
      </c>
      <c r="B37" s="106">
        <f>'[14]Data Input'!B43</f>
        <v>40213160</v>
      </c>
      <c r="C37" s="17">
        <f>'Historical HDD &amp; CDD'!C184</f>
        <v>364.79999999999995</v>
      </c>
      <c r="D37" s="107">
        <f>'Historical HDD &amp; CDD'!D184</f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'[14]Data Input'!AJ43</f>
        <v>20441</v>
      </c>
      <c r="K37" s="17">
        <f t="shared" si="0"/>
        <v>39824845.436428122</v>
      </c>
      <c r="L37" s="238">
        <f t="shared" si="3"/>
        <v>-388314.56357187778</v>
      </c>
      <c r="M37" s="239">
        <f t="shared" si="4"/>
        <v>9.6564051064844877E-3</v>
      </c>
    </row>
    <row r="38" spans="1:13" x14ac:dyDescent="0.2">
      <c r="A38" s="32">
        <v>38322</v>
      </c>
      <c r="B38" s="106">
        <f>'[14]Data Input'!B44</f>
        <v>43313970</v>
      </c>
      <c r="C38" s="17">
        <f>'Historical HDD &amp; CDD'!C185</f>
        <v>590.80000000000007</v>
      </c>
      <c r="D38" s="107">
        <f>'Historical HDD &amp; CDD'!D185</f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'[14]Data Input'!AJ44</f>
        <v>20588</v>
      </c>
      <c r="K38" s="17">
        <f t="shared" si="0"/>
        <v>43371369.839924298</v>
      </c>
      <c r="L38" s="238">
        <f t="shared" si="3"/>
        <v>57399.839924298227</v>
      </c>
      <c r="M38" s="239">
        <f t="shared" si="4"/>
        <v>1.3252038528054166E-3</v>
      </c>
    </row>
    <row r="39" spans="1:13" x14ac:dyDescent="0.2">
      <c r="A39" s="32">
        <v>38353</v>
      </c>
      <c r="B39" s="106">
        <f>'[14]Data Input'!B47</f>
        <v>46807180</v>
      </c>
      <c r="C39" s="17">
        <f>'Historical HDD &amp; CDD'!C186</f>
        <v>716.69999999999982</v>
      </c>
      <c r="D39" s="107">
        <f>'Historical HDD &amp; CDD'!D186</f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'[14]Data Input'!AJ47</f>
        <v>20702</v>
      </c>
      <c r="K39" s="17">
        <f t="shared" si="0"/>
        <v>44310165.065042652</v>
      </c>
      <c r="L39" s="238">
        <f t="shared" si="3"/>
        <v>-2497014.9349573478</v>
      </c>
      <c r="M39" s="239">
        <f t="shared" si="4"/>
        <v>5.3346835570041773E-2</v>
      </c>
    </row>
    <row r="40" spans="1:13" x14ac:dyDescent="0.2">
      <c r="A40" s="32">
        <v>38384</v>
      </c>
      <c r="B40" s="106">
        <f>'[14]Data Input'!B48</f>
        <v>41117740</v>
      </c>
      <c r="C40" s="17">
        <f>'Historical HDD &amp; CDD'!C187</f>
        <v>594.69999999999993</v>
      </c>
      <c r="D40" s="107">
        <f>'Historical HDD &amp; CDD'!D187</f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'[14]Data Input'!AJ48</f>
        <v>20700</v>
      </c>
      <c r="K40" s="17">
        <f t="shared" si="0"/>
        <v>40898893.469092935</v>
      </c>
      <c r="L40" s="238">
        <f t="shared" si="3"/>
        <v>-218846.53090706468</v>
      </c>
      <c r="M40" s="239">
        <f t="shared" si="4"/>
        <v>5.3224357882282608E-3</v>
      </c>
    </row>
    <row r="41" spans="1:13" x14ac:dyDescent="0.2">
      <c r="A41" s="32">
        <v>38412</v>
      </c>
      <c r="B41" s="106">
        <f>'[14]Data Input'!B49</f>
        <v>44324530</v>
      </c>
      <c r="C41" s="17">
        <f>'Historical HDD &amp; CDD'!C188</f>
        <v>591.40000000000009</v>
      </c>
      <c r="D41" s="107">
        <f>'Historical HDD &amp; CDD'!D188</f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'[14]Data Input'!AJ49</f>
        <v>20659</v>
      </c>
      <c r="K41" s="17">
        <f t="shared" si="0"/>
        <v>42940811.831902817</v>
      </c>
      <c r="L41" s="238">
        <f t="shared" si="3"/>
        <v>-1383718.1680971831</v>
      </c>
      <c r="M41" s="239">
        <f t="shared" si="4"/>
        <v>3.1217886982607218E-2</v>
      </c>
    </row>
    <row r="42" spans="1:13" x14ac:dyDescent="0.2">
      <c r="A42" s="32">
        <v>38443</v>
      </c>
      <c r="B42" s="106">
        <f>'[14]Data Input'!B50</f>
        <v>39294850</v>
      </c>
      <c r="C42" s="17">
        <f>'Historical HDD &amp; CDD'!C189</f>
        <v>303.49999999999989</v>
      </c>
      <c r="D42" s="107">
        <f>'Historical HDD &amp; CDD'!D189</f>
        <v>0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'[14]Data Input'!AJ50</f>
        <v>20681</v>
      </c>
      <c r="K42" s="17">
        <f t="shared" si="0"/>
        <v>38779748.275421798</v>
      </c>
      <c r="L42" s="238">
        <f t="shared" si="3"/>
        <v>-515101.72457820177</v>
      </c>
      <c r="M42" s="239">
        <f t="shared" si="4"/>
        <v>1.310863190922479E-2</v>
      </c>
    </row>
    <row r="43" spans="1:13" x14ac:dyDescent="0.2">
      <c r="A43" s="32">
        <v>38473</v>
      </c>
      <c r="B43" s="106">
        <f>'[14]Data Input'!B51</f>
        <v>38503630</v>
      </c>
      <c r="C43" s="17">
        <f>'Historical HDD &amp; CDD'!C190</f>
        <v>178.59999999999991</v>
      </c>
      <c r="D43" s="107">
        <f>'Historical HDD &amp; CDD'!D190</f>
        <v>0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'[14]Data Input'!AJ51</f>
        <v>20636</v>
      </c>
      <c r="K43" s="17">
        <f t="shared" si="0"/>
        <v>38151467.928001031</v>
      </c>
      <c r="L43" s="238">
        <f t="shared" si="3"/>
        <v>-352162.07199896872</v>
      </c>
      <c r="M43" s="239">
        <f t="shared" si="4"/>
        <v>9.1462044487485659E-3</v>
      </c>
    </row>
    <row r="44" spans="1:13" x14ac:dyDescent="0.2">
      <c r="A44" s="32">
        <v>38504</v>
      </c>
      <c r="B44" s="106">
        <f>'[14]Data Input'!B52</f>
        <v>43469730</v>
      </c>
      <c r="C44" s="17">
        <f>'Historical HDD &amp; CDD'!C191</f>
        <v>5.7</v>
      </c>
      <c r="D44" s="107">
        <f>'Historical HDD &amp; CDD'!D191</f>
        <v>141.19999999999999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'[14]Data Input'!AJ52</f>
        <v>20624</v>
      </c>
      <c r="K44" s="17">
        <f t="shared" si="0"/>
        <v>48488614.401457511</v>
      </c>
      <c r="L44" s="238">
        <f t="shared" si="3"/>
        <v>5018884.4014575109</v>
      </c>
      <c r="M44" s="239">
        <f t="shared" si="4"/>
        <v>0.11545699505052161</v>
      </c>
    </row>
    <row r="45" spans="1:13" x14ac:dyDescent="0.2">
      <c r="A45" s="32">
        <v>38534</v>
      </c>
      <c r="B45" s="106">
        <f>'[14]Data Input'!B53</f>
        <v>51308440</v>
      </c>
      <c r="C45" s="17">
        <f>'Historical HDD &amp; CDD'!C192</f>
        <v>0</v>
      </c>
      <c r="D45" s="107">
        <f>'Historical HDD &amp; CDD'!D192</f>
        <v>190.70000000000005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'[14]Data Input'!AJ53</f>
        <v>20638</v>
      </c>
      <c r="K45" s="17">
        <f t="shared" si="0"/>
        <v>52428147.184721515</v>
      </c>
      <c r="L45" s="238">
        <f t="shared" si="3"/>
        <v>1119707.1847215146</v>
      </c>
      <c r="M45" s="239">
        <f t="shared" si="4"/>
        <v>2.1823060391653198E-2</v>
      </c>
    </row>
    <row r="46" spans="1:13" x14ac:dyDescent="0.2">
      <c r="A46" s="32">
        <v>38565</v>
      </c>
      <c r="B46" s="106">
        <f>'[14]Data Input'!B54</f>
        <v>48784110</v>
      </c>
      <c r="C46" s="17">
        <f>'Historical HDD &amp; CDD'!C193</f>
        <v>0.7</v>
      </c>
      <c r="D46" s="107">
        <f>'Historical HDD &amp; CDD'!D193</f>
        <v>144.1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'[14]Data Input'!AJ54</f>
        <v>20601</v>
      </c>
      <c r="K46" s="17">
        <f t="shared" si="0"/>
        <v>49373731.921355411</v>
      </c>
      <c r="L46" s="238">
        <f t="shared" si="3"/>
        <v>589621.92135541141</v>
      </c>
      <c r="M46" s="239">
        <f t="shared" si="4"/>
        <v>1.2086351915724432E-2</v>
      </c>
    </row>
    <row r="47" spans="1:13" x14ac:dyDescent="0.2">
      <c r="A47" s="32">
        <v>38596</v>
      </c>
      <c r="B47" s="106">
        <f>'[14]Data Input'!B55</f>
        <v>41264120</v>
      </c>
      <c r="C47" s="17">
        <f>'Historical HDD &amp; CDD'!C194</f>
        <v>20.399999999999999</v>
      </c>
      <c r="D47" s="107">
        <f>'Historical HDD &amp; CDD'!D194</f>
        <v>49.79999999999999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'[14]Data Input'!AJ55</f>
        <v>20620</v>
      </c>
      <c r="K47" s="17">
        <f t="shared" si="0"/>
        <v>39876289.994914085</v>
      </c>
      <c r="L47" s="238">
        <f t="shared" si="3"/>
        <v>-1387830.0050859153</v>
      </c>
      <c r="M47" s="239">
        <f t="shared" si="4"/>
        <v>3.3632851132798063E-2</v>
      </c>
    </row>
    <row r="48" spans="1:13" x14ac:dyDescent="0.2">
      <c r="A48" s="32">
        <v>38626</v>
      </c>
      <c r="B48" s="106">
        <f>'[14]Data Input'!B56</f>
        <v>40426860</v>
      </c>
      <c r="C48" s="17">
        <f>'Historical HDD &amp; CDD'!C195</f>
        <v>212.19999999999996</v>
      </c>
      <c r="D48" s="107">
        <f>'Historical HDD &amp; CDD'!D195</f>
        <v>8.6999999999999993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'[14]Data Input'!AJ56</f>
        <v>20641</v>
      </c>
      <c r="K48" s="17">
        <f t="shared" si="0"/>
        <v>38824807.911151074</v>
      </c>
      <c r="L48" s="238">
        <f t="shared" si="3"/>
        <v>-1602052.0888489261</v>
      </c>
      <c r="M48" s="239">
        <f t="shared" si="4"/>
        <v>3.9628407668785705E-2</v>
      </c>
    </row>
    <row r="49" spans="1:13" x14ac:dyDescent="0.2">
      <c r="A49" s="32">
        <v>38657</v>
      </c>
      <c r="B49" s="106">
        <f>'[14]Data Input'!B57</f>
        <v>41421880</v>
      </c>
      <c r="C49" s="17">
        <f>'Historical HDD &amp; CDD'!C196</f>
        <v>361.1</v>
      </c>
      <c r="D49" s="107">
        <f>'Historical HDD &amp; CDD'!D196</f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'[14]Data Input'!AJ57</f>
        <v>20652</v>
      </c>
      <c r="K49" s="17">
        <f t="shared" si="0"/>
        <v>39785376.161534145</v>
      </c>
      <c r="L49" s="238">
        <f t="shared" si="3"/>
        <v>-1636503.8384658545</v>
      </c>
      <c r="M49" s="239">
        <f t="shared" si="4"/>
        <v>3.9508198045715322E-2</v>
      </c>
    </row>
    <row r="50" spans="1:13" x14ac:dyDescent="0.2">
      <c r="A50" s="32">
        <v>38687</v>
      </c>
      <c r="B50" s="106">
        <f>'[14]Data Input'!B58</f>
        <v>44051790</v>
      </c>
      <c r="C50" s="17">
        <f>'Historical HDD &amp; CDD'!C197</f>
        <v>651.50000000000034</v>
      </c>
      <c r="D50" s="107">
        <f>'Historical HDD &amp; CDD'!D197</f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'[14]Data Input'!AJ58</f>
        <v>20740</v>
      </c>
      <c r="K50" s="17">
        <f t="shared" si="0"/>
        <v>43614652.437181264</v>
      </c>
      <c r="L50" s="238">
        <f t="shared" si="3"/>
        <v>-437137.56281873584</v>
      </c>
      <c r="M50" s="239">
        <f t="shared" si="4"/>
        <v>9.9232644761707949E-3</v>
      </c>
    </row>
    <row r="51" spans="1:13" x14ac:dyDescent="0.2">
      <c r="A51" s="32">
        <v>38718</v>
      </c>
      <c r="B51" s="106">
        <f>'[14]Data Input'!B61</f>
        <v>43192750</v>
      </c>
      <c r="C51" s="17">
        <f>'Historical HDD &amp; CDD'!C198</f>
        <v>524.29999999999995</v>
      </c>
      <c r="D51" s="107">
        <f>'Historical HDD &amp; CDD'!D198</f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'[14]Data Input'!AJ61</f>
        <v>20858</v>
      </c>
      <c r="K51" s="17">
        <f t="shared" si="0"/>
        <v>42582638.368535154</v>
      </c>
      <c r="L51" s="238">
        <f t="shared" si="3"/>
        <v>-610111.63146484643</v>
      </c>
      <c r="M51" s="239">
        <f t="shared" si="4"/>
        <v>1.4125325001646026E-2</v>
      </c>
    </row>
    <row r="52" spans="1:13" x14ac:dyDescent="0.2">
      <c r="A52" s="32">
        <v>38749</v>
      </c>
      <c r="B52" s="106">
        <f>'[14]Data Input'!B62</f>
        <v>39863550</v>
      </c>
      <c r="C52" s="17">
        <f>'Historical HDD &amp; CDD'!C199</f>
        <v>570.29999999999995</v>
      </c>
      <c r="D52" s="107">
        <f>'Historical HDD &amp; CDD'!D199</f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'[14]Data Input'!AJ62</f>
        <v>20902</v>
      </c>
      <c r="K52" s="17">
        <f t="shared" si="0"/>
        <v>40479907.081310764</v>
      </c>
      <c r="L52" s="238">
        <f t="shared" si="3"/>
        <v>616357.08131076396</v>
      </c>
      <c r="M52" s="239">
        <f t="shared" si="4"/>
        <v>1.5461670656797098E-2</v>
      </c>
    </row>
    <row r="53" spans="1:13" x14ac:dyDescent="0.2">
      <c r="A53" s="32">
        <v>38777</v>
      </c>
      <c r="B53" s="106">
        <f>'[14]Data Input'!B63</f>
        <v>42675980</v>
      </c>
      <c r="C53" s="17">
        <f>'Historical HDD &amp; CDD'!C200</f>
        <v>514.6</v>
      </c>
      <c r="D53" s="107">
        <f>'Historical HDD &amp; CDD'!D200</f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'[14]Data Input'!AJ63</f>
        <v>20845</v>
      </c>
      <c r="K53" s="17">
        <f t="shared" si="0"/>
        <v>42287730.770628415</v>
      </c>
      <c r="L53" s="238">
        <f t="shared" si="3"/>
        <v>-388249.22937158495</v>
      </c>
      <c r="M53" s="239">
        <f t="shared" si="4"/>
        <v>9.0976054767010605E-3</v>
      </c>
    </row>
    <row r="54" spans="1:13" x14ac:dyDescent="0.2">
      <c r="A54" s="32">
        <v>38808</v>
      </c>
      <c r="B54" s="106">
        <f>'[14]Data Input'!B64</f>
        <v>34740070</v>
      </c>
      <c r="C54" s="17">
        <f>'Historical HDD &amp; CDD'!C201</f>
        <v>269.99999999999994</v>
      </c>
      <c r="D54" s="107">
        <f>'Historical HDD &amp; CDD'!D201</f>
        <v>0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'[14]Data Input'!AJ64</f>
        <v>20839</v>
      </c>
      <c r="K54" s="17">
        <f t="shared" si="0"/>
        <v>37304830.48040767</v>
      </c>
      <c r="L54" s="238">
        <f t="shared" si="3"/>
        <v>2564760.4804076701</v>
      </c>
      <c r="M54" s="239">
        <f t="shared" si="4"/>
        <v>7.3827153497608669E-2</v>
      </c>
    </row>
    <row r="55" spans="1:13" x14ac:dyDescent="0.2">
      <c r="A55" s="32">
        <v>38838</v>
      </c>
      <c r="B55" s="106">
        <f>'[14]Data Input'!B65</f>
        <v>38741980</v>
      </c>
      <c r="C55" s="17">
        <f>'Historical HDD &amp; CDD'!C202</f>
        <v>127.30000000000003</v>
      </c>
      <c r="D55" s="107">
        <f>'Historical HDD &amp; CDD'!D202</f>
        <v>24.3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'[14]Data Input'!AJ65</f>
        <v>20801</v>
      </c>
      <c r="K55" s="17">
        <f t="shared" si="0"/>
        <v>39601969.602324799</v>
      </c>
      <c r="L55" s="238">
        <f t="shared" si="3"/>
        <v>859989.6023247987</v>
      </c>
      <c r="M55" s="239">
        <f t="shared" si="4"/>
        <v>2.2197874303915253E-2</v>
      </c>
    </row>
    <row r="56" spans="1:13" x14ac:dyDescent="0.2">
      <c r="A56" s="32">
        <v>38869</v>
      </c>
      <c r="B56" s="106">
        <f>'[14]Data Input'!B66</f>
        <v>41837560</v>
      </c>
      <c r="C56" s="17">
        <f>'Historical HDD &amp; CDD'!C203</f>
        <v>18.899999999999999</v>
      </c>
      <c r="D56" s="107">
        <f>'Historical HDD &amp; CDD'!D203</f>
        <v>69.899999999999977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'[14]Data Input'!AJ66</f>
        <v>20769</v>
      </c>
      <c r="K56" s="17">
        <f t="shared" si="0"/>
        <v>42259648.66934631</v>
      </c>
      <c r="L56" s="238">
        <f t="shared" si="3"/>
        <v>422088.6693463102</v>
      </c>
      <c r="M56" s="239">
        <f t="shared" si="4"/>
        <v>1.0088749662894065E-2</v>
      </c>
    </row>
    <row r="57" spans="1:13" x14ac:dyDescent="0.2">
      <c r="A57" s="32">
        <v>38899</v>
      </c>
      <c r="B57" s="106">
        <f>'[14]Data Input'!B67</f>
        <v>47715260</v>
      </c>
      <c r="C57" s="17">
        <f>'Historical HDD &amp; CDD'!C204</f>
        <v>1</v>
      </c>
      <c r="D57" s="107">
        <f>'Historical HDD &amp; CDD'!D204</f>
        <v>161.4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'[14]Data Input'!AJ67</f>
        <v>20730</v>
      </c>
      <c r="K57" s="17">
        <f t="shared" si="0"/>
        <v>49461413.839710437</v>
      </c>
      <c r="L57" s="238">
        <f t="shared" si="3"/>
        <v>1746153.8397104368</v>
      </c>
      <c r="M57" s="239">
        <f t="shared" si="4"/>
        <v>3.6595291311635664E-2</v>
      </c>
    </row>
    <row r="58" spans="1:13" x14ac:dyDescent="0.2">
      <c r="A58" s="32">
        <v>38930</v>
      </c>
      <c r="B58" s="106">
        <f>'[14]Data Input'!B68</f>
        <v>44325550</v>
      </c>
      <c r="C58" s="17">
        <f>'Historical HDD &amp; CDD'!C205</f>
        <v>1.4</v>
      </c>
      <c r="D58" s="107">
        <f>'Historical HDD &amp; CDD'!D205</f>
        <v>100.1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'[14]Data Input'!AJ68</f>
        <v>20634</v>
      </c>
      <c r="K58" s="17">
        <f t="shared" si="0"/>
        <v>45109343.151062608</v>
      </c>
      <c r="L58" s="238">
        <f t="shared" si="3"/>
        <v>783793.15106260777</v>
      </c>
      <c r="M58" s="239">
        <f t="shared" si="4"/>
        <v>1.7682649195838694E-2</v>
      </c>
    </row>
    <row r="59" spans="1:13" x14ac:dyDescent="0.2">
      <c r="A59" s="32">
        <v>38961</v>
      </c>
      <c r="B59" s="106">
        <f>'[14]Data Input'!B69</f>
        <v>36564730</v>
      </c>
      <c r="C59" s="17">
        <f>'Historical HDD &amp; CDD'!C206</f>
        <v>68.800000000000011</v>
      </c>
      <c r="D59" s="107">
        <f>'Historical HDD &amp; CDD'!D206</f>
        <v>17.2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'[14]Data Input'!AJ69</f>
        <v>20765</v>
      </c>
      <c r="K59" s="17">
        <f t="shared" si="0"/>
        <v>36574740.581524685</v>
      </c>
      <c r="L59" s="238">
        <f t="shared" si="3"/>
        <v>10010.581524685025</v>
      </c>
      <c r="M59" s="239">
        <f t="shared" si="4"/>
        <v>2.7377698467033739E-4</v>
      </c>
    </row>
    <row r="60" spans="1:13" x14ac:dyDescent="0.2">
      <c r="A60" s="32">
        <v>38991</v>
      </c>
      <c r="B60" s="106">
        <f>'[14]Data Input'!B70</f>
        <v>38815730</v>
      </c>
      <c r="C60" s="17">
        <f>'Historical HDD &amp; CDD'!C207</f>
        <v>269.89999999999998</v>
      </c>
      <c r="D60" s="107">
        <f>'Historical HDD &amp; CDD'!D207</f>
        <v>0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'[14]Data Input'!AJ70</f>
        <v>20724</v>
      </c>
      <c r="K60" s="17">
        <f t="shared" si="0"/>
        <v>38331886.349869877</v>
      </c>
      <c r="L60" s="238">
        <f t="shared" si="3"/>
        <v>-483843.6501301229</v>
      </c>
      <c r="M60" s="239">
        <f t="shared" si="4"/>
        <v>1.2465143644860548E-2</v>
      </c>
    </row>
    <row r="61" spans="1:13" x14ac:dyDescent="0.2">
      <c r="A61" s="32">
        <v>39022</v>
      </c>
      <c r="B61" s="106">
        <f>'[14]Data Input'!B71</f>
        <v>39427080</v>
      </c>
      <c r="C61" s="17">
        <f>'Historical HDD &amp; CDD'!C208</f>
        <v>361.09999999999997</v>
      </c>
      <c r="D61" s="107">
        <f>'Historical HDD &amp; CDD'!D208</f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'[14]Data Input'!AJ71</f>
        <v>20776</v>
      </c>
      <c r="K61" s="17">
        <f t="shared" si="0"/>
        <v>38912512.29650829</v>
      </c>
      <c r="L61" s="238">
        <f t="shared" si="3"/>
        <v>-514567.70349171013</v>
      </c>
      <c r="M61" s="239">
        <f t="shared" si="4"/>
        <v>1.3051123833966657E-2</v>
      </c>
    </row>
    <row r="62" spans="1:13" x14ac:dyDescent="0.2">
      <c r="A62" s="32">
        <v>39052</v>
      </c>
      <c r="B62" s="106">
        <f>'[14]Data Input'!B72</f>
        <v>40481750</v>
      </c>
      <c r="C62" s="17">
        <f>'Historical HDD &amp; CDD'!C209</f>
        <v>469.39999999999992</v>
      </c>
      <c r="D62" s="107">
        <f>'Historical HDD &amp; CDD'!D209</f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'[14]Data Input'!AJ72</f>
        <v>20889</v>
      </c>
      <c r="K62" s="17">
        <f t="shared" si="0"/>
        <v>40334056.034294002</v>
      </c>
      <c r="L62" s="238">
        <f t="shared" si="3"/>
        <v>-147693.96570599824</v>
      </c>
      <c r="M62" s="239">
        <f t="shared" si="4"/>
        <v>3.6484086213169698E-3</v>
      </c>
    </row>
    <row r="63" spans="1:13" x14ac:dyDescent="0.2">
      <c r="A63" s="32">
        <v>39083</v>
      </c>
      <c r="B63" s="106">
        <f>'[14]Data Input'!B75</f>
        <v>43659020</v>
      </c>
      <c r="C63" s="17">
        <f>'Historical HDD &amp; CDD'!C210</f>
        <v>625.70000000000005</v>
      </c>
      <c r="D63" s="107">
        <f>'Historical HDD &amp; CDD'!D210</f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'[14]Data Input'!AJ75</f>
        <v>20925</v>
      </c>
      <c r="K63" s="17">
        <f t="shared" si="0"/>
        <v>43127478.286462575</v>
      </c>
      <c r="L63" s="238">
        <f t="shared" si="3"/>
        <v>-531541.7135374248</v>
      </c>
      <c r="M63" s="239">
        <f t="shared" si="4"/>
        <v>1.2174842988629263E-2</v>
      </c>
    </row>
    <row r="64" spans="1:13" x14ac:dyDescent="0.2">
      <c r="A64" s="32">
        <v>39114</v>
      </c>
      <c r="B64" s="106">
        <f>'[14]Data Input'!B76</f>
        <v>42004080</v>
      </c>
      <c r="C64" s="17">
        <f>'Historical HDD &amp; CDD'!C211</f>
        <v>739.30000000000018</v>
      </c>
      <c r="D64" s="107">
        <f>'Historical HDD &amp; CDD'!D211</f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'[14]Data Input'!AJ76</f>
        <v>20950</v>
      </c>
      <c r="K64" s="17">
        <f t="shared" si="0"/>
        <v>41389539.062155411</v>
      </c>
      <c r="L64" s="238">
        <f t="shared" si="3"/>
        <v>-614540.93784458935</v>
      </c>
      <c r="M64" s="239">
        <f t="shared" si="4"/>
        <v>1.4630505842398866E-2</v>
      </c>
    </row>
    <row r="65" spans="1:26" x14ac:dyDescent="0.2">
      <c r="A65" s="32">
        <v>39142</v>
      </c>
      <c r="B65" s="106">
        <f>'[14]Data Input'!B77</f>
        <v>41099580</v>
      </c>
      <c r="C65" s="17">
        <f>'Historical HDD &amp; CDD'!C212</f>
        <v>538.79999999999984</v>
      </c>
      <c r="D65" s="107">
        <f>'Historical HDD &amp; CDD'!D212</f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'[14]Data Input'!AJ77</f>
        <v>20904</v>
      </c>
      <c r="K65" s="17">
        <f t="shared" si="0"/>
        <v>41278031.139933527</v>
      </c>
      <c r="L65" s="238">
        <f t="shared" si="3"/>
        <v>178451.13993352652</v>
      </c>
      <c r="M65" s="239">
        <f t="shared" si="4"/>
        <v>4.3419212540256255E-3</v>
      </c>
    </row>
    <row r="66" spans="1:26" x14ac:dyDescent="0.2">
      <c r="A66" s="32">
        <v>39173</v>
      </c>
      <c r="B66" s="106">
        <f>'[14]Data Input'!B78</f>
        <v>37578410</v>
      </c>
      <c r="C66" s="17">
        <f>'Historical HDD &amp; CDD'!C213</f>
        <v>376.09999999999997</v>
      </c>
      <c r="D66" s="107">
        <f>'Historical HDD &amp; CDD'!D213</f>
        <v>0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'[14]Data Input'!AJ78</f>
        <v>20877</v>
      </c>
      <c r="K66" s="17">
        <f t="shared" si="0"/>
        <v>37993733.377528355</v>
      </c>
      <c r="L66" s="238">
        <f t="shared" si="3"/>
        <v>415323.37752835453</v>
      </c>
      <c r="M66" s="239">
        <f t="shared" si="4"/>
        <v>1.1052180694402837E-2</v>
      </c>
    </row>
    <row r="67" spans="1:26" x14ac:dyDescent="0.2">
      <c r="A67" s="32">
        <v>39203</v>
      </c>
      <c r="B67" s="106">
        <f>'[14]Data Input'!B79</f>
        <v>37137720</v>
      </c>
      <c r="C67" s="17">
        <f>'Historical HDD &amp; CDD'!C214</f>
        <v>144.19999999999999</v>
      </c>
      <c r="D67" s="107">
        <f>'Historical HDD &amp; CDD'!D214</f>
        <v>15.4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'[14]Data Input'!AJ79</f>
        <v>20803</v>
      </c>
      <c r="K67" s="17">
        <f t="shared" si="0"/>
        <v>38242011.141914845</v>
      </c>
      <c r="L67" s="238">
        <f t="shared" si="3"/>
        <v>1104291.1419148445</v>
      </c>
      <c r="M67" s="239">
        <f t="shared" si="4"/>
        <v>2.9735027942341223E-2</v>
      </c>
    </row>
    <row r="68" spans="1:26" x14ac:dyDescent="0.2">
      <c r="A68" s="32">
        <v>39234</v>
      </c>
      <c r="B68" s="106">
        <f>'[14]Data Input'!B80</f>
        <v>42747830</v>
      </c>
      <c r="C68" s="17">
        <f>'Historical HDD &amp; CDD'!C215</f>
        <v>19.599999999999998</v>
      </c>
      <c r="D68" s="107">
        <f>'Historical HDD &amp; CDD'!D215</f>
        <v>84.3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'[14]Data Input'!AJ80</f>
        <v>20822</v>
      </c>
      <c r="K68" s="17">
        <f t="shared" ref="K68:K131" si="5">$O$18+$O$19*C68+$O$20*D68+$O$21*E68+$O$22*F68+$O$23*G68+H68*$O$24</f>
        <v>42291203.25645218</v>
      </c>
      <c r="L68" s="238">
        <f t="shared" si="3"/>
        <v>-456626.74354781955</v>
      </c>
      <c r="M68" s="239">
        <f t="shared" si="4"/>
        <v>1.0681869548648892E-2</v>
      </c>
    </row>
    <row r="69" spans="1:26" x14ac:dyDescent="0.2">
      <c r="A69" s="32">
        <v>39264</v>
      </c>
      <c r="B69" s="106">
        <f>'[14]Data Input'!B81</f>
        <v>41879640</v>
      </c>
      <c r="C69" s="17">
        <f>'Historical HDD &amp; CDD'!C216</f>
        <v>7.3999999999999995</v>
      </c>
      <c r="D69" s="107">
        <f>'Historical HDD &amp; CDD'!D216</f>
        <v>77.499999999999986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'[14]Data Input'!AJ81</f>
        <v>20767</v>
      </c>
      <c r="K69" s="17">
        <f t="shared" si="5"/>
        <v>42253226.177070796</v>
      </c>
      <c r="L69" s="238">
        <f t="shared" si="3"/>
        <v>373586.17707079649</v>
      </c>
      <c r="M69" s="239">
        <f t="shared" si="4"/>
        <v>8.9204725033643194E-3</v>
      </c>
    </row>
    <row r="70" spans="1:26" x14ac:dyDescent="0.2">
      <c r="A70" s="32">
        <v>39295</v>
      </c>
      <c r="B70" s="106">
        <f>'[14]Data Input'!B82</f>
        <v>45846620</v>
      </c>
      <c r="C70" s="17">
        <f>'Historical HDD &amp; CDD'!C217</f>
        <v>6</v>
      </c>
      <c r="D70" s="107">
        <f>'Historical HDD &amp; CDD'!D217</f>
        <v>106.49999999999999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'[14]Data Input'!AJ82</f>
        <v>20719</v>
      </c>
      <c r="K70" s="17">
        <f t="shared" si="5"/>
        <v>44971468.013808712</v>
      </c>
      <c r="L70" s="238">
        <f t="shared" ref="L70:L133" si="6">K70-B70</f>
        <v>-875151.98619128764</v>
      </c>
      <c r="M70" s="239">
        <f t="shared" ref="M70:M133" si="7">ABS(L70/B70)</f>
        <v>1.9088691515127782E-2</v>
      </c>
    </row>
    <row r="71" spans="1:26" x14ac:dyDescent="0.2">
      <c r="A71" s="32">
        <v>39326</v>
      </c>
      <c r="B71" s="106">
        <f>'[14]Data Input'!B83</f>
        <v>40071090</v>
      </c>
      <c r="C71" s="17">
        <f>'Historical HDD &amp; CDD'!C218</f>
        <v>51.8</v>
      </c>
      <c r="D71" s="107">
        <f>'Historical HDD &amp; CDD'!D218</f>
        <v>41.800000000000004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'[14]Data Input'!AJ83</f>
        <v>20805</v>
      </c>
      <c r="K71" s="17">
        <f t="shared" si="5"/>
        <v>37349208.007492803</v>
      </c>
      <c r="L71" s="238">
        <f t="shared" si="6"/>
        <v>-2721881.992507197</v>
      </c>
      <c r="M71" s="239">
        <f t="shared" si="7"/>
        <v>6.7926327746692119E-2</v>
      </c>
    </row>
    <row r="72" spans="1:26" x14ac:dyDescent="0.2">
      <c r="A72" s="32">
        <v>39356</v>
      </c>
      <c r="B72" s="106">
        <f>'[14]Data Input'!B84</f>
        <v>39182630</v>
      </c>
      <c r="C72" s="17">
        <f>'Historical HDD &amp; CDD'!C219</f>
        <v>131</v>
      </c>
      <c r="D72" s="107">
        <f>'Historical HDD &amp; CDD'!D219</f>
        <v>20.200000000000003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'[14]Data Input'!AJ84</f>
        <v>20803</v>
      </c>
      <c r="K72" s="17">
        <f t="shared" si="5"/>
        <v>38248867.440221071</v>
      </c>
      <c r="L72" s="238">
        <f t="shared" si="6"/>
        <v>-933762.55977892876</v>
      </c>
      <c r="M72" s="239">
        <f t="shared" si="7"/>
        <v>2.3831033286405959E-2</v>
      </c>
    </row>
    <row r="73" spans="1:26" x14ac:dyDescent="0.2">
      <c r="A73" s="32">
        <v>39387</v>
      </c>
      <c r="B73" s="106">
        <f>'[14]Data Input'!B85</f>
        <v>40415660</v>
      </c>
      <c r="C73" s="17">
        <f>'Historical HDD &amp; CDD'!C220</f>
        <v>438.2000000000001</v>
      </c>
      <c r="D73" s="107">
        <f>'Historical HDD &amp; CDD'!D220</f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'[14]Data Input'!AJ85</f>
        <v>20862</v>
      </c>
      <c r="K73" s="17">
        <f t="shared" si="5"/>
        <v>39107588.709981851</v>
      </c>
      <c r="L73" s="238">
        <f t="shared" si="6"/>
        <v>-1308071.2900181487</v>
      </c>
      <c r="M73" s="239">
        <f t="shared" si="7"/>
        <v>3.2365456608110535E-2</v>
      </c>
    </row>
    <row r="74" spans="1:26" x14ac:dyDescent="0.2">
      <c r="A74" s="32">
        <v>39417</v>
      </c>
      <c r="B74" s="106">
        <f>'[14]Data Input'!B86</f>
        <v>42304750</v>
      </c>
      <c r="C74" s="17">
        <f>'Historical HDD &amp; CDD'!C221</f>
        <v>612.80000000000007</v>
      </c>
      <c r="D74" s="107">
        <f>'Historical HDD &amp; CDD'!D221</f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'[14]Data Input'!AJ86</f>
        <v>20954</v>
      </c>
      <c r="K74" s="17">
        <f t="shared" si="5"/>
        <v>41265909.837939292</v>
      </c>
      <c r="L74" s="238">
        <f t="shared" si="6"/>
        <v>-1038840.1620607078</v>
      </c>
      <c r="M74" s="239">
        <f t="shared" si="7"/>
        <v>2.4556111596468665E-2</v>
      </c>
    </row>
    <row r="75" spans="1:26" s="15" customFormat="1" x14ac:dyDescent="0.2">
      <c r="A75" s="32">
        <v>39448</v>
      </c>
      <c r="B75" s="106">
        <f>'[14]Data Input'!B89</f>
        <v>43662060</v>
      </c>
      <c r="C75" s="17">
        <f>'Historical HDD &amp; CDD'!C222</f>
        <v>604.19999999999993</v>
      </c>
      <c r="D75" s="107">
        <f>'Historical HDD &amp; CDD'!D222</f>
        <v>0</v>
      </c>
      <c r="E75" s="17">
        <v>31</v>
      </c>
      <c r="F75" s="17">
        <f>'CDM Activity'!B43</f>
        <v>209655.3104414409</v>
      </c>
      <c r="G75" s="23">
        <v>352</v>
      </c>
      <c r="H75" s="17">
        <v>0</v>
      </c>
      <c r="I75" s="34">
        <v>139.96642175819056</v>
      </c>
      <c r="J75" s="17">
        <f>'[14]Data Input'!AJ89</f>
        <v>21045</v>
      </c>
      <c r="K75" s="17">
        <f t="shared" si="5"/>
        <v>42272801.785370514</v>
      </c>
      <c r="L75" s="238">
        <f t="shared" si="6"/>
        <v>-1389258.2146294862</v>
      </c>
      <c r="M75" s="239">
        <f t="shared" si="7"/>
        <v>3.1818430340425675E-2</v>
      </c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x14ac:dyDescent="0.2">
      <c r="A76" s="32">
        <v>39479</v>
      </c>
      <c r="B76" s="106">
        <f>'[14]Data Input'!B90</f>
        <v>42566180</v>
      </c>
      <c r="C76" s="17">
        <f>'Historical HDD &amp; CDD'!C223</f>
        <v>653.5</v>
      </c>
      <c r="D76" s="107">
        <f>'Historical HDD &amp; CDD'!D223</f>
        <v>0</v>
      </c>
      <c r="E76" s="17">
        <v>29</v>
      </c>
      <c r="F76" s="17">
        <f>'CDM Activity'!B44</f>
        <v>219880.46739007306</v>
      </c>
      <c r="G76" s="23">
        <v>320</v>
      </c>
      <c r="H76" s="17">
        <v>0</v>
      </c>
      <c r="I76" s="34">
        <v>139.86101141442734</v>
      </c>
      <c r="J76" s="17">
        <f>'[14]Data Input'!AJ90</f>
        <v>21097</v>
      </c>
      <c r="K76" s="17">
        <f t="shared" si="5"/>
        <v>40523173.371104807</v>
      </c>
      <c r="L76" s="238">
        <f t="shared" si="6"/>
        <v>-2043006.6288951933</v>
      </c>
      <c r="M76" s="239">
        <f t="shared" si="7"/>
        <v>4.7996005958138438E-2</v>
      </c>
    </row>
    <row r="77" spans="1:26" x14ac:dyDescent="0.2">
      <c r="A77" s="32">
        <v>39508</v>
      </c>
      <c r="B77" s="106">
        <f>'[14]Data Input'!B91</f>
        <v>42057090</v>
      </c>
      <c r="C77" s="17">
        <f>'Historical HDD &amp; CDD'!C224</f>
        <v>602</v>
      </c>
      <c r="D77" s="107">
        <f>'Historical HDD &amp; CDD'!D224</f>
        <v>0</v>
      </c>
      <c r="E77" s="17">
        <v>31</v>
      </c>
      <c r="F77" s="17">
        <f>'CDM Activity'!B45</f>
        <v>230105.62433870521</v>
      </c>
      <c r="G77" s="23">
        <v>304</v>
      </c>
      <c r="H77" s="17">
        <v>1</v>
      </c>
      <c r="I77" s="34">
        <v>139.75568045642274</v>
      </c>
      <c r="J77" s="17">
        <f>'[14]Data Input'!AJ91</f>
        <v>21048</v>
      </c>
      <c r="K77" s="17">
        <f t="shared" si="5"/>
        <v>40082157.022147752</v>
      </c>
      <c r="L77" s="238">
        <f t="shared" si="6"/>
        <v>-1974932.9778522477</v>
      </c>
      <c r="M77" s="239">
        <f t="shared" si="7"/>
        <v>4.6958383897988371E-2</v>
      </c>
    </row>
    <row r="78" spans="1:26" x14ac:dyDescent="0.2">
      <c r="A78" s="32">
        <v>39539</v>
      </c>
      <c r="B78" s="106">
        <f>'[14]Data Input'!B92</f>
        <v>37570770</v>
      </c>
      <c r="C78" s="17">
        <f>'Historical HDD &amp; CDD'!C225</f>
        <v>272.8</v>
      </c>
      <c r="D78" s="107">
        <f>'Historical HDD &amp; CDD'!D225</f>
        <v>0</v>
      </c>
      <c r="E78" s="17">
        <v>30</v>
      </c>
      <c r="F78" s="17">
        <f>'CDM Activity'!B46</f>
        <v>240330.78128733736</v>
      </c>
      <c r="G78" s="23">
        <v>352</v>
      </c>
      <c r="H78" s="17">
        <v>1</v>
      </c>
      <c r="I78" s="34">
        <v>139.65042882439042</v>
      </c>
      <c r="J78" s="17">
        <f>'[14]Data Input'!AJ92</f>
        <v>21037</v>
      </c>
      <c r="K78" s="17">
        <f t="shared" si="5"/>
        <v>36973510.75371784</v>
      </c>
      <c r="L78" s="238">
        <f t="shared" si="6"/>
        <v>-597259.24628216028</v>
      </c>
      <c r="M78" s="239">
        <f t="shared" si="7"/>
        <v>1.5896912580768516E-2</v>
      </c>
    </row>
    <row r="79" spans="1:26" x14ac:dyDescent="0.2">
      <c r="A79" s="32">
        <v>39569</v>
      </c>
      <c r="B79" s="106">
        <f>'[14]Data Input'!B93</f>
        <v>36307140</v>
      </c>
      <c r="C79" s="17">
        <f>'Historical HDD &amp; CDD'!C226</f>
        <v>216.7</v>
      </c>
      <c r="D79" s="107">
        <f>'Historical HDD &amp; CDD'!D226</f>
        <v>0</v>
      </c>
      <c r="E79" s="17">
        <v>31</v>
      </c>
      <c r="F79" s="17">
        <f>'CDM Activity'!B47</f>
        <v>250555.93823596952</v>
      </c>
      <c r="G79" s="23">
        <v>336</v>
      </c>
      <c r="H79" s="17">
        <v>1</v>
      </c>
      <c r="I79" s="34">
        <v>139.54525645858905</v>
      </c>
      <c r="J79" s="17">
        <f>'[14]Data Input'!AJ93</f>
        <v>21010</v>
      </c>
      <c r="K79" s="17">
        <f t="shared" si="5"/>
        <v>36603346.88820219</v>
      </c>
      <c r="L79" s="238">
        <f t="shared" si="6"/>
        <v>296206.8882021904</v>
      </c>
      <c r="M79" s="239">
        <f t="shared" si="7"/>
        <v>8.1583646688279613E-3</v>
      </c>
    </row>
    <row r="80" spans="1:26" x14ac:dyDescent="0.2">
      <c r="A80" s="32">
        <v>39600</v>
      </c>
      <c r="B80" s="106">
        <f>'[14]Data Input'!B94</f>
        <v>41100780</v>
      </c>
      <c r="C80" s="17">
        <f>'Historical HDD &amp; CDD'!C227</f>
        <v>27.2</v>
      </c>
      <c r="D80" s="107">
        <f>'Historical HDD &amp; CDD'!D227</f>
        <v>61.499999999999986</v>
      </c>
      <c r="E80" s="17">
        <v>30</v>
      </c>
      <c r="F80" s="17">
        <f>'CDM Activity'!B48</f>
        <v>260781.09518460167</v>
      </c>
      <c r="G80" s="23">
        <v>336</v>
      </c>
      <c r="H80" s="17">
        <v>0</v>
      </c>
      <c r="I80" s="34">
        <v>139.44016329932234</v>
      </c>
      <c r="J80" s="17">
        <f>'[14]Data Input'!AJ94</f>
        <v>20943</v>
      </c>
      <c r="K80" s="17">
        <f t="shared" si="5"/>
        <v>39705925.937634021</v>
      </c>
      <c r="L80" s="238">
        <f t="shared" si="6"/>
        <v>-1394854.062365979</v>
      </c>
      <c r="M80" s="239">
        <f t="shared" si="7"/>
        <v>3.3937410977747356E-2</v>
      </c>
    </row>
    <row r="81" spans="1:26" x14ac:dyDescent="0.2">
      <c r="A81" s="32">
        <v>39630</v>
      </c>
      <c r="B81" s="106">
        <f>'[14]Data Input'!B95</f>
        <v>44714390</v>
      </c>
      <c r="C81" s="17">
        <f>'Historical HDD &amp; CDD'!C228</f>
        <v>5.2</v>
      </c>
      <c r="D81" s="107">
        <f>'Historical HDD &amp; CDD'!D228</f>
        <v>90.299999999999983</v>
      </c>
      <c r="E81" s="17">
        <v>31</v>
      </c>
      <c r="F81" s="17">
        <f>'CDM Activity'!B49</f>
        <v>271006.25213323382</v>
      </c>
      <c r="G81" s="23">
        <v>352</v>
      </c>
      <c r="H81" s="17">
        <v>0</v>
      </c>
      <c r="I81" s="34">
        <v>139.3351492869389</v>
      </c>
      <c r="J81" s="17">
        <f>'[14]Data Input'!AJ95</f>
        <v>20876</v>
      </c>
      <c r="K81" s="17">
        <f t="shared" si="5"/>
        <v>42870408.608499885</v>
      </c>
      <c r="L81" s="238">
        <f t="shared" si="6"/>
        <v>-1843981.3915001154</v>
      </c>
      <c r="M81" s="239">
        <f t="shared" si="7"/>
        <v>4.123910426822585E-2</v>
      </c>
    </row>
    <row r="82" spans="1:26" x14ac:dyDescent="0.2">
      <c r="A82" s="32">
        <v>39661</v>
      </c>
      <c r="B82" s="106">
        <f>'[14]Data Input'!B96</f>
        <v>41138100</v>
      </c>
      <c r="C82" s="17">
        <f>'Historical HDD &amp; CDD'!C229</f>
        <v>19</v>
      </c>
      <c r="D82" s="107">
        <f>'Historical HDD &amp; CDD'!D229</f>
        <v>42.4</v>
      </c>
      <c r="E82" s="17">
        <v>31</v>
      </c>
      <c r="F82" s="17">
        <f>'CDM Activity'!B50</f>
        <v>281231.40908186598</v>
      </c>
      <c r="G82" s="23">
        <v>320</v>
      </c>
      <c r="H82" s="17">
        <v>0</v>
      </c>
      <c r="I82" s="34">
        <v>139.23021436183228</v>
      </c>
      <c r="J82" s="17">
        <f>'[14]Data Input'!AJ96</f>
        <v>20898</v>
      </c>
      <c r="K82" s="17">
        <f t="shared" si="5"/>
        <v>38188446.034763426</v>
      </c>
      <c r="L82" s="238">
        <f t="shared" si="6"/>
        <v>-2949653.9652365744</v>
      </c>
      <c r="M82" s="239">
        <f t="shared" si="7"/>
        <v>7.1701268780925087E-2</v>
      </c>
    </row>
    <row r="83" spans="1:26" x14ac:dyDescent="0.2">
      <c r="A83" s="32">
        <v>39692</v>
      </c>
      <c r="B83" s="106">
        <f>'[14]Data Input'!B97</f>
        <v>39609350</v>
      </c>
      <c r="C83" s="17">
        <f>'Historical HDD &amp; CDD'!C230</f>
        <v>70.100000000000009</v>
      </c>
      <c r="D83" s="107">
        <f>'Historical HDD &amp; CDD'!D230</f>
        <v>25.500000000000004</v>
      </c>
      <c r="E83" s="17">
        <v>30</v>
      </c>
      <c r="F83" s="17">
        <f>'CDM Activity'!B51</f>
        <v>291456.56603049813</v>
      </c>
      <c r="G83" s="23">
        <v>336</v>
      </c>
      <c r="H83" s="17">
        <v>1</v>
      </c>
      <c r="I83" s="34">
        <v>139.12535846444095</v>
      </c>
      <c r="J83" s="17">
        <f>'[14]Data Input'!AJ97</f>
        <v>20867</v>
      </c>
      <c r="K83" s="17">
        <f t="shared" si="5"/>
        <v>36126556.258055404</v>
      </c>
      <c r="L83" s="238">
        <f t="shared" si="6"/>
        <v>-3482793.7419445962</v>
      </c>
      <c r="M83" s="239">
        <f t="shared" si="7"/>
        <v>8.7928576004014103E-2</v>
      </c>
    </row>
    <row r="84" spans="1:26" x14ac:dyDescent="0.2">
      <c r="A84" s="32">
        <v>39722</v>
      </c>
      <c r="B84" s="106">
        <f>'[14]Data Input'!B98</f>
        <v>37751930</v>
      </c>
      <c r="C84" s="17">
        <f>'Historical HDD &amp; CDD'!C231</f>
        <v>293.29999999999995</v>
      </c>
      <c r="D84" s="107">
        <f>'Historical HDD &amp; CDD'!D231</f>
        <v>0</v>
      </c>
      <c r="E84" s="17">
        <v>31</v>
      </c>
      <c r="F84" s="17">
        <f>'CDM Activity'!B52</f>
        <v>301681.72297913028</v>
      </c>
      <c r="G84" s="23">
        <v>352</v>
      </c>
      <c r="H84" s="17">
        <v>1</v>
      </c>
      <c r="I84" s="34">
        <v>139.02058153524823</v>
      </c>
      <c r="J84" s="17">
        <f>'[14]Data Input'!AJ98</f>
        <v>20969</v>
      </c>
      <c r="K84" s="17">
        <f t="shared" si="5"/>
        <v>37418233.228092223</v>
      </c>
      <c r="L84" s="238">
        <f t="shared" si="6"/>
        <v>-333696.77190777659</v>
      </c>
      <c r="M84" s="239">
        <f t="shared" si="7"/>
        <v>8.8391976756625849E-3</v>
      </c>
    </row>
    <row r="85" spans="1:26" x14ac:dyDescent="0.2">
      <c r="A85" s="32">
        <v>39753</v>
      </c>
      <c r="B85" s="106">
        <f>'[14]Data Input'!B99</f>
        <v>38864960</v>
      </c>
      <c r="C85" s="17">
        <f>'Historical HDD &amp; CDD'!C232</f>
        <v>447.40000000000003</v>
      </c>
      <c r="D85" s="107">
        <f>'Historical HDD &amp; CDD'!D232</f>
        <v>0</v>
      </c>
      <c r="E85" s="17">
        <v>30</v>
      </c>
      <c r="F85" s="17">
        <f>'CDM Activity'!B53</f>
        <v>311906.87992776243</v>
      </c>
      <c r="G85" s="23">
        <v>304</v>
      </c>
      <c r="H85" s="17">
        <v>1</v>
      </c>
      <c r="I85" s="34">
        <v>138.91588351478222</v>
      </c>
      <c r="J85" s="17">
        <f>'[14]Data Input'!AJ99</f>
        <v>20995</v>
      </c>
      <c r="K85" s="17">
        <f t="shared" si="5"/>
        <v>37094295.636254951</v>
      </c>
      <c r="L85" s="238">
        <f t="shared" si="6"/>
        <v>-1770664.3637450486</v>
      </c>
      <c r="M85" s="239">
        <f t="shared" si="7"/>
        <v>4.5559402704776965E-2</v>
      </c>
    </row>
    <row r="86" spans="1:26" s="33" customFormat="1" x14ac:dyDescent="0.2">
      <c r="A86" s="32">
        <v>39783</v>
      </c>
      <c r="B86" s="106">
        <f>'[14]Data Input'!B100</f>
        <v>41720160</v>
      </c>
      <c r="C86" s="17">
        <f>'Historical HDD &amp; CDD'!C233</f>
        <v>614.79999999999984</v>
      </c>
      <c r="D86" s="107">
        <f>'Historical HDD &amp; CDD'!D233</f>
        <v>0</v>
      </c>
      <c r="E86" s="17">
        <v>31</v>
      </c>
      <c r="F86" s="17">
        <f>'CDM Activity'!B54</f>
        <v>322132.03687639459</v>
      </c>
      <c r="G86" s="23">
        <v>336</v>
      </c>
      <c r="H86" s="17">
        <v>0</v>
      </c>
      <c r="I86" s="34">
        <v>138.8112643436159</v>
      </c>
      <c r="J86" s="17">
        <f>'[14]Data Input'!AJ100</f>
        <v>21113</v>
      </c>
      <c r="K86" s="17">
        <f t="shared" si="5"/>
        <v>41116516.670213811</v>
      </c>
      <c r="L86" s="238">
        <f t="shared" si="6"/>
        <v>-603643.3297861889</v>
      </c>
      <c r="M86" s="239">
        <f t="shared" si="7"/>
        <v>1.4468864208243422E-2</v>
      </c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x14ac:dyDescent="0.2">
      <c r="A87" s="32">
        <v>39814</v>
      </c>
      <c r="B87" s="106">
        <f>'[14]Data Input'!B103</f>
        <v>42696540</v>
      </c>
      <c r="C87" s="17">
        <f>'Historical HDD &amp; CDD'!C234</f>
        <v>829.40000000000009</v>
      </c>
      <c r="D87" s="107">
        <f>'Historical HDD &amp; CDD'!D234</f>
        <v>0</v>
      </c>
      <c r="E87" s="17">
        <v>31</v>
      </c>
      <c r="F87" s="17">
        <f>'CDM Activity'!B55</f>
        <v>332158.7806621865</v>
      </c>
      <c r="G87" s="23">
        <v>336</v>
      </c>
      <c r="H87" s="17">
        <v>0</v>
      </c>
      <c r="I87" s="34">
        <v>138.43555825854429</v>
      </c>
      <c r="J87" s="17">
        <f>'[14]Data Input'!AJ103</f>
        <v>21168</v>
      </c>
      <c r="K87" s="17">
        <f t="shared" si="5"/>
        <v>43327802.173320077</v>
      </c>
      <c r="L87" s="238">
        <f t="shared" si="6"/>
        <v>631262.17332007736</v>
      </c>
      <c r="M87" s="239">
        <f t="shared" si="7"/>
        <v>1.4784855478220889E-2</v>
      </c>
    </row>
    <row r="88" spans="1:26" x14ac:dyDescent="0.2">
      <c r="A88" s="32">
        <v>39845</v>
      </c>
      <c r="B88" s="106">
        <f>'[14]Data Input'!B104</f>
        <v>35865870</v>
      </c>
      <c r="C88" s="17">
        <f>'Historical HDD &amp; CDD'!C235</f>
        <v>605.50000000000011</v>
      </c>
      <c r="D88" s="107">
        <f>'Historical HDD &amp; CDD'!D235</f>
        <v>0</v>
      </c>
      <c r="E88" s="17">
        <v>28</v>
      </c>
      <c r="F88" s="17">
        <f>'CDM Activity'!B56</f>
        <v>342185.52444797842</v>
      </c>
      <c r="G88" s="23">
        <v>304</v>
      </c>
      <c r="H88" s="17">
        <v>0</v>
      </c>
      <c r="I88" s="34">
        <v>138.06086905825526</v>
      </c>
      <c r="J88" s="17">
        <f>'[14]Data Input'!AJ104</f>
        <v>21196</v>
      </c>
      <c r="K88" s="17">
        <f t="shared" si="5"/>
        <v>37962501.049214013</v>
      </c>
      <c r="L88" s="238">
        <f t="shared" si="6"/>
        <v>2096631.0492140129</v>
      </c>
      <c r="M88" s="239">
        <f t="shared" si="7"/>
        <v>5.8457554472093186E-2</v>
      </c>
    </row>
    <row r="89" spans="1:26" x14ac:dyDescent="0.2">
      <c r="A89" s="32">
        <v>39873</v>
      </c>
      <c r="B89" s="106">
        <f>'[14]Data Input'!B105</f>
        <v>36893370</v>
      </c>
      <c r="C89" s="17">
        <f>'Historical HDD &amp; CDD'!C236</f>
        <v>528.69999999999993</v>
      </c>
      <c r="D89" s="107">
        <f>'Historical HDD &amp; CDD'!D236</f>
        <v>0</v>
      </c>
      <c r="E89" s="17">
        <v>31</v>
      </c>
      <c r="F89" s="17">
        <f>'CDM Activity'!B57</f>
        <v>352212.26823377033</v>
      </c>
      <c r="G89" s="23">
        <v>352</v>
      </c>
      <c r="H89" s="17">
        <v>1</v>
      </c>
      <c r="I89" s="34">
        <v>137.68719399045199</v>
      </c>
      <c r="J89" s="17">
        <f>'[14]Data Input'!AJ105</f>
        <v>21181</v>
      </c>
      <c r="K89" s="17">
        <f t="shared" si="5"/>
        <v>39536585.981571972</v>
      </c>
      <c r="L89" s="238">
        <f t="shared" si="6"/>
        <v>2643215.9815719724</v>
      </c>
      <c r="M89" s="239">
        <f t="shared" si="7"/>
        <v>7.1644742173782777E-2</v>
      </c>
    </row>
    <row r="90" spans="1:26" x14ac:dyDescent="0.2">
      <c r="A90" s="32">
        <v>39904</v>
      </c>
      <c r="B90" s="106">
        <f>'[14]Data Input'!B106</f>
        <v>32546810</v>
      </c>
      <c r="C90" s="17">
        <f>'Historical HDD &amp; CDD'!C237</f>
        <v>316.50000000000006</v>
      </c>
      <c r="D90" s="107">
        <f>'Historical HDD &amp; CDD'!D237</f>
        <v>2</v>
      </c>
      <c r="E90" s="17">
        <v>30</v>
      </c>
      <c r="F90" s="17">
        <f>'CDM Activity'!B58</f>
        <v>362239.01201956224</v>
      </c>
      <c r="G90" s="23">
        <v>320</v>
      </c>
      <c r="H90" s="17">
        <v>1</v>
      </c>
      <c r="I90" s="34">
        <v>137.31453031028698</v>
      </c>
      <c r="J90" s="17">
        <f>'[14]Data Input'!AJ106</f>
        <v>21170</v>
      </c>
      <c r="K90" s="17">
        <f t="shared" si="5"/>
        <v>35867191.267932236</v>
      </c>
      <c r="L90" s="238">
        <f t="shared" si="6"/>
        <v>3320381.2679322362</v>
      </c>
      <c r="M90" s="239">
        <f t="shared" si="7"/>
        <v>0.10201863924397618</v>
      </c>
    </row>
    <row r="91" spans="1:26" x14ac:dyDescent="0.2">
      <c r="A91" s="32">
        <v>39934</v>
      </c>
      <c r="B91" s="106">
        <f>'[14]Data Input'!B107</f>
        <v>30411992.307692301</v>
      </c>
      <c r="C91" s="17">
        <f>'Historical HDD &amp; CDD'!C238</f>
        <v>157.19999999999996</v>
      </c>
      <c r="D91" s="107">
        <f>'Historical HDD &amp; CDD'!D238</f>
        <v>1.8</v>
      </c>
      <c r="E91" s="17">
        <v>31</v>
      </c>
      <c r="F91" s="17">
        <f>'CDM Activity'!B59</f>
        <v>372265.75580535416</v>
      </c>
      <c r="G91" s="23">
        <v>320</v>
      </c>
      <c r="H91" s="17">
        <v>1</v>
      </c>
      <c r="I91" s="34">
        <v>136.94287528034204</v>
      </c>
      <c r="J91" s="17">
        <f>'[14]Data Input'!AJ107</f>
        <v>21149</v>
      </c>
      <c r="K91" s="17">
        <f t="shared" si="5"/>
        <v>34776303.454385877</v>
      </c>
      <c r="L91" s="238">
        <f t="shared" si="6"/>
        <v>4364311.1466935761</v>
      </c>
      <c r="M91" s="239">
        <f t="shared" si="7"/>
        <v>0.14350625577363713</v>
      </c>
    </row>
    <row r="92" spans="1:26" x14ac:dyDescent="0.2">
      <c r="A92" s="32">
        <v>39965</v>
      </c>
      <c r="B92" s="106">
        <f>'[14]Data Input'!B108</f>
        <v>32954969.230769198</v>
      </c>
      <c r="C92" s="17">
        <f>'Historical HDD &amp; CDD'!C239</f>
        <v>44.4</v>
      </c>
      <c r="D92" s="107">
        <f>'Historical HDD &amp; CDD'!D239</f>
        <v>29.999999999999996</v>
      </c>
      <c r="E92" s="17">
        <v>30</v>
      </c>
      <c r="F92" s="17">
        <f>'CDM Activity'!B60</f>
        <v>382292.49959114607</v>
      </c>
      <c r="G92" s="23">
        <v>352</v>
      </c>
      <c r="H92" s="17">
        <v>0</v>
      </c>
      <c r="I92" s="34">
        <v>136.57222617060793</v>
      </c>
      <c r="J92" s="17">
        <f>'[14]Data Input'!AJ108</f>
        <v>21118</v>
      </c>
      <c r="K92" s="17">
        <f t="shared" si="5"/>
        <v>36736306.976056993</v>
      </c>
      <c r="L92" s="238">
        <f t="shared" si="6"/>
        <v>3781337.7452877946</v>
      </c>
      <c r="M92" s="239">
        <f t="shared" si="7"/>
        <v>0.11474256640352914</v>
      </c>
    </row>
    <row r="93" spans="1:26" x14ac:dyDescent="0.2">
      <c r="A93" s="32">
        <v>39995</v>
      </c>
      <c r="B93" s="106">
        <f>'[14]Data Input'!B109</f>
        <v>35112530.769230798</v>
      </c>
      <c r="C93" s="17">
        <f>'Historical HDD &amp; CDD'!C240</f>
        <v>19.600000000000001</v>
      </c>
      <c r="D93" s="107">
        <f>'Historical HDD &amp; CDD'!D240</f>
        <v>33.1</v>
      </c>
      <c r="E93" s="17">
        <v>31</v>
      </c>
      <c r="F93" s="17">
        <f>'CDM Activity'!B61</f>
        <v>392319.24337693799</v>
      </c>
      <c r="G93" s="23">
        <v>352</v>
      </c>
      <c r="H93" s="17">
        <v>0</v>
      </c>
      <c r="I93" s="34">
        <v>136.20258025846454</v>
      </c>
      <c r="J93" s="17">
        <f>'[14]Data Input'!AJ109</f>
        <v>21020</v>
      </c>
      <c r="K93" s="17">
        <f t="shared" si="5"/>
        <v>37352959.080271043</v>
      </c>
      <c r="L93" s="238">
        <f t="shared" si="6"/>
        <v>2240428.311040245</v>
      </c>
      <c r="M93" s="239">
        <f t="shared" si="7"/>
        <v>6.3807087155436204E-2</v>
      </c>
    </row>
    <row r="94" spans="1:26" x14ac:dyDescent="0.2">
      <c r="A94" s="32">
        <v>40026</v>
      </c>
      <c r="B94" s="106">
        <f>'[14]Data Input'!B110</f>
        <v>38795184.615384601</v>
      </c>
      <c r="C94" s="17">
        <f>'Historical HDD &amp; CDD'!C241</f>
        <v>14.200000000000001</v>
      </c>
      <c r="D94" s="107">
        <f>'Historical HDD &amp; CDD'!D241</f>
        <v>74.199999999999974</v>
      </c>
      <c r="E94" s="17">
        <v>31</v>
      </c>
      <c r="F94" s="17">
        <f>'CDM Activity'!B62</f>
        <v>402345.9871627299</v>
      </c>
      <c r="G94" s="23">
        <v>320</v>
      </c>
      <c r="H94" s="17">
        <v>0</v>
      </c>
      <c r="I94" s="34">
        <v>135.83393482866074</v>
      </c>
      <c r="J94" s="17">
        <f>'[14]Data Input'!AJ110</f>
        <v>20991</v>
      </c>
      <c r="K94" s="17">
        <f t="shared" si="5"/>
        <v>39824476.956227325</v>
      </c>
      <c r="L94" s="238">
        <f t="shared" si="6"/>
        <v>1029292.3408427238</v>
      </c>
      <c r="M94" s="239">
        <f t="shared" si="7"/>
        <v>2.6531445875232363E-2</v>
      </c>
    </row>
    <row r="95" spans="1:26" x14ac:dyDescent="0.2">
      <c r="A95" s="32">
        <v>40057</v>
      </c>
      <c r="B95" s="106">
        <f>'[14]Data Input'!B111</f>
        <v>32382923.076923098</v>
      </c>
      <c r="C95" s="17">
        <f>'Historical HDD &amp; CDD'!C242</f>
        <v>70.8</v>
      </c>
      <c r="D95" s="107">
        <f>'Historical HDD &amp; CDD'!D242</f>
        <v>12</v>
      </c>
      <c r="E95" s="17">
        <v>30</v>
      </c>
      <c r="F95" s="17">
        <f>'CDM Activity'!B63</f>
        <v>412372.73094852181</v>
      </c>
      <c r="G95" s="23">
        <v>336</v>
      </c>
      <c r="H95" s="17">
        <v>1</v>
      </c>
      <c r="I95" s="34">
        <v>135.46628717329455</v>
      </c>
      <c r="J95" s="17">
        <f>'[14]Data Input'!AJ111</f>
        <v>21063</v>
      </c>
      <c r="K95" s="17">
        <f t="shared" si="5"/>
        <v>34078295.861674517</v>
      </c>
      <c r="L95" s="238">
        <f t="shared" si="6"/>
        <v>1695372.784751419</v>
      </c>
      <c r="M95" s="239">
        <f t="shared" si="7"/>
        <v>5.2353914460538158E-2</v>
      </c>
    </row>
    <row r="96" spans="1:26" x14ac:dyDescent="0.2">
      <c r="A96" s="32">
        <v>40087</v>
      </c>
      <c r="B96" s="106">
        <f>'[14]Data Input'!B112</f>
        <v>32302730.769230802</v>
      </c>
      <c r="C96" s="17">
        <f>'Historical HDD &amp; CDD'!C243</f>
        <v>290</v>
      </c>
      <c r="D96" s="107">
        <f>'Historical HDD &amp; CDD'!D243</f>
        <v>0</v>
      </c>
      <c r="E96" s="17">
        <v>31</v>
      </c>
      <c r="F96" s="17">
        <f>'CDM Activity'!B64</f>
        <v>422399.47473431373</v>
      </c>
      <c r="G96" s="23">
        <v>336</v>
      </c>
      <c r="H96" s="17">
        <v>1</v>
      </c>
      <c r="I96" s="34">
        <v>135.09963459179312</v>
      </c>
      <c r="J96" s="17">
        <f>'[14]Data Input'!AJ112</f>
        <v>21140</v>
      </c>
      <c r="K96" s="17">
        <f t="shared" si="5"/>
        <v>36049618.628073081</v>
      </c>
      <c r="L96" s="238">
        <f t="shared" si="6"/>
        <v>3746887.8588422798</v>
      </c>
      <c r="M96" s="239">
        <f t="shared" si="7"/>
        <v>0.11599291359018132</v>
      </c>
    </row>
    <row r="97" spans="1:13" x14ac:dyDescent="0.2">
      <c r="A97" s="32">
        <v>40118</v>
      </c>
      <c r="B97" s="106">
        <f>'[14]Data Input'!B113</f>
        <v>32596484.615384601</v>
      </c>
      <c r="C97" s="17">
        <f>'Historical HDD &amp; CDD'!C244</f>
        <v>336.4</v>
      </c>
      <c r="D97" s="107">
        <f>'Historical HDD &amp; CDD'!D244</f>
        <v>0</v>
      </c>
      <c r="E97" s="17">
        <v>30</v>
      </c>
      <c r="F97" s="17">
        <f>'CDM Activity'!B65</f>
        <v>432426.21852010564</v>
      </c>
      <c r="G97" s="23">
        <v>320</v>
      </c>
      <c r="H97" s="17">
        <v>1</v>
      </c>
      <c r="I97" s="34">
        <v>134.733974390893</v>
      </c>
      <c r="J97" s="17">
        <f>'[14]Data Input'!AJ113</f>
        <v>21205</v>
      </c>
      <c r="K97" s="17">
        <f t="shared" si="5"/>
        <v>35368624.611660883</v>
      </c>
      <c r="L97" s="238">
        <f t="shared" si="6"/>
        <v>2772139.9962762818</v>
      </c>
      <c r="M97" s="239">
        <f t="shared" si="7"/>
        <v>8.5044139850832617E-2</v>
      </c>
    </row>
    <row r="98" spans="1:13" x14ac:dyDescent="0.2">
      <c r="A98" s="32">
        <v>40148</v>
      </c>
      <c r="B98" s="106">
        <f>'[14]Data Input'!B114</f>
        <v>37057807.692307703</v>
      </c>
      <c r="C98" s="17">
        <f>'Historical HDD &amp; CDD'!C245</f>
        <v>612.29999999999984</v>
      </c>
      <c r="D98" s="107">
        <f>'Historical HDD &amp; CDD'!D245</f>
        <v>0</v>
      </c>
      <c r="E98" s="17">
        <v>31</v>
      </c>
      <c r="F98" s="17">
        <f>'CDM Activity'!B66</f>
        <v>442452.96230589756</v>
      </c>
      <c r="G98" s="23">
        <v>352</v>
      </c>
      <c r="H98" s="17">
        <v>0</v>
      </c>
      <c r="I98" s="34">
        <v>134.36930388462019</v>
      </c>
      <c r="J98" s="17">
        <f>'[14]Data Input'!AJ114</f>
        <v>21285</v>
      </c>
      <c r="K98" s="17">
        <f t="shared" si="5"/>
        <v>40549797.621348135</v>
      </c>
      <c r="L98" s="238">
        <f t="shared" si="6"/>
        <v>3491989.929040432</v>
      </c>
      <c r="M98" s="239">
        <f t="shared" si="7"/>
        <v>9.4230882680231623E-2</v>
      </c>
    </row>
    <row r="99" spans="1:13" x14ac:dyDescent="0.2">
      <c r="A99" s="32">
        <v>40179</v>
      </c>
      <c r="B99" s="106">
        <f>'[14]Data Input'!B117</f>
        <v>38555453.846153803</v>
      </c>
      <c r="C99" s="17">
        <f>'Historical HDD &amp; CDD'!C246</f>
        <v>711.09999999999991</v>
      </c>
      <c r="D99" s="107">
        <f>'Historical HDD &amp; CDD'!D246</f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'[14]Data Input'!AJ117</f>
        <v>21337</v>
      </c>
      <c r="K99" s="17">
        <f t="shared" si="5"/>
        <v>40833273.638961226</v>
      </c>
      <c r="L99" s="238">
        <f t="shared" si="6"/>
        <v>2277819.7928074226</v>
      </c>
      <c r="M99" s="239">
        <f t="shared" si="7"/>
        <v>5.9079055375576971E-2</v>
      </c>
    </row>
    <row r="100" spans="1:13" x14ac:dyDescent="0.2">
      <c r="A100" s="32">
        <v>40210</v>
      </c>
      <c r="B100" s="106">
        <f>'[14]Data Input'!B118</f>
        <v>35503923.076923102</v>
      </c>
      <c r="C100" s="17">
        <f>'Historical HDD &amp; CDD'!C247</f>
        <v>632.5</v>
      </c>
      <c r="D100" s="107">
        <f>'Historical HDD &amp; CDD'!D247</f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'[14]Data Input'!AJ118</f>
        <v>21373</v>
      </c>
      <c r="K100" s="17">
        <f t="shared" si="5"/>
        <v>37510829.75942941</v>
      </c>
      <c r="L100" s="238">
        <f t="shared" si="6"/>
        <v>2006906.682506308</v>
      </c>
      <c r="M100" s="239">
        <f t="shared" si="7"/>
        <v>5.6526335925135E-2</v>
      </c>
    </row>
    <row r="101" spans="1:13" x14ac:dyDescent="0.2">
      <c r="A101" s="32">
        <v>40238</v>
      </c>
      <c r="B101" s="106">
        <f>'[14]Data Input'!B119</f>
        <v>36616969.230769202</v>
      </c>
      <c r="C101" s="17">
        <f>'Historical HDD &amp; CDD'!C248</f>
        <v>468</v>
      </c>
      <c r="D101" s="107">
        <f>'Historical HDD &amp; CDD'!D248</f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'[14]Data Input'!AJ119</f>
        <v>21285</v>
      </c>
      <c r="K101" s="17">
        <f t="shared" si="5"/>
        <v>38642274.355200507</v>
      </c>
      <c r="L101" s="238">
        <f t="shared" si="6"/>
        <v>2025305.1244313046</v>
      </c>
      <c r="M101" s="239">
        <f t="shared" si="7"/>
        <v>5.5310561386643732E-2</v>
      </c>
    </row>
    <row r="102" spans="1:13" x14ac:dyDescent="0.2">
      <c r="A102" s="32">
        <v>40269</v>
      </c>
      <c r="B102" s="106">
        <f>'[14]Data Input'!B120</f>
        <v>31620684.615384601</v>
      </c>
      <c r="C102" s="17">
        <f>'Historical HDD &amp; CDD'!C249</f>
        <v>243</v>
      </c>
      <c r="D102" s="107">
        <f>'Historical HDD &amp; CDD'!D249</f>
        <v>0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'[14]Data Input'!AJ120</f>
        <v>21292</v>
      </c>
      <c r="K102" s="17">
        <f t="shared" si="5"/>
        <v>34373627.833429612</v>
      </c>
      <c r="L102" s="238">
        <f t="shared" si="6"/>
        <v>2752943.2180450112</v>
      </c>
      <c r="M102" s="239">
        <f t="shared" si="7"/>
        <v>8.7061467881868859E-2</v>
      </c>
    </row>
    <row r="103" spans="1:13" x14ac:dyDescent="0.2">
      <c r="A103" s="32">
        <v>40299</v>
      </c>
      <c r="B103" s="106">
        <f>'[14]Data Input'!B121</f>
        <v>34713300</v>
      </c>
      <c r="C103" s="17">
        <f>'Historical HDD &amp; CDD'!C250</f>
        <v>125.40000000000003</v>
      </c>
      <c r="D103" s="107">
        <f>'Historical HDD &amp; CDD'!D250</f>
        <v>27.5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'[14]Data Input'!AJ121</f>
        <v>21256</v>
      </c>
      <c r="K103" s="17">
        <f t="shared" si="5"/>
        <v>36115004.579174802</v>
      </c>
      <c r="L103" s="238">
        <f t="shared" si="6"/>
        <v>1401704.5791748017</v>
      </c>
      <c r="M103" s="239">
        <f t="shared" si="7"/>
        <v>4.0379467788277168E-2</v>
      </c>
    </row>
    <row r="104" spans="1:13" x14ac:dyDescent="0.2">
      <c r="A104" s="32">
        <v>40330</v>
      </c>
      <c r="B104" s="106">
        <f>'[14]Data Input'!B122</f>
        <v>38175215.384615399</v>
      </c>
      <c r="C104" s="17">
        <f>'Historical HDD &amp; CDD'!C251</f>
        <v>23.599999999999994</v>
      </c>
      <c r="D104" s="107">
        <f>'Historical HDD &amp; CDD'!D251</f>
        <v>51.300000000000011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'[14]Data Input'!AJ122</f>
        <v>21221</v>
      </c>
      <c r="K104" s="17">
        <f t="shared" si="5"/>
        <v>37926394.086761564</v>
      </c>
      <c r="L104" s="238">
        <f t="shared" si="6"/>
        <v>-248821.29785383493</v>
      </c>
      <c r="M104" s="239">
        <f t="shared" si="7"/>
        <v>6.5178754159461753E-3</v>
      </c>
    </row>
    <row r="105" spans="1:13" x14ac:dyDescent="0.2">
      <c r="A105" s="32">
        <v>40360</v>
      </c>
      <c r="B105" s="106">
        <f>'[14]Data Input'!B123</f>
        <v>43449461.538461499</v>
      </c>
      <c r="C105" s="17">
        <f>'Historical HDD &amp; CDD'!C252</f>
        <v>4.5999999999999996</v>
      </c>
      <c r="D105" s="107">
        <f>'Historical HDD &amp; CDD'!D252</f>
        <v>123.99999999999999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'[14]Data Input'!AJ123</f>
        <v>21238</v>
      </c>
      <c r="K105" s="17">
        <f t="shared" si="5"/>
        <v>44060673.008734807</v>
      </c>
      <c r="L105" s="238">
        <f t="shared" si="6"/>
        <v>611211.47027330846</v>
      </c>
      <c r="M105" s="239">
        <f t="shared" si="7"/>
        <v>1.4067181701026688E-2</v>
      </c>
    </row>
    <row r="106" spans="1:13" x14ac:dyDescent="0.2">
      <c r="A106" s="32">
        <v>40391</v>
      </c>
      <c r="B106" s="106">
        <f>'[14]Data Input'!B124</f>
        <v>42901115.384615399</v>
      </c>
      <c r="C106" s="17">
        <f>'Historical HDD &amp; CDD'!C253</f>
        <v>7.6999999999999993</v>
      </c>
      <c r="D106" s="107">
        <f>'Historical HDD &amp; CDD'!D253</f>
        <v>103.40000000000003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'[14]Data Input'!AJ124</f>
        <v>21219</v>
      </c>
      <c r="K106" s="17">
        <f t="shared" si="5"/>
        <v>42410760.165653713</v>
      </c>
      <c r="L106" s="238">
        <f t="shared" si="6"/>
        <v>-490355.2189616859</v>
      </c>
      <c r="M106" s="239">
        <f t="shared" si="7"/>
        <v>1.1429894411032732E-2</v>
      </c>
    </row>
    <row r="107" spans="1:13" x14ac:dyDescent="0.2">
      <c r="A107" s="32">
        <v>40422</v>
      </c>
      <c r="B107" s="106">
        <f>'[14]Data Input'!B125</f>
        <v>34876669.230769202</v>
      </c>
      <c r="C107" s="17">
        <f>'Historical HDD &amp; CDD'!C254</f>
        <v>69.599999999999994</v>
      </c>
      <c r="D107" s="107">
        <f>'Historical HDD &amp; CDD'!D254</f>
        <v>13.899999999999999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'[14]Data Input'!AJ125</f>
        <v>21290</v>
      </c>
      <c r="K107" s="17">
        <f t="shared" si="5"/>
        <v>34167105.326919638</v>
      </c>
      <c r="L107" s="238">
        <f t="shared" si="6"/>
        <v>-709563.90384956449</v>
      </c>
      <c r="M107" s="239">
        <f t="shared" si="7"/>
        <v>2.0344944614824823E-2</v>
      </c>
    </row>
    <row r="108" spans="1:13" x14ac:dyDescent="0.2">
      <c r="A108" s="32">
        <v>40452</v>
      </c>
      <c r="B108" s="106">
        <f>'[14]Data Input'!B126</f>
        <v>33323746.1538461</v>
      </c>
      <c r="C108" s="17">
        <f>'Historical HDD &amp; CDD'!C255</f>
        <v>247.29999999999998</v>
      </c>
      <c r="D108" s="107">
        <f>'Historical HDD &amp; CDD'!D255</f>
        <v>0.1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'[14]Data Input'!AJ126</f>
        <v>21329</v>
      </c>
      <c r="K108" s="17">
        <f t="shared" si="5"/>
        <v>35249554.747045062</v>
      </c>
      <c r="L108" s="238">
        <f t="shared" si="6"/>
        <v>1925808.5931989625</v>
      </c>
      <c r="M108" s="239">
        <f t="shared" si="7"/>
        <v>5.7790879341958167E-2</v>
      </c>
    </row>
    <row r="109" spans="1:13" x14ac:dyDescent="0.2">
      <c r="A109" s="32">
        <v>40483</v>
      </c>
      <c r="B109" s="106">
        <f>'[14]Data Input'!B127</f>
        <v>35291992.307692297</v>
      </c>
      <c r="C109" s="17">
        <f>'Historical HDD &amp; CDD'!C256</f>
        <v>239.9</v>
      </c>
      <c r="D109" s="107">
        <f>'Historical HDD &amp; CDD'!D256</f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'[14]Data Input'!AJ127</f>
        <v>21323</v>
      </c>
      <c r="K109" s="17">
        <f t="shared" si="5"/>
        <v>34874416.946807466</v>
      </c>
      <c r="L109" s="238">
        <f t="shared" si="6"/>
        <v>-417575.36088483036</v>
      </c>
      <c r="M109" s="239">
        <f t="shared" si="7"/>
        <v>1.1832014391372714E-2</v>
      </c>
    </row>
    <row r="110" spans="1:13" x14ac:dyDescent="0.2">
      <c r="A110" s="32">
        <v>40513</v>
      </c>
      <c r="B110" s="106">
        <f>'[14]Data Input'!B128</f>
        <v>38566092.307692297</v>
      </c>
      <c r="C110" s="17">
        <f>'Historical HDD &amp; CDD'!C257</f>
        <v>671.3</v>
      </c>
      <c r="D110" s="107">
        <f>'Historical HDD &amp; CDD'!D257</f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'[14]Data Input'!AJ128</f>
        <v>21421</v>
      </c>
      <c r="K110" s="17">
        <f t="shared" si="5"/>
        <v>41812115.72226923</v>
      </c>
      <c r="L110" s="238">
        <f t="shared" si="6"/>
        <v>3246023.4145769328</v>
      </c>
      <c r="M110" s="239">
        <f t="shared" si="7"/>
        <v>8.4167807012417717E-2</v>
      </c>
    </row>
    <row r="111" spans="1:13" x14ac:dyDescent="0.2">
      <c r="A111" s="32">
        <v>40544</v>
      </c>
      <c r="B111" s="106">
        <f>'[14]Data Input'!B131</f>
        <v>40900176.416666664</v>
      </c>
      <c r="C111" s="17">
        <f>'Historical HDD &amp; CDD'!C258</f>
        <v>794.6</v>
      </c>
      <c r="D111" s="107">
        <f>'Historical HDD &amp; CDD'!D258</f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'[14]Data Input'!AJ131</f>
        <v>21445.222222222223</v>
      </c>
      <c r="K111" s="17">
        <f t="shared" si="5"/>
        <v>42139021.180481829</v>
      </c>
      <c r="L111" s="238">
        <f t="shared" si="6"/>
        <v>1238844.7638151646</v>
      </c>
      <c r="M111" s="239">
        <f t="shared" si="7"/>
        <v>3.0289472377687351E-2</v>
      </c>
    </row>
    <row r="112" spans="1:13" x14ac:dyDescent="0.2">
      <c r="A112" s="32">
        <v>40575</v>
      </c>
      <c r="B112" s="106">
        <f>'[14]Data Input'!B132</f>
        <v>37002004.416666664</v>
      </c>
      <c r="C112" s="17">
        <f>'Historical HDD &amp; CDD'!C259</f>
        <v>645.30000000000007</v>
      </c>
      <c r="D112" s="107">
        <f>'Historical HDD &amp; CDD'!D259</f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'[14]Data Input'!AJ132</f>
        <v>21469.444444444445</v>
      </c>
      <c r="K112" s="17">
        <f t="shared" si="5"/>
        <v>37449334.296851151</v>
      </c>
      <c r="L112" s="238">
        <f t="shared" si="6"/>
        <v>447329.88018448651</v>
      </c>
      <c r="M112" s="239">
        <f t="shared" si="7"/>
        <v>1.2089341840708432E-2</v>
      </c>
    </row>
    <row r="113" spans="1:13" x14ac:dyDescent="0.2">
      <c r="A113" s="32">
        <v>40603</v>
      </c>
      <c r="B113" s="106">
        <f>'[14]Data Input'!B133</f>
        <v>39251866.416666664</v>
      </c>
      <c r="C113" s="17">
        <f>'Historical HDD &amp; CDD'!C260</f>
        <v>550.6</v>
      </c>
      <c r="D113" s="107">
        <f>'Historical HDD &amp; CDD'!D260</f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'[14]Data Input'!AJ133</f>
        <v>21493.666666666672</v>
      </c>
      <c r="K113" s="17">
        <f t="shared" si="5"/>
        <v>39107440.266383126</v>
      </c>
      <c r="L113" s="238">
        <f t="shared" si="6"/>
        <v>-144426.15028353781</v>
      </c>
      <c r="M113" s="239">
        <f t="shared" si="7"/>
        <v>3.6794721746585095E-3</v>
      </c>
    </row>
    <row r="114" spans="1:13" x14ac:dyDescent="0.2">
      <c r="A114" s="32">
        <v>40634</v>
      </c>
      <c r="B114" s="106">
        <f>'[14]Data Input'!B134</f>
        <v>34076716.416666664</v>
      </c>
      <c r="C114" s="17">
        <f>'Historical HDD &amp; CDD'!C261</f>
        <v>324.89999999999998</v>
      </c>
      <c r="D114" s="107">
        <f>'Historical HDD &amp; CDD'!D261</f>
        <v>0.4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'[14]Data Input'!AJ134</f>
        <v>21517.888888888894</v>
      </c>
      <c r="K114" s="17">
        <f t="shared" si="5"/>
        <v>34646469.474221282</v>
      </c>
      <c r="L114" s="238">
        <f t="shared" si="6"/>
        <v>569753.05755461752</v>
      </c>
      <c r="M114" s="239">
        <f t="shared" si="7"/>
        <v>1.6719717081542386E-2</v>
      </c>
    </row>
    <row r="115" spans="1:13" x14ac:dyDescent="0.2">
      <c r="A115" s="32">
        <v>40664</v>
      </c>
      <c r="B115" s="106">
        <f>'[14]Data Input'!B135</f>
        <v>34411223.416666664</v>
      </c>
      <c r="C115" s="17">
        <f>'Historical HDD &amp; CDD'!C262</f>
        <v>136.00000000000003</v>
      </c>
      <c r="D115" s="107">
        <f>'Historical HDD &amp; CDD'!D262</f>
        <v>12.5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'[14]Data Input'!AJ135</f>
        <v>21542.11111111112</v>
      </c>
      <c r="K115" s="17">
        <f t="shared" si="5"/>
        <v>34531514.084644362</v>
      </c>
      <c r="L115" s="238">
        <f t="shared" si="6"/>
        <v>120290.66797769815</v>
      </c>
      <c r="M115" s="239">
        <f t="shared" si="7"/>
        <v>3.495681235193655E-3</v>
      </c>
    </row>
    <row r="116" spans="1:13" x14ac:dyDescent="0.2">
      <c r="A116" s="32">
        <v>40695</v>
      </c>
      <c r="B116" s="106">
        <f>'[14]Data Input'!B136</f>
        <v>38049473.416666664</v>
      </c>
      <c r="C116" s="17">
        <f>'Historical HDD &amp; CDD'!C263</f>
        <v>22.700000000000003</v>
      </c>
      <c r="D116" s="107">
        <f>'Historical HDD &amp; CDD'!D263</f>
        <v>40.200000000000003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'[14]Data Input'!AJ136</f>
        <v>21566.333333333343</v>
      </c>
      <c r="K116" s="17">
        <f t="shared" si="5"/>
        <v>35929543.504670762</v>
      </c>
      <c r="L116" s="238">
        <f t="shared" si="6"/>
        <v>-2119929.9119959027</v>
      </c>
      <c r="M116" s="239">
        <f t="shared" si="7"/>
        <v>5.571509200091368E-2</v>
      </c>
    </row>
    <row r="117" spans="1:13" x14ac:dyDescent="0.2">
      <c r="A117" s="32">
        <v>40725</v>
      </c>
      <c r="B117" s="106">
        <f>'[14]Data Input'!B137</f>
        <v>46034684.416666664</v>
      </c>
      <c r="C117" s="17">
        <f>'Historical HDD &amp; CDD'!C264</f>
        <v>0.2</v>
      </c>
      <c r="D117" s="107">
        <f>'Historical HDD &amp; CDD'!D264</f>
        <v>158.6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'[14]Data Input'!AJ137</f>
        <v>21590.555555555569</v>
      </c>
      <c r="K117" s="17">
        <f t="shared" si="5"/>
        <v>45190994.866242446</v>
      </c>
      <c r="L117" s="238">
        <f t="shared" si="6"/>
        <v>-843689.55042421818</v>
      </c>
      <c r="M117" s="239">
        <f t="shared" si="7"/>
        <v>1.8327258264396049E-2</v>
      </c>
    </row>
    <row r="118" spans="1:13" x14ac:dyDescent="0.2">
      <c r="A118" s="32">
        <v>40756</v>
      </c>
      <c r="B118" s="106">
        <f>'[14]Data Input'!B138</f>
        <v>42762335.416666664</v>
      </c>
      <c r="C118" s="17">
        <f>'Historical HDD &amp; CDD'!C265</f>
        <v>4.0999999999999996</v>
      </c>
      <c r="D118" s="107">
        <f>'Historical HDD &amp; CDD'!D265</f>
        <v>88.8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'[14]Data Input'!AJ138</f>
        <v>21614.777777777792</v>
      </c>
      <c r="K118" s="17">
        <f t="shared" si="5"/>
        <v>40055093.557370953</v>
      </c>
      <c r="L118" s="238">
        <f t="shared" si="6"/>
        <v>-2707241.8592957109</v>
      </c>
      <c r="M118" s="239">
        <f t="shared" si="7"/>
        <v>6.3309027276385862E-2</v>
      </c>
    </row>
    <row r="119" spans="1:13" x14ac:dyDescent="0.2">
      <c r="A119" s="32">
        <v>40787</v>
      </c>
      <c r="B119" s="106">
        <f>'[14]Data Input'!B139</f>
        <v>34007841.416666664</v>
      </c>
      <c r="C119" s="17">
        <f>'Historical HDD &amp; CDD'!C266</f>
        <v>53.8</v>
      </c>
      <c r="D119" s="107">
        <f>'Historical HDD &amp; CDD'!D266</f>
        <v>24.9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'[14]Data Input'!AJ139</f>
        <v>21639.000000000015</v>
      </c>
      <c r="K119" s="17">
        <f t="shared" si="5"/>
        <v>33184336.354473572</v>
      </c>
      <c r="L119" s="238">
        <f t="shared" si="6"/>
        <v>-823505.06219309196</v>
      </c>
      <c r="M119" s="239">
        <f t="shared" si="7"/>
        <v>2.4215152385105694E-2</v>
      </c>
    </row>
    <row r="120" spans="1:13" x14ac:dyDescent="0.2">
      <c r="A120" s="32">
        <v>40817</v>
      </c>
      <c r="B120" s="106">
        <f>'[14]Data Input'!B140</f>
        <v>32896105.416666668</v>
      </c>
      <c r="C120" s="17">
        <f>'Historical HDD &amp; CDD'!C267</f>
        <v>234.5</v>
      </c>
      <c r="D120" s="107">
        <f>'Historical HDD &amp; CDD'!D267</f>
        <v>0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'[14]Data Input'!AJ140</f>
        <v>21663.222222222237</v>
      </c>
      <c r="K120" s="17">
        <f t="shared" si="5"/>
        <v>33163339.250973482</v>
      </c>
      <c r="L120" s="238">
        <f t="shared" si="6"/>
        <v>267233.83430681378</v>
      </c>
      <c r="M120" s="239">
        <f t="shared" si="7"/>
        <v>8.1235705844808284E-3</v>
      </c>
    </row>
    <row r="121" spans="1:13" x14ac:dyDescent="0.2">
      <c r="A121" s="32">
        <v>40848</v>
      </c>
      <c r="B121" s="106">
        <f>'[14]Data Input'!B141</f>
        <v>34363376.416666664</v>
      </c>
      <c r="C121" s="17">
        <f>'Historical HDD &amp; CDD'!C268</f>
        <v>320.00000000000006</v>
      </c>
      <c r="D121" s="107">
        <f>'Historical HDD &amp; CDD'!D268</f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'[14]Data Input'!AJ141</f>
        <v>21687.44444444446</v>
      </c>
      <c r="K121" s="17">
        <f t="shared" si="5"/>
        <v>33964683.790630326</v>
      </c>
      <c r="L121" s="238">
        <f t="shared" si="6"/>
        <v>-398692.62603633851</v>
      </c>
      <c r="M121" s="239">
        <f t="shared" si="7"/>
        <v>1.1602254132482967E-2</v>
      </c>
    </row>
    <row r="122" spans="1:13" x14ac:dyDescent="0.2">
      <c r="A122" s="32">
        <v>40878</v>
      </c>
      <c r="B122" s="106">
        <f>'[14]Data Input'!B142</f>
        <v>37465044.416666664</v>
      </c>
      <c r="C122" s="17">
        <f>'Historical HDD &amp; CDD'!C269</f>
        <v>512</v>
      </c>
      <c r="D122" s="17">
        <f>'Historical HDD &amp; CDD'!D269</f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'[14]Data Input'!AJ142</f>
        <v>21711.66666666669</v>
      </c>
      <c r="K122" s="17">
        <f t="shared" si="5"/>
        <v>36945276.636163875</v>
      </c>
      <c r="L122" s="238">
        <f t="shared" si="6"/>
        <v>-519767.78050278872</v>
      </c>
      <c r="M122" s="239">
        <f t="shared" si="7"/>
        <v>1.387340622694058E-2</v>
      </c>
    </row>
    <row r="123" spans="1:13" x14ac:dyDescent="0.2">
      <c r="A123" s="32">
        <v>40909</v>
      </c>
      <c r="B123" s="106">
        <f>'[14]Data Input'!B145</f>
        <v>38332945</v>
      </c>
      <c r="C123" s="17">
        <f>'Historical HDD &amp; CDD'!C270</f>
        <v>600.80000000000007</v>
      </c>
      <c r="D123" s="17">
        <f>'Historical HDD &amp; CDD'!D270</f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'[14]Data Input'!AJ145</f>
        <v>21863</v>
      </c>
      <c r="K123" s="17">
        <f t="shared" si="5"/>
        <v>37894796.150789224</v>
      </c>
      <c r="L123" s="238">
        <f t="shared" si="6"/>
        <v>-438148.84921077639</v>
      </c>
      <c r="M123" s="239">
        <f t="shared" si="7"/>
        <v>1.1430085771150022E-2</v>
      </c>
    </row>
    <row r="124" spans="1:13" x14ac:dyDescent="0.2">
      <c r="A124" s="32">
        <v>40940</v>
      </c>
      <c r="B124" s="106">
        <f>'[14]Data Input'!B146</f>
        <v>35663980</v>
      </c>
      <c r="C124" s="17">
        <f>'Historical HDD &amp; CDD'!C271</f>
        <v>533.20000000000005</v>
      </c>
      <c r="D124" s="17">
        <f>'Historical HDD &amp; CDD'!D271</f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'[14]Data Input'!AJ146</f>
        <v>21957</v>
      </c>
      <c r="K124" s="17">
        <f t="shared" si="5"/>
        <v>35375022.18215955</v>
      </c>
      <c r="L124" s="238">
        <f t="shared" si="6"/>
        <v>-288957.81784044951</v>
      </c>
      <c r="M124" s="239">
        <f t="shared" si="7"/>
        <v>8.1022313785631753E-3</v>
      </c>
    </row>
    <row r="125" spans="1:13" x14ac:dyDescent="0.2">
      <c r="A125" s="32">
        <v>40969</v>
      </c>
      <c r="B125" s="106">
        <f>'[14]Data Input'!B147</f>
        <v>34848118</v>
      </c>
      <c r="C125" s="17">
        <f>'Historical HDD &amp; CDD'!C272</f>
        <v>333.80000000000007</v>
      </c>
      <c r="D125" s="17">
        <f>'Historical HDD &amp; CDD'!D272</f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'[14]Data Input'!AJ147</f>
        <v>21953</v>
      </c>
      <c r="K125" s="17">
        <f t="shared" si="5"/>
        <v>34623449.097552538</v>
      </c>
      <c r="L125" s="238">
        <f t="shared" si="6"/>
        <v>-224668.90244746208</v>
      </c>
      <c r="M125" s="239">
        <f t="shared" si="7"/>
        <v>6.4470885471480006E-3</v>
      </c>
    </row>
    <row r="126" spans="1:13" x14ac:dyDescent="0.2">
      <c r="A126" s="32">
        <v>41000</v>
      </c>
      <c r="B126" s="106">
        <f>'[14]Data Input'!B148</f>
        <v>29360304</v>
      </c>
      <c r="C126" s="17">
        <f>'Historical HDD &amp; CDD'!C273</f>
        <v>330.9</v>
      </c>
      <c r="D126" s="17">
        <f>'Historical HDD &amp; CDD'!D273</f>
        <v>0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'[14]Data Input'!AJ148</f>
        <v>21950</v>
      </c>
      <c r="K126" s="17">
        <f t="shared" si="5"/>
        <v>33101604.350473356</v>
      </c>
      <c r="L126" s="238">
        <f t="shared" si="6"/>
        <v>3741300.3504733555</v>
      </c>
      <c r="M126" s="239">
        <f t="shared" si="7"/>
        <v>0.12742716664218992</v>
      </c>
    </row>
    <row r="127" spans="1:13" x14ac:dyDescent="0.2">
      <c r="A127" s="32">
        <v>41030</v>
      </c>
      <c r="B127" s="106">
        <f>'[14]Data Input'!B149</f>
        <v>33203358</v>
      </c>
      <c r="C127" s="17">
        <f>'Historical HDD &amp; CDD'!C274</f>
        <v>82.300000000000011</v>
      </c>
      <c r="D127" s="17">
        <f>'Historical HDD &amp; CDD'!D274</f>
        <v>28.9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'[14]Data Input'!AJ149</f>
        <v>21973</v>
      </c>
      <c r="K127" s="17">
        <f t="shared" si="5"/>
        <v>34333996.816514932</v>
      </c>
      <c r="L127" s="238">
        <f t="shared" si="6"/>
        <v>1130638.8165149316</v>
      </c>
      <c r="M127" s="239">
        <f t="shared" si="7"/>
        <v>3.4051941870305157E-2</v>
      </c>
    </row>
    <row r="128" spans="1:13" x14ac:dyDescent="0.2">
      <c r="A128" s="32">
        <v>41061</v>
      </c>
      <c r="B128" s="106">
        <f>'[14]Data Input'!B150</f>
        <v>33725678</v>
      </c>
      <c r="C128" s="17">
        <f>'Historical HDD &amp; CDD'!C275</f>
        <v>31.599999999999998</v>
      </c>
      <c r="D128" s="17">
        <f>'Historical HDD &amp; CDD'!D275</f>
        <v>58.8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'[14]Data Input'!AJ150</f>
        <v>21985</v>
      </c>
      <c r="K128" s="17">
        <f t="shared" si="5"/>
        <v>35991739.690776788</v>
      </c>
      <c r="L128" s="238">
        <f t="shared" si="6"/>
        <v>2266061.6907767877</v>
      </c>
      <c r="M128" s="239">
        <f t="shared" si="7"/>
        <v>6.7190989926927125E-2</v>
      </c>
    </row>
    <row r="129" spans="1:13" x14ac:dyDescent="0.2">
      <c r="A129" s="32">
        <v>41091</v>
      </c>
      <c r="B129" s="106">
        <f>'[14]Data Input'!B151</f>
        <v>42152151.322580643</v>
      </c>
      <c r="C129" s="17">
        <f>'Historical HDD &amp; CDD'!C276</f>
        <v>0</v>
      </c>
      <c r="D129" s="17">
        <f>'Historical HDD &amp; CDD'!D276</f>
        <v>130.89999999999998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'[14]Data Input'!AJ151</f>
        <v>21988</v>
      </c>
      <c r="K129" s="17">
        <f t="shared" si="5"/>
        <v>42319592.194844149</v>
      </c>
      <c r="L129" s="238">
        <f t="shared" si="6"/>
        <v>167440.87226350605</v>
      </c>
      <c r="M129" s="239">
        <f t="shared" si="7"/>
        <v>3.9722971902933224E-3</v>
      </c>
    </row>
    <row r="130" spans="1:13" x14ac:dyDescent="0.2">
      <c r="A130" s="32">
        <v>41122</v>
      </c>
      <c r="B130" s="106">
        <f>'[14]Data Input'!B152</f>
        <v>39128268</v>
      </c>
      <c r="C130" s="17">
        <f>'Historical HDD &amp; CDD'!C277</f>
        <v>6</v>
      </c>
      <c r="D130" s="17">
        <f>'Historical HDD &amp; CDD'!D277</f>
        <v>76.600000000000009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'[14]Data Input'!AJ152</f>
        <v>22002</v>
      </c>
      <c r="K130" s="17">
        <f t="shared" si="5"/>
        <v>38292546.795195542</v>
      </c>
      <c r="L130" s="238">
        <f t="shared" si="6"/>
        <v>-835721.20480445772</v>
      </c>
      <c r="M130" s="239">
        <f t="shared" si="7"/>
        <v>2.1358502369807367E-2</v>
      </c>
    </row>
    <row r="131" spans="1:13" x14ac:dyDescent="0.2">
      <c r="A131" s="32">
        <v>41153</v>
      </c>
      <c r="B131" s="106">
        <f>'[14]Data Input'!B153</f>
        <v>33338864</v>
      </c>
      <c r="C131" s="17">
        <f>'Historical HDD &amp; CDD'!C278</f>
        <v>86.1</v>
      </c>
      <c r="D131" s="17">
        <f>'Historical HDD &amp; CDD'!D278</f>
        <v>28.900000000000002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'[14]Data Input'!AJ153</f>
        <v>22010</v>
      </c>
      <c r="K131" s="17">
        <f t="shared" si="5"/>
        <v>32495255.541570503</v>
      </c>
      <c r="L131" s="238">
        <f t="shared" si="6"/>
        <v>-843608.45842949674</v>
      </c>
      <c r="M131" s="239">
        <f t="shared" si="7"/>
        <v>2.5304055304028857E-2</v>
      </c>
    </row>
    <row r="132" spans="1:13" x14ac:dyDescent="0.2">
      <c r="A132" s="32">
        <v>41183</v>
      </c>
      <c r="B132" s="106">
        <f>'[14]Data Input'!B154</f>
        <v>32606142</v>
      </c>
      <c r="C132" s="17">
        <f>'Historical HDD &amp; CDD'!C279</f>
        <v>227.39999999999998</v>
      </c>
      <c r="D132" s="17">
        <f>'Historical HDD &amp; CDD'!D279</f>
        <v>0.8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'[14]Data Input'!AJ154</f>
        <v>22014</v>
      </c>
      <c r="K132" s="17">
        <f t="shared" ref="K132:K194" si="8">$O$18+$O$19*C132+$O$20*D132+$O$21*E132+$O$22*F132+$O$23*G132+H132*$O$24</f>
        <v>33570367.286555216</v>
      </c>
      <c r="L132" s="238">
        <f t="shared" si="6"/>
        <v>964225.28655521572</v>
      </c>
      <c r="M132" s="239">
        <f t="shared" si="7"/>
        <v>2.9571891288310517E-2</v>
      </c>
    </row>
    <row r="133" spans="1:13" x14ac:dyDescent="0.2">
      <c r="A133" s="32">
        <v>41214</v>
      </c>
      <c r="B133" s="106">
        <f>'[14]Data Input'!B155</f>
        <v>34295421</v>
      </c>
      <c r="C133" s="17">
        <f>'Historical HDD &amp; CDD'!C280</f>
        <v>415.19999999999993</v>
      </c>
      <c r="D133" s="17">
        <f>'Historical HDD &amp; CDD'!D280</f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'[14]Data Input'!AJ155</f>
        <v>22047</v>
      </c>
      <c r="K133" s="17">
        <f t="shared" si="8"/>
        <v>34806939.534046046</v>
      </c>
      <c r="L133" s="238">
        <f t="shared" si="6"/>
        <v>511518.53404604644</v>
      </c>
      <c r="M133" s="239">
        <f t="shared" si="7"/>
        <v>1.4915067934172507E-2</v>
      </c>
    </row>
    <row r="134" spans="1:13" x14ac:dyDescent="0.2">
      <c r="A134" s="32">
        <v>41244</v>
      </c>
      <c r="B134" s="106">
        <f>'[14]Data Input'!B156</f>
        <v>35015935</v>
      </c>
      <c r="C134" s="17">
        <f>'Historical HDD &amp; CDD'!C281</f>
        <v>505.1</v>
      </c>
      <c r="D134" s="17">
        <f>'Historical HDD &amp; CDD'!D281</f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'[14]Data Input'!AJ156</f>
        <v>22053</v>
      </c>
      <c r="K134" s="17">
        <f t="shared" si="8"/>
        <v>36108477.440115884</v>
      </c>
      <c r="L134" s="238">
        <f t="shared" ref="L134:L182" si="9">K134-B134</f>
        <v>1092542.4401158839</v>
      </c>
      <c r="M134" s="239">
        <f t="shared" ref="M134:M182" si="10">ABS(L134/B134)</f>
        <v>3.1201292786152475E-2</v>
      </c>
    </row>
    <row r="135" spans="1:13" x14ac:dyDescent="0.2">
      <c r="A135" s="32">
        <v>41275</v>
      </c>
      <c r="B135" s="27">
        <f>'[14]Data Input'!B159</f>
        <v>37762681.75</v>
      </c>
      <c r="C135" s="17">
        <f>'Historical HDD &amp; CDD'!C282</f>
        <v>617.29999999999995</v>
      </c>
      <c r="D135" s="17">
        <f>'Historical HDD &amp; CDD'!D282</f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'[14]Data Input'!AJ159</f>
        <v>22066</v>
      </c>
      <c r="K135" s="17">
        <f t="shared" si="8"/>
        <v>38216123.417631805</v>
      </c>
      <c r="L135" s="238">
        <f t="shared" si="9"/>
        <v>453441.66763180494</v>
      </c>
      <c r="M135" s="239">
        <f t="shared" si="10"/>
        <v>1.2007665944747288E-2</v>
      </c>
    </row>
    <row r="136" spans="1:13" x14ac:dyDescent="0.2">
      <c r="A136" s="32">
        <v>41306</v>
      </c>
      <c r="B136" s="27">
        <f>'[14]Data Input'!B160</f>
        <v>33318398.75</v>
      </c>
      <c r="C136" s="17">
        <f>'Historical HDD &amp; CDD'!C283</f>
        <v>640.1</v>
      </c>
      <c r="D136" s="17">
        <f>'Historical HDD &amp; CDD'!D283</f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'[14]Data Input'!AJ160</f>
        <v>22089</v>
      </c>
      <c r="K136" s="17">
        <f t="shared" si="8"/>
        <v>34890607.514847942</v>
      </c>
      <c r="L136" s="238">
        <f t="shared" si="9"/>
        <v>1572208.7648479417</v>
      </c>
      <c r="M136" s="239">
        <f t="shared" si="10"/>
        <v>4.7187404672259098E-2</v>
      </c>
    </row>
    <row r="137" spans="1:13" x14ac:dyDescent="0.2">
      <c r="A137" s="32">
        <v>41334</v>
      </c>
      <c r="B137" s="27">
        <f>'[14]Data Input'!B161</f>
        <v>34776845.75</v>
      </c>
      <c r="C137" s="17">
        <f>'Historical HDD &amp; CDD'!C284</f>
        <v>555.40000000000009</v>
      </c>
      <c r="D137" s="17">
        <f>'Historical HDD &amp; CDD'!D284</f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'[14]Data Input'!AJ161</f>
        <v>22091</v>
      </c>
      <c r="K137" s="17">
        <f t="shared" si="8"/>
        <v>35393426.191910945</v>
      </c>
      <c r="L137" s="238">
        <f t="shared" si="9"/>
        <v>616580.44191094488</v>
      </c>
      <c r="M137" s="239">
        <f t="shared" si="10"/>
        <v>1.7729625232355779E-2</v>
      </c>
    </row>
    <row r="138" spans="1:13" x14ac:dyDescent="0.2">
      <c r="A138" s="32">
        <v>41365</v>
      </c>
      <c r="B138" s="27">
        <f>'[14]Data Input'!B162</f>
        <v>31363088.75</v>
      </c>
      <c r="C138" s="17">
        <f>'Historical HDD &amp; CDD'!C285</f>
        <v>339.90000000000003</v>
      </c>
      <c r="D138" s="17">
        <f>'Historical HDD &amp; CDD'!D285</f>
        <v>0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'[14]Data Input'!AJ162</f>
        <v>22090</v>
      </c>
      <c r="K138" s="17">
        <f t="shared" si="8"/>
        <v>32907346.880830292</v>
      </c>
      <c r="L138" s="238">
        <f t="shared" si="9"/>
        <v>1544258.1308302917</v>
      </c>
      <c r="M138" s="239">
        <f t="shared" si="10"/>
        <v>4.9238075469537151E-2</v>
      </c>
    </row>
    <row r="139" spans="1:13" x14ac:dyDescent="0.2">
      <c r="A139" s="32">
        <v>41395</v>
      </c>
      <c r="B139" s="27">
        <f>'[14]Data Input'!B163</f>
        <v>31691626.75</v>
      </c>
      <c r="C139" s="17">
        <f>'Historical HDD &amp; CDD'!C286</f>
        <v>116.5</v>
      </c>
      <c r="D139" s="17">
        <f>'Historical HDD &amp; CDD'!D286</f>
        <v>24.200000000000003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'[14]Data Input'!AJ163</f>
        <v>22106</v>
      </c>
      <c r="K139" s="17">
        <f t="shared" si="8"/>
        <v>32952871.108850364</v>
      </c>
      <c r="L139" s="238">
        <f t="shared" si="9"/>
        <v>1261244.3588503636</v>
      </c>
      <c r="M139" s="239">
        <f t="shared" si="10"/>
        <v>3.9797400392214438E-2</v>
      </c>
    </row>
    <row r="140" spans="1:13" x14ac:dyDescent="0.2">
      <c r="A140" s="32">
        <v>41426</v>
      </c>
      <c r="B140" s="27">
        <f>'[14]Data Input'!B164</f>
        <v>33388744.75</v>
      </c>
      <c r="C140" s="17">
        <f>'Historical HDD &amp; CDD'!C287</f>
        <v>42.8</v>
      </c>
      <c r="D140" s="17">
        <f>'Historical HDD &amp; CDD'!D287</f>
        <v>48.5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'[14]Data Input'!AJ164</f>
        <v>22128</v>
      </c>
      <c r="K140" s="17">
        <f t="shared" si="8"/>
        <v>33230322.983765058</v>
      </c>
      <c r="L140" s="238">
        <f t="shared" si="9"/>
        <v>-158421.76623494178</v>
      </c>
      <c r="M140" s="239">
        <f t="shared" si="10"/>
        <v>4.7447655616026652E-3</v>
      </c>
    </row>
    <row r="141" spans="1:13" x14ac:dyDescent="0.2">
      <c r="A141" s="32">
        <v>41456</v>
      </c>
      <c r="B141" s="27">
        <f>'[14]Data Input'!B165</f>
        <v>40707062.75</v>
      </c>
      <c r="C141" s="17">
        <f>'Historical HDD &amp; CDD'!C288</f>
        <v>5.5</v>
      </c>
      <c r="D141" s="17">
        <f>'Historical HDD &amp; CDD'!D288</f>
        <v>117.00000000000001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'[14]Data Input'!AJ165</f>
        <v>22132</v>
      </c>
      <c r="K141" s="17">
        <f t="shared" si="8"/>
        <v>39713166.289949015</v>
      </c>
      <c r="L141" s="238">
        <f t="shared" si="9"/>
        <v>-993896.46005098522</v>
      </c>
      <c r="M141" s="239">
        <f t="shared" si="10"/>
        <v>2.4415823518266131E-2</v>
      </c>
    </row>
    <row r="142" spans="1:13" x14ac:dyDescent="0.2">
      <c r="A142" s="32">
        <v>41487</v>
      </c>
      <c r="B142" s="27">
        <f>'[14]Data Input'!B166</f>
        <v>35841331.75</v>
      </c>
      <c r="C142" s="17">
        <f>'Historical HDD &amp; CDD'!C289</f>
        <v>15</v>
      </c>
      <c r="D142" s="17">
        <f>'Historical HDD &amp; CDD'!D289</f>
        <v>51.900000000000006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'[14]Data Input'!AJ166</f>
        <v>22153</v>
      </c>
      <c r="K142" s="17">
        <f t="shared" si="8"/>
        <v>33763543.878138997</v>
      </c>
      <c r="L142" s="238">
        <f t="shared" si="9"/>
        <v>-2077787.8718610033</v>
      </c>
      <c r="M142" s="239">
        <f t="shared" si="10"/>
        <v>5.7971837831081799E-2</v>
      </c>
    </row>
    <row r="143" spans="1:13" x14ac:dyDescent="0.2">
      <c r="A143" s="32">
        <v>41518</v>
      </c>
      <c r="B143" s="27">
        <f>'[14]Data Input'!B167</f>
        <v>32423202.75</v>
      </c>
      <c r="C143" s="17">
        <f>'Historical HDD &amp; CDD'!C290</f>
        <v>110.40000000000002</v>
      </c>
      <c r="D143" s="17">
        <f>'Historical HDD &amp; CDD'!D290</f>
        <v>22.9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'[14]Data Input'!AJ167</f>
        <v>22169</v>
      </c>
      <c r="K143" s="17">
        <f t="shared" si="8"/>
        <v>30188579.193323415</v>
      </c>
      <c r="L143" s="238">
        <f t="shared" si="9"/>
        <v>-2234623.5566765852</v>
      </c>
      <c r="M143" s="239">
        <f t="shared" si="10"/>
        <v>6.8920506524500741E-2</v>
      </c>
    </row>
    <row r="144" spans="1:13" x14ac:dyDescent="0.2">
      <c r="A144" s="32">
        <v>41548</v>
      </c>
      <c r="B144" s="27">
        <f>'[14]Data Input'!B168</f>
        <v>32735799.75</v>
      </c>
      <c r="C144" s="17">
        <f>'Historical HDD &amp; CDD'!C291</f>
        <v>197.7</v>
      </c>
      <c r="D144" s="17">
        <f>'Historical HDD &amp; CDD'!D291</f>
        <v>4.1999999999999993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'[14]Data Input'!AJ168</f>
        <v>22189</v>
      </c>
      <c r="K144" s="17">
        <f t="shared" si="8"/>
        <v>30792613.412790164</v>
      </c>
      <c r="L144" s="238">
        <f t="shared" si="9"/>
        <v>-1943186.3372098356</v>
      </c>
      <c r="M144" s="239">
        <f t="shared" si="10"/>
        <v>5.9359672042526949E-2</v>
      </c>
    </row>
    <row r="145" spans="1:13" x14ac:dyDescent="0.2">
      <c r="A145" s="32">
        <v>41579</v>
      </c>
      <c r="B145" s="27">
        <f>'[14]Data Input'!B169</f>
        <v>33760116.75</v>
      </c>
      <c r="C145" s="17">
        <f>'Historical HDD &amp; CDD'!C292</f>
        <v>450.90000000000003</v>
      </c>
      <c r="D145" s="17">
        <f>'Historical HDD &amp; CDD'!D292</f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'[14]Data Input'!AJ169</f>
        <v>22208</v>
      </c>
      <c r="K145" s="17">
        <f t="shared" si="8"/>
        <v>31773742.602089677</v>
      </c>
      <c r="L145" s="238">
        <f t="shared" si="9"/>
        <v>-1986374.147910323</v>
      </c>
      <c r="M145" s="239">
        <f t="shared" si="10"/>
        <v>5.8837893323053246E-2</v>
      </c>
    </row>
    <row r="146" spans="1:13" x14ac:dyDescent="0.2">
      <c r="A146" s="32">
        <v>41609</v>
      </c>
      <c r="B146" s="27">
        <f>'[14]Data Input'!B170</f>
        <v>37600715.75</v>
      </c>
      <c r="C146" s="17">
        <f>'Historical HDD &amp; CDD'!C293</f>
        <v>640.80000000000007</v>
      </c>
      <c r="D146" s="17">
        <f>'Historical HDD &amp; CDD'!D293</f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'[14]Data Input'!AJ170</f>
        <v>22234</v>
      </c>
      <c r="K146" s="17">
        <f t="shared" si="8"/>
        <v>34655388.966023311</v>
      </c>
      <c r="L146" s="238">
        <f t="shared" si="9"/>
        <v>-2945326.783976689</v>
      </c>
      <c r="M146" s="239">
        <f t="shared" si="10"/>
        <v>7.8331668034183344E-2</v>
      </c>
    </row>
    <row r="147" spans="1:13" x14ac:dyDescent="0.2">
      <c r="A147" s="32">
        <v>41640</v>
      </c>
      <c r="B147" s="27">
        <f>'[14]Data Input'!B173</f>
        <v>40157304.416666664</v>
      </c>
      <c r="C147" s="17">
        <f>'Historical HDD &amp; CDD'!C294</f>
        <v>783.19999999999993</v>
      </c>
      <c r="D147" s="17">
        <f>'Historical HDD &amp; CDD'!D294</f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'[14]Data Input'!AJ173</f>
        <v>22330</v>
      </c>
      <c r="K147" s="17">
        <f t="shared" si="8"/>
        <v>36918104.650909141</v>
      </c>
      <c r="L147" s="238">
        <f t="shared" si="9"/>
        <v>-3239199.7657575235</v>
      </c>
      <c r="M147" s="239">
        <f t="shared" si="10"/>
        <v>8.0662778859557721E-2</v>
      </c>
    </row>
    <row r="148" spans="1:13" x14ac:dyDescent="0.2">
      <c r="A148" s="32">
        <v>41671</v>
      </c>
      <c r="B148" s="27">
        <f>'[14]Data Input'!B174</f>
        <v>35890736.416666664</v>
      </c>
      <c r="C148" s="17">
        <f>'Historical HDD &amp; CDD'!C295</f>
        <v>743.69999999999993</v>
      </c>
      <c r="D148" s="17">
        <f>'Historical HDD &amp; CDD'!D295</f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'[14]Data Input'!AJ174</f>
        <v>22326</v>
      </c>
      <c r="K148" s="17">
        <f t="shared" si="8"/>
        <v>33156065.252193812</v>
      </c>
      <c r="L148" s="238">
        <f t="shared" si="9"/>
        <v>-2734671.1644728519</v>
      </c>
      <c r="M148" s="239">
        <f t="shared" si="10"/>
        <v>7.6194345324242116E-2</v>
      </c>
    </row>
    <row r="149" spans="1:13" x14ac:dyDescent="0.2">
      <c r="A149" s="32">
        <v>41699</v>
      </c>
      <c r="B149" s="27">
        <f>'[14]Data Input'!B175</f>
        <v>37345081.416666664</v>
      </c>
      <c r="C149" s="17">
        <f>'Historical HDD &amp; CDD'!C296</f>
        <v>692.30000000000007</v>
      </c>
      <c r="D149" s="17">
        <f>'Historical HDD &amp; CDD'!D296</f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'[14]Data Input'!AJ175</f>
        <v>22340</v>
      </c>
      <c r="K149" s="17">
        <f t="shared" si="8"/>
        <v>34637299.826660886</v>
      </c>
      <c r="L149" s="238">
        <f t="shared" si="9"/>
        <v>-2707781.5900057778</v>
      </c>
      <c r="M149" s="239">
        <f t="shared" si="10"/>
        <v>7.2507047442058256E-2</v>
      </c>
    </row>
    <row r="150" spans="1:13" x14ac:dyDescent="0.2">
      <c r="A150" s="32">
        <v>41730</v>
      </c>
      <c r="B150" s="27">
        <f>'[14]Data Input'!B176</f>
        <v>29856156.416666668</v>
      </c>
      <c r="C150" s="17">
        <f>'Historical HDD &amp; CDD'!C297</f>
        <v>338.40000000000009</v>
      </c>
      <c r="D150" s="17">
        <f>'Historical HDD &amp; CDD'!D297</f>
        <v>0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'[14]Data Input'!AJ176</f>
        <v>22334</v>
      </c>
      <c r="K150" s="17">
        <f t="shared" si="8"/>
        <v>29717494.034280103</v>
      </c>
      <c r="L150" s="238">
        <f t="shared" si="9"/>
        <v>-138662.38238656521</v>
      </c>
      <c r="M150" s="239">
        <f t="shared" si="10"/>
        <v>4.6443480684995138E-3</v>
      </c>
    </row>
    <row r="151" spans="1:13" x14ac:dyDescent="0.2">
      <c r="A151" s="32">
        <v>41760</v>
      </c>
      <c r="B151" s="27">
        <f>'[14]Data Input'!B177</f>
        <v>27591366.416666668</v>
      </c>
      <c r="C151" s="17">
        <f>'Historical HDD &amp; CDD'!C298</f>
        <v>143.89999999999995</v>
      </c>
      <c r="D151" s="17">
        <f>'Historical HDD &amp; CDD'!D298</f>
        <v>7.3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'[14]Data Input'!AJ177</f>
        <v>22336</v>
      </c>
      <c r="K151" s="17">
        <f t="shared" si="8"/>
        <v>29297541.479010653</v>
      </c>
      <c r="L151" s="238">
        <f t="shared" si="9"/>
        <v>1706175.0623439848</v>
      </c>
      <c r="M151" s="239">
        <f t="shared" si="10"/>
        <v>6.1837280422377468E-2</v>
      </c>
    </row>
    <row r="152" spans="1:13" x14ac:dyDescent="0.2">
      <c r="A152" s="32">
        <v>41791</v>
      </c>
      <c r="B152" s="27">
        <f>'[14]Data Input'!B178</f>
        <v>32152920.416666668</v>
      </c>
      <c r="C152" s="17">
        <f>'Historical HDD &amp; CDD'!C299</f>
        <v>21.3</v>
      </c>
      <c r="D152" s="17">
        <f>'Historical HDD &amp; CDD'!D299</f>
        <v>62.800000000000004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'[14]Data Input'!AJ178</f>
        <v>22351</v>
      </c>
      <c r="K152" s="17">
        <f t="shared" si="8"/>
        <v>32650686.121314771</v>
      </c>
      <c r="L152" s="238">
        <f t="shared" si="9"/>
        <v>497765.70464810356</v>
      </c>
      <c r="M152" s="239">
        <f t="shared" si="10"/>
        <v>1.5481197297091669E-2</v>
      </c>
    </row>
    <row r="153" spans="1:13" x14ac:dyDescent="0.2">
      <c r="A153" s="32">
        <v>41821</v>
      </c>
      <c r="B153" s="27">
        <f>'[14]Data Input'!B179</f>
        <v>33898997.416666664</v>
      </c>
      <c r="C153" s="17">
        <f>'Historical HDD &amp; CDD'!C300</f>
        <v>13.700000000000001</v>
      </c>
      <c r="D153" s="17">
        <f>'Historical HDD &amp; CDD'!D300</f>
        <v>51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'[14]Data Input'!AJ179</f>
        <v>22375</v>
      </c>
      <c r="K153" s="17">
        <f t="shared" si="8"/>
        <v>32645656.778748497</v>
      </c>
      <c r="L153" s="238">
        <f t="shared" si="9"/>
        <v>-1253340.6379181668</v>
      </c>
      <c r="M153" s="239">
        <f t="shared" si="10"/>
        <v>3.6972793693950186E-2</v>
      </c>
    </row>
    <row r="154" spans="1:13" x14ac:dyDescent="0.2">
      <c r="A154" s="32">
        <v>41852</v>
      </c>
      <c r="B154" s="27">
        <f>'[14]Data Input'!B180</f>
        <v>33235703.416666668</v>
      </c>
      <c r="C154" s="17">
        <f>'Historical HDD &amp; CDD'!C301</f>
        <v>11.999999999999998</v>
      </c>
      <c r="D154" s="17">
        <f>'Historical HDD &amp; CDD'!D301</f>
        <v>56.999999999999993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'[14]Data Input'!AJ180</f>
        <v>22386</v>
      </c>
      <c r="K154" s="17">
        <f t="shared" si="8"/>
        <v>32286610.338180423</v>
      </c>
      <c r="L154" s="238">
        <f t="shared" si="9"/>
        <v>-949093.07848624513</v>
      </c>
      <c r="M154" s="239">
        <f t="shared" si="10"/>
        <v>2.8556431214580659E-2</v>
      </c>
    </row>
    <row r="155" spans="1:13" x14ac:dyDescent="0.2">
      <c r="A155" s="32">
        <v>41883</v>
      </c>
      <c r="B155" s="27">
        <f>'[14]Data Input'!B181</f>
        <v>28690043.416666668</v>
      </c>
      <c r="C155" s="17">
        <f>'Historical HDD &amp; CDD'!C302</f>
        <v>85.300000000000011</v>
      </c>
      <c r="D155" s="17">
        <f>'Historical HDD &amp; CDD'!D302</f>
        <v>27.500000000000004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'[14]Data Input'!AJ181</f>
        <v>22411</v>
      </c>
      <c r="K155" s="17">
        <f t="shared" si="8"/>
        <v>29452897.767126214</v>
      </c>
      <c r="L155" s="238">
        <f t="shared" si="9"/>
        <v>762854.35045954585</v>
      </c>
      <c r="M155" s="239">
        <f t="shared" si="10"/>
        <v>2.658951537230464E-2</v>
      </c>
    </row>
    <row r="156" spans="1:13" x14ac:dyDescent="0.2">
      <c r="A156" s="32">
        <v>41913</v>
      </c>
      <c r="B156" s="27">
        <f>'[14]Data Input'!B182</f>
        <v>29545098.416666668</v>
      </c>
      <c r="C156" s="17">
        <f>'Historical HDD &amp; CDD'!C303</f>
        <v>223.09999999999997</v>
      </c>
      <c r="D156" s="17">
        <f>'Historical HDD &amp; CDD'!D303</f>
        <v>4.5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'[14]Data Input'!AJ182</f>
        <v>22460</v>
      </c>
      <c r="K156" s="17">
        <f t="shared" si="8"/>
        <v>30073110.765912898</v>
      </c>
      <c r="L156" s="238">
        <f t="shared" si="9"/>
        <v>528012.34924622998</v>
      </c>
      <c r="M156" s="239">
        <f t="shared" si="10"/>
        <v>1.7871402619812335E-2</v>
      </c>
    </row>
    <row r="157" spans="1:13" x14ac:dyDescent="0.2">
      <c r="A157" s="32">
        <v>41944</v>
      </c>
      <c r="B157" s="27">
        <f>'[14]Data Input'!B183</f>
        <v>30497875.416666668</v>
      </c>
      <c r="C157" s="17">
        <f>'Historical HDD &amp; CDD'!C304</f>
        <v>465.7</v>
      </c>
      <c r="D157" s="17">
        <f>'Historical HDD &amp; CDD'!D304</f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'[14]Data Input'!AJ183</f>
        <v>22458</v>
      </c>
      <c r="K157" s="17">
        <f t="shared" si="8"/>
        <v>30354144.19267711</v>
      </c>
      <c r="L157" s="238">
        <f t="shared" si="9"/>
        <v>-143731.22398955747</v>
      </c>
      <c r="M157" s="239">
        <f t="shared" si="10"/>
        <v>4.7128274355468826E-3</v>
      </c>
    </row>
    <row r="158" spans="1:13" x14ac:dyDescent="0.2">
      <c r="A158" s="32">
        <v>41974</v>
      </c>
      <c r="B158" s="27">
        <f>'[14]Data Input'!B184</f>
        <v>32693713.416666668</v>
      </c>
      <c r="C158" s="17">
        <f>'Historical HDD &amp; CDD'!C305</f>
        <v>540.79999999999995</v>
      </c>
      <c r="D158" s="17">
        <f>'Historical HDD &amp; CDD'!D305</f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'[14]Data Input'!AJ184</f>
        <v>22470</v>
      </c>
      <c r="K158" s="17">
        <f t="shared" si="8"/>
        <v>33424646.059192501</v>
      </c>
      <c r="L158" s="238">
        <f t="shared" si="9"/>
        <v>730932.6425258331</v>
      </c>
      <c r="M158" s="239">
        <f t="shared" si="10"/>
        <v>2.2356978334349038E-2</v>
      </c>
    </row>
    <row r="159" spans="1:13" x14ac:dyDescent="0.2">
      <c r="A159" s="32">
        <v>42005</v>
      </c>
      <c r="B159" s="27">
        <f>'[14]Data Input'!B187</f>
        <v>35250727.083333336</v>
      </c>
      <c r="C159" s="17">
        <f>'Historical HDD &amp; CDD'!C306</f>
        <v>753.1</v>
      </c>
      <c r="D159" s="17">
        <f>'Historical HDD &amp; CDD'!D306</f>
        <v>0</v>
      </c>
      <c r="E159" s="17">
        <v>31</v>
      </c>
      <c r="F159" s="17">
        <f>'CDM Activity'!B127</f>
        <v>1219601.2641728576</v>
      </c>
      <c r="G159" s="17">
        <v>336</v>
      </c>
      <c r="H159" s="17">
        <v>0</v>
      </c>
      <c r="I159" s="34">
        <v>150.98793548444445</v>
      </c>
      <c r="J159" s="17">
        <f>'[14]Data Input'!AJ187</f>
        <v>22484</v>
      </c>
      <c r="K159" s="17">
        <f t="shared" si="8"/>
        <v>35616272.662675023</v>
      </c>
      <c r="L159" s="238">
        <f t="shared" si="9"/>
        <v>365545.57934168726</v>
      </c>
      <c r="M159" s="239">
        <f t="shared" si="10"/>
        <v>1.0369873463248889E-2</v>
      </c>
    </row>
    <row r="160" spans="1:13" x14ac:dyDescent="0.2">
      <c r="A160" s="32">
        <v>42036</v>
      </c>
      <c r="B160" s="27">
        <f>'[14]Data Input'!B188</f>
        <v>32507721.083333332</v>
      </c>
      <c r="C160" s="17">
        <f>'Historical HDD &amp; CDD'!C307</f>
        <v>871.9</v>
      </c>
      <c r="D160" s="17">
        <f>'Historical HDD &amp; CDD'!D307</f>
        <v>0</v>
      </c>
      <c r="E160" s="17">
        <v>28</v>
      </c>
      <c r="F160" s="17">
        <f>'CDM Activity'!B128</f>
        <v>1229000.6574726989</v>
      </c>
      <c r="G160" s="17">
        <v>304</v>
      </c>
      <c r="H160" s="17">
        <v>0</v>
      </c>
      <c r="I160" s="34">
        <v>151.298945910264</v>
      </c>
      <c r="J160" s="17">
        <f>'[14]Data Input'!AJ188</f>
        <v>22480</v>
      </c>
      <c r="K160" s="17">
        <f t="shared" si="8"/>
        <v>33911555.83851853</v>
      </c>
      <c r="L160" s="238">
        <f t="shared" si="9"/>
        <v>1403834.755185198</v>
      </c>
      <c r="M160" s="239">
        <f t="shared" si="10"/>
        <v>4.3184656087902215E-2</v>
      </c>
    </row>
    <row r="161" spans="1:13" x14ac:dyDescent="0.2">
      <c r="A161" s="32">
        <v>42064</v>
      </c>
      <c r="B161" s="27">
        <f>'[14]Data Input'!B189</f>
        <v>32200533.083333332</v>
      </c>
      <c r="C161" s="17">
        <f>'Historical HDD &amp; CDD'!C308</f>
        <v>637</v>
      </c>
      <c r="D161" s="17">
        <f>'Historical HDD &amp; CDD'!D308</f>
        <v>0</v>
      </c>
      <c r="E161" s="17">
        <v>31</v>
      </c>
      <c r="F161" s="17">
        <f>'CDM Activity'!B129</f>
        <v>1238400.0507725403</v>
      </c>
      <c r="G161" s="17">
        <v>352</v>
      </c>
      <c r="H161" s="17">
        <v>1</v>
      </c>
      <c r="I161" s="34">
        <v>151.61059696663892</v>
      </c>
      <c r="J161" s="17">
        <f>'[14]Data Input'!AJ189</f>
        <v>22502</v>
      </c>
      <c r="K161" s="17">
        <f t="shared" si="8"/>
        <v>33804005.377068624</v>
      </c>
      <c r="L161" s="238">
        <f t="shared" si="9"/>
        <v>1603472.2937352918</v>
      </c>
      <c r="M161" s="239">
        <f t="shared" si="10"/>
        <v>4.9796451803626587E-2</v>
      </c>
    </row>
    <row r="162" spans="1:13" x14ac:dyDescent="0.2">
      <c r="A162" s="32">
        <v>42095</v>
      </c>
      <c r="B162" s="27">
        <f>'[14]Data Input'!B190</f>
        <v>27396995.083333332</v>
      </c>
      <c r="C162" s="17">
        <f>'Historical HDD &amp; CDD'!C309</f>
        <v>319.59999999999997</v>
      </c>
      <c r="D162" s="17">
        <f>'Historical HDD &amp; CDD'!D309</f>
        <v>0</v>
      </c>
      <c r="E162" s="17">
        <v>30</v>
      </c>
      <c r="F162" s="17">
        <f>'CDM Activity'!B130</f>
        <v>1247799.4440723816</v>
      </c>
      <c r="G162" s="17">
        <v>336</v>
      </c>
      <c r="H162" s="17">
        <v>1</v>
      </c>
      <c r="I162" s="34">
        <v>151.92288997316331</v>
      </c>
      <c r="J162" s="17">
        <f>'[14]Data Input'!AJ190</f>
        <v>22537</v>
      </c>
      <c r="K162" s="17">
        <f t="shared" si="8"/>
        <v>29247097.630175415</v>
      </c>
      <c r="L162" s="238">
        <f t="shared" si="9"/>
        <v>1850102.5468420833</v>
      </c>
      <c r="M162" s="239">
        <f t="shared" si="10"/>
        <v>6.7529396607716785E-2</v>
      </c>
    </row>
    <row r="163" spans="1:13" x14ac:dyDescent="0.2">
      <c r="A163" s="32">
        <v>42125</v>
      </c>
      <c r="B163" s="27">
        <f>'[14]Data Input'!B191</f>
        <v>28717672.083333332</v>
      </c>
      <c r="C163" s="17">
        <f>'Historical HDD &amp; CDD'!C310</f>
        <v>96.5</v>
      </c>
      <c r="D163" s="17">
        <f>'Historical HDD &amp; CDD'!D310</f>
        <v>34.200000000000003</v>
      </c>
      <c r="E163" s="17">
        <v>31</v>
      </c>
      <c r="F163" s="17">
        <f>'CDM Activity'!B131</f>
        <v>1257198.8373722229</v>
      </c>
      <c r="G163" s="17">
        <v>320</v>
      </c>
      <c r="H163" s="17">
        <v>1</v>
      </c>
      <c r="I163" s="34">
        <v>152.23582625214937</v>
      </c>
      <c r="J163" s="17">
        <f>'[14]Data Input'!AJ191</f>
        <v>22526</v>
      </c>
      <c r="K163" s="17">
        <f t="shared" si="8"/>
        <v>29928877.466087464</v>
      </c>
      <c r="L163" s="238">
        <f t="shared" si="9"/>
        <v>1211205.3827541322</v>
      </c>
      <c r="M163" s="239">
        <f t="shared" si="10"/>
        <v>4.2176307997369697E-2</v>
      </c>
    </row>
    <row r="164" spans="1:13" x14ac:dyDescent="0.2">
      <c r="A164" s="32">
        <v>42156</v>
      </c>
      <c r="B164" s="27">
        <f>'[14]Data Input'!B192</f>
        <v>29735254.083333332</v>
      </c>
      <c r="C164" s="17">
        <f>'Historical HDD &amp; CDD'!C311</f>
        <v>35.9</v>
      </c>
      <c r="D164" s="17">
        <f>'Historical HDD &amp; CDD'!D311</f>
        <v>28.599999999999998</v>
      </c>
      <c r="E164" s="17">
        <v>30</v>
      </c>
      <c r="F164" s="17">
        <f>'CDM Activity'!B132</f>
        <v>1266598.2306720642</v>
      </c>
      <c r="G164" s="17">
        <v>352</v>
      </c>
      <c r="H164" s="17">
        <v>0</v>
      </c>
      <c r="I164" s="34">
        <v>152.54940712863302</v>
      </c>
      <c r="J164" s="17">
        <f>'[14]Data Input'!AJ192</f>
        <v>22535</v>
      </c>
      <c r="K164" s="17">
        <f t="shared" si="8"/>
        <v>29656681.348582372</v>
      </c>
      <c r="L164" s="238">
        <f t="shared" si="9"/>
        <v>-78572.734750960022</v>
      </c>
      <c r="M164" s="239">
        <f t="shared" si="10"/>
        <v>2.6424100675500935E-3</v>
      </c>
    </row>
    <row r="165" spans="1:13" x14ac:dyDescent="0.2">
      <c r="A165" s="32">
        <v>42186</v>
      </c>
      <c r="B165" s="27">
        <f>'[14]Data Input'!B193</f>
        <v>35302271.083333336</v>
      </c>
      <c r="C165" s="17">
        <f>'Historical HDD &amp; CDD'!C312</f>
        <v>7.6</v>
      </c>
      <c r="D165" s="17">
        <f>'Historical HDD &amp; CDD'!D312</f>
        <v>79.100000000000009</v>
      </c>
      <c r="E165" s="17">
        <v>31</v>
      </c>
      <c r="F165" s="17">
        <f>'CDM Activity'!B133</f>
        <v>1275997.6239719056</v>
      </c>
      <c r="G165" s="17">
        <v>352</v>
      </c>
      <c r="H165" s="17">
        <v>0</v>
      </c>
      <c r="I165" s="34">
        <v>152.86363393037959</v>
      </c>
      <c r="J165" s="17">
        <f>'[14]Data Input'!AJ193</f>
        <v>22560</v>
      </c>
      <c r="K165" s="17">
        <f t="shared" si="8"/>
        <v>34158964.005808324</v>
      </c>
      <c r="L165" s="238">
        <f t="shared" si="9"/>
        <v>-1143307.0775250122</v>
      </c>
      <c r="M165" s="239">
        <f t="shared" si="10"/>
        <v>3.2386218859012231E-2</v>
      </c>
    </row>
    <row r="166" spans="1:13" x14ac:dyDescent="0.2">
      <c r="A166" s="32">
        <v>42217</v>
      </c>
      <c r="B166" s="27">
        <f>'[14]Data Input'!B194</f>
        <v>33761714.083333336</v>
      </c>
      <c r="C166" s="17">
        <f>'Historical HDD &amp; CDD'!C313</f>
        <v>12</v>
      </c>
      <c r="D166" s="17">
        <f>'Historical HDD &amp; CDD'!D313</f>
        <v>59</v>
      </c>
      <c r="E166" s="17">
        <v>31</v>
      </c>
      <c r="F166" s="17">
        <f>'CDM Activity'!B134</f>
        <v>1285397.0172717469</v>
      </c>
      <c r="G166" s="17">
        <v>320</v>
      </c>
      <c r="H166" s="17">
        <v>0</v>
      </c>
      <c r="I166" s="34">
        <v>153.17850798788936</v>
      </c>
      <c r="J166" s="17">
        <f>'[14]Data Input'!AJ194</f>
        <v>22588</v>
      </c>
      <c r="K166" s="17">
        <f t="shared" si="8"/>
        <v>31681098.046114281</v>
      </c>
      <c r="L166" s="238">
        <f t="shared" si="9"/>
        <v>-2080616.037219055</v>
      </c>
      <c r="M166" s="239">
        <f t="shared" si="10"/>
        <v>6.1626493017609051E-2</v>
      </c>
    </row>
    <row r="167" spans="1:13" x14ac:dyDescent="0.2">
      <c r="A167" s="32">
        <v>42248</v>
      </c>
      <c r="B167" s="27">
        <f>'[14]Data Input'!B195</f>
        <v>32384101.083333332</v>
      </c>
      <c r="C167" s="17">
        <f>'Historical HDD &amp; CDD'!C314</f>
        <v>37</v>
      </c>
      <c r="D167" s="17">
        <f>'Historical HDD &amp; CDD'!D314</f>
        <v>54.4</v>
      </c>
      <c r="E167" s="17">
        <v>30</v>
      </c>
      <c r="F167" s="17">
        <f>'CDM Activity'!B135</f>
        <v>1294796.4105715882</v>
      </c>
      <c r="G167" s="17">
        <v>336</v>
      </c>
      <c r="H167" s="17">
        <v>1</v>
      </c>
      <c r="I167" s="34">
        <v>153.4940306344032</v>
      </c>
      <c r="J167" s="17">
        <f>'[14]Data Input'!AJ195</f>
        <v>22606</v>
      </c>
      <c r="K167" s="17">
        <f t="shared" si="8"/>
        <v>30363927.718194623</v>
      </c>
      <c r="L167" s="238">
        <f t="shared" si="9"/>
        <v>-2020173.3651387095</v>
      </c>
      <c r="M167" s="239">
        <f t="shared" si="10"/>
        <v>6.2381640915097181E-2</v>
      </c>
    </row>
    <row r="168" spans="1:13" x14ac:dyDescent="0.2">
      <c r="A168" s="32">
        <v>42278</v>
      </c>
      <c r="B168" s="27">
        <f>'[14]Data Input'!B196</f>
        <v>27193803.083333332</v>
      </c>
      <c r="C168" s="17">
        <f>'Historical HDD &amp; CDD'!C315</f>
        <v>252.3</v>
      </c>
      <c r="D168" s="17">
        <f>'Historical HDD &amp; CDD'!D315</f>
        <v>0.9</v>
      </c>
      <c r="E168" s="17">
        <v>31</v>
      </c>
      <c r="F168" s="17">
        <f>'CDM Activity'!B136</f>
        <v>1304195.8038714295</v>
      </c>
      <c r="G168" s="17">
        <v>336</v>
      </c>
      <c r="H168" s="17">
        <v>1</v>
      </c>
      <c r="I168" s="34">
        <v>153.81020320590829</v>
      </c>
      <c r="J168" s="17">
        <f>'[14]Data Input'!AJ196</f>
        <v>22626</v>
      </c>
      <c r="K168" s="17">
        <f t="shared" si="8"/>
        <v>28868128.27586985</v>
      </c>
      <c r="L168" s="238">
        <f t="shared" si="9"/>
        <v>1674325.192536518</v>
      </c>
      <c r="M168" s="239">
        <f t="shared" si="10"/>
        <v>6.1570100636739789E-2</v>
      </c>
    </row>
    <row r="169" spans="1:13" x14ac:dyDescent="0.2">
      <c r="A169" s="32">
        <v>42309</v>
      </c>
      <c r="B169" s="27">
        <f>'[14]Data Input'!B197</f>
        <v>27893759.083333332</v>
      </c>
      <c r="C169" s="17">
        <f>'Historical HDD &amp; CDD'!C316</f>
        <v>337</v>
      </c>
      <c r="D169" s="17">
        <f>'Historical HDD &amp; CDD'!D316</f>
        <v>0</v>
      </c>
      <c r="E169" s="17">
        <v>30</v>
      </c>
      <c r="F169" s="17">
        <f>'CDM Activity'!B137</f>
        <v>1313595.1971712708</v>
      </c>
      <c r="G169" s="17">
        <v>320</v>
      </c>
      <c r="H169" s="17">
        <v>1</v>
      </c>
      <c r="I169" s="34">
        <v>154.12702704114372</v>
      </c>
      <c r="J169" s="17">
        <f>'[14]Data Input'!AJ197</f>
        <v>22650</v>
      </c>
      <c r="K169" s="17">
        <f t="shared" si="8"/>
        <v>28526176.526915666</v>
      </c>
      <c r="L169" s="238">
        <f t="shared" si="9"/>
        <v>632417.44358233362</v>
      </c>
      <c r="M169" s="239">
        <f t="shared" si="10"/>
        <v>2.2672363437748567E-2</v>
      </c>
    </row>
    <row r="170" spans="1:13" x14ac:dyDescent="0.2">
      <c r="A170" s="32">
        <v>42339</v>
      </c>
      <c r="B170" s="27">
        <f>'[14]Data Input'!B198</f>
        <v>30136379.083333332</v>
      </c>
      <c r="C170" s="17">
        <f>'Historical HDD &amp; CDD'!C317</f>
        <v>408.99999999999989</v>
      </c>
      <c r="D170" s="17">
        <f>'Historical HDD &amp; CDD'!D317</f>
        <v>0</v>
      </c>
      <c r="E170" s="17">
        <v>31</v>
      </c>
      <c r="F170" s="17">
        <f>'CDM Activity'!B138</f>
        <v>1322994.5904711122</v>
      </c>
      <c r="G170" s="17">
        <v>352</v>
      </c>
      <c r="H170" s="17">
        <v>0</v>
      </c>
      <c r="I170" s="34">
        <v>154.44450348160629</v>
      </c>
      <c r="J170" s="17">
        <f>'[14]Data Input'!AJ198</f>
        <v>22667</v>
      </c>
      <c r="K170" s="17">
        <f t="shared" si="8"/>
        <v>31537148.523837175</v>
      </c>
      <c r="L170" s="238">
        <f t="shared" si="9"/>
        <v>1400769.4405038431</v>
      </c>
      <c r="M170" s="239">
        <f t="shared" si="10"/>
        <v>4.6481013416722207E-2</v>
      </c>
    </row>
    <row r="171" spans="1:13" x14ac:dyDescent="0.2">
      <c r="A171" s="32">
        <v>42370</v>
      </c>
      <c r="B171" s="27">
        <f>'[15]Data Input'!B203</f>
        <v>33086719.186999999</v>
      </c>
      <c r="C171" s="17">
        <f>'Historical HDD &amp; CDD'!C318</f>
        <v>657.2</v>
      </c>
      <c r="D171" s="17">
        <f>'Historical HDD &amp; CDD'!D318</f>
        <v>0</v>
      </c>
      <c r="E171" s="17">
        <v>31</v>
      </c>
      <c r="F171" s="17">
        <f>'CDM Activity'!B139</f>
        <v>1331917.0626345554</v>
      </c>
      <c r="G171" s="17">
        <v>320</v>
      </c>
      <c r="H171" s="17">
        <v>0</v>
      </c>
      <c r="I171" s="34">
        <v>154.72483615659849</v>
      </c>
      <c r="J171" s="17">
        <f>'[15]Data Input'!F203+'[15]Data Input'!J203+'[15]Data Input'!O203</f>
        <v>22670</v>
      </c>
      <c r="K171" s="17">
        <f t="shared" si="8"/>
        <v>33325163.278713048</v>
      </c>
      <c r="L171" s="238">
        <f t="shared" si="9"/>
        <v>238444.09171304852</v>
      </c>
      <c r="M171" s="239">
        <f t="shared" si="10"/>
        <v>7.20664053650671E-3</v>
      </c>
    </row>
    <row r="172" spans="1:13" x14ac:dyDescent="0.2">
      <c r="A172" s="32">
        <v>42401</v>
      </c>
      <c r="B172" s="27">
        <f>'[15]Data Input'!B204</f>
        <v>30387692.328999996</v>
      </c>
      <c r="C172" s="17">
        <f>'Historical HDD &amp; CDD'!C319</f>
        <v>587.1</v>
      </c>
      <c r="D172" s="17">
        <f>'Historical HDD &amp; CDD'!D319</f>
        <v>0</v>
      </c>
      <c r="E172" s="17">
        <v>29</v>
      </c>
      <c r="F172" s="17">
        <f>'CDM Activity'!B140</f>
        <v>1340839.5347979986</v>
      </c>
      <c r="G172" s="17">
        <v>320</v>
      </c>
      <c r="H172" s="17">
        <v>0</v>
      </c>
      <c r="I172" s="34">
        <v>155.00567766425806</v>
      </c>
      <c r="J172" s="17">
        <f>'[15]Data Input'!F204+'[15]Data Input'!J204+'[15]Data Input'!O204</f>
        <v>22695</v>
      </c>
      <c r="K172" s="17">
        <f t="shared" si="8"/>
        <v>31102253.096576624</v>
      </c>
      <c r="L172" s="238">
        <f t="shared" si="9"/>
        <v>714560.76757662743</v>
      </c>
      <c r="M172" s="239">
        <f t="shared" si="10"/>
        <v>2.3514808556051429E-2</v>
      </c>
    </row>
    <row r="173" spans="1:13" x14ac:dyDescent="0.2">
      <c r="A173" s="32">
        <v>42430</v>
      </c>
      <c r="B173" s="27">
        <f>'[15]Data Input'!B205</f>
        <v>29517635.518999998</v>
      </c>
      <c r="C173" s="17">
        <f>'Historical HDD &amp; CDD'!C320</f>
        <v>448.80000000000007</v>
      </c>
      <c r="D173" s="17">
        <f>'Historical HDD &amp; CDD'!D320</f>
        <v>0</v>
      </c>
      <c r="E173" s="17">
        <v>31</v>
      </c>
      <c r="F173" s="17">
        <f>'CDM Activity'!B141</f>
        <v>1349762.0069614418</v>
      </c>
      <c r="G173" s="17">
        <v>352</v>
      </c>
      <c r="H173" s="17">
        <v>1</v>
      </c>
      <c r="I173" s="34">
        <v>155.2870289281687</v>
      </c>
      <c r="J173" s="17">
        <f>'[15]Data Input'!F205+'[15]Data Input'!J205+'[15]Data Input'!O205</f>
        <v>22699</v>
      </c>
      <c r="K173" s="17">
        <f t="shared" si="8"/>
        <v>30930849.962727532</v>
      </c>
      <c r="L173" s="238">
        <f t="shared" si="9"/>
        <v>1413214.4437275343</v>
      </c>
      <c r="M173" s="239">
        <f t="shared" si="10"/>
        <v>4.7876952841221725E-2</v>
      </c>
    </row>
    <row r="174" spans="1:13" x14ac:dyDescent="0.2">
      <c r="A174" s="32">
        <v>42461</v>
      </c>
      <c r="B174" s="27">
        <f>'[15]Data Input'!B206</f>
        <v>27543104.184</v>
      </c>
      <c r="C174" s="17">
        <f>'Historical HDD &amp; CDD'!C321</f>
        <v>352.8</v>
      </c>
      <c r="D174" s="17">
        <f>'Historical HDD &amp; CDD'!D321</f>
        <v>0</v>
      </c>
      <c r="E174" s="17">
        <v>30</v>
      </c>
      <c r="F174" s="17">
        <f>'CDM Activity'!B142</f>
        <v>1358684.4791248851</v>
      </c>
      <c r="G174" s="17">
        <v>336</v>
      </c>
      <c r="H174" s="17">
        <v>1</v>
      </c>
      <c r="I174" s="34">
        <v>155.56889087359048</v>
      </c>
      <c r="J174" s="17">
        <f>'[15]Data Input'!F206+'[15]Data Input'!J206+'[15]Data Input'!O206</f>
        <v>22717</v>
      </c>
      <c r="K174" s="17">
        <f t="shared" si="8"/>
        <v>28739405.135818865</v>
      </c>
      <c r="L174" s="238">
        <f t="shared" si="9"/>
        <v>1196300.9518188648</v>
      </c>
      <c r="M174" s="239">
        <f t="shared" si="10"/>
        <v>4.343377361633062E-2</v>
      </c>
    </row>
    <row r="175" spans="1:13" x14ac:dyDescent="0.2">
      <c r="A175" s="32">
        <v>42491</v>
      </c>
      <c r="B175" s="27">
        <f>'[15]Data Input'!B207</f>
        <v>28092238.999499999</v>
      </c>
      <c r="C175" s="17">
        <f>'Historical HDD &amp; CDD'!C322</f>
        <v>144.60000000000002</v>
      </c>
      <c r="D175" s="17">
        <f>'Historical HDD &amp; CDD'!D322</f>
        <v>24.400000000000002</v>
      </c>
      <c r="E175" s="17">
        <v>31</v>
      </c>
      <c r="F175" s="17">
        <f>'CDM Activity'!B143</f>
        <v>1367606.9512883283</v>
      </c>
      <c r="G175" s="17">
        <v>336</v>
      </c>
      <c r="H175" s="17">
        <v>1</v>
      </c>
      <c r="I175" s="34">
        <v>155.85126442746289</v>
      </c>
      <c r="J175" s="17">
        <f>'[15]Data Input'!F207+'[15]Data Input'!J207+'[15]Data Input'!O207</f>
        <v>22722</v>
      </c>
      <c r="K175" s="17">
        <f t="shared" si="8"/>
        <v>29168905.024584647</v>
      </c>
      <c r="L175" s="238">
        <f t="shared" si="9"/>
        <v>1076666.0250846483</v>
      </c>
      <c r="M175" s="239">
        <f t="shared" si="10"/>
        <v>3.8326102276995844E-2</v>
      </c>
    </row>
    <row r="176" spans="1:13" x14ac:dyDescent="0.2">
      <c r="A176" s="32">
        <v>42522</v>
      </c>
      <c r="B176" s="27">
        <f>'[15]Data Input'!B208</f>
        <v>32022793.425000001</v>
      </c>
      <c r="C176" s="17">
        <f>'Historical HDD &amp; CDD'!C323</f>
        <v>29.2</v>
      </c>
      <c r="D176" s="17">
        <f>'Historical HDD &amp; CDD'!D323</f>
        <v>51.699999999999996</v>
      </c>
      <c r="E176" s="17">
        <v>30</v>
      </c>
      <c r="F176" s="17">
        <f>'CDM Activity'!B144</f>
        <v>1376529.4234517715</v>
      </c>
      <c r="G176" s="17">
        <v>352</v>
      </c>
      <c r="H176" s="17">
        <v>0</v>
      </c>
      <c r="I176" s="34">
        <v>156.13415051840798</v>
      </c>
      <c r="J176" s="17">
        <f>'[15]Data Input'!F208+'[15]Data Input'!J208+'[15]Data Input'!O208</f>
        <v>22733</v>
      </c>
      <c r="K176" s="17">
        <f t="shared" si="8"/>
        <v>30640223.495815303</v>
      </c>
      <c r="L176" s="238">
        <f t="shared" si="9"/>
        <v>-1382569.9291846976</v>
      </c>
      <c r="M176" s="239">
        <f t="shared" si="10"/>
        <v>4.3174557285977855E-2</v>
      </c>
    </row>
    <row r="177" spans="1:13" x14ac:dyDescent="0.2">
      <c r="A177" s="32">
        <v>42552</v>
      </c>
      <c r="B177" s="27">
        <f>'[15]Data Input'!B209</f>
        <v>38626683.784999996</v>
      </c>
      <c r="C177" s="17">
        <f>'Historical HDD &amp; CDD'!C324</f>
        <v>0</v>
      </c>
      <c r="D177" s="17">
        <f>'Historical HDD &amp; CDD'!D324</f>
        <v>140.69999999999996</v>
      </c>
      <c r="E177" s="17">
        <v>31</v>
      </c>
      <c r="F177" s="17">
        <f>'CDM Activity'!B145</f>
        <v>1385451.8956152147</v>
      </c>
      <c r="G177" s="17">
        <v>320</v>
      </c>
      <c r="H177" s="17">
        <v>0</v>
      </c>
      <c r="I177" s="34">
        <v>156.41755007673331</v>
      </c>
      <c r="J177" s="17">
        <f>'[15]Data Input'!F209+'[15]Data Input'!J209+'[15]Data Input'!O209</f>
        <v>22761</v>
      </c>
      <c r="K177" s="17">
        <f t="shared" si="8"/>
        <v>37528750.145722061</v>
      </c>
      <c r="L177" s="238">
        <f t="shared" si="9"/>
        <v>-1097933.639277935</v>
      </c>
      <c r="M177" s="239">
        <f t="shared" si="10"/>
        <v>2.8424227287777121E-2</v>
      </c>
    </row>
    <row r="178" spans="1:13" x14ac:dyDescent="0.2">
      <c r="A178" s="32">
        <v>42583</v>
      </c>
      <c r="B178" s="27">
        <f>'[15]Data Input'!B210</f>
        <v>41485016.7535</v>
      </c>
      <c r="C178" s="17">
        <f>'Historical HDD &amp; CDD'!C325</f>
        <v>0.1</v>
      </c>
      <c r="D178" s="17">
        <f>'Historical HDD &amp; CDD'!D325</f>
        <v>159.30000000000001</v>
      </c>
      <c r="E178" s="17">
        <v>31</v>
      </c>
      <c r="F178" s="17">
        <f>'CDM Activity'!B146</f>
        <v>1394374.3677786579</v>
      </c>
      <c r="G178" s="17">
        <v>352</v>
      </c>
      <c r="H178" s="17">
        <v>0</v>
      </c>
      <c r="I178" s="34">
        <v>156.70146403443502</v>
      </c>
      <c r="J178" s="17">
        <f>'[15]Data Input'!F210+'[15]Data Input'!J210+'[15]Data Input'!O210</f>
        <v>22775</v>
      </c>
      <c r="K178" s="17">
        <f t="shared" si="8"/>
        <v>39788223.156156793</v>
      </c>
      <c r="L178" s="238">
        <f t="shared" si="9"/>
        <v>-1696793.5973432064</v>
      </c>
      <c r="M178" s="239">
        <f t="shared" si="10"/>
        <v>4.0901359819266597E-2</v>
      </c>
    </row>
    <row r="179" spans="1:13" x14ac:dyDescent="0.2">
      <c r="A179" s="32">
        <v>42614</v>
      </c>
      <c r="B179" s="27">
        <f>'[15]Data Input'!B211</f>
        <v>31934436.811499998</v>
      </c>
      <c r="C179" s="17">
        <f>'Historical HDD &amp; CDD'!C326</f>
        <v>34.299999999999997</v>
      </c>
      <c r="D179" s="17">
        <f>'Historical HDD &amp; CDD'!D326</f>
        <v>47.3</v>
      </c>
      <c r="E179" s="17">
        <v>30</v>
      </c>
      <c r="F179" s="17">
        <f>'CDM Activity'!B147</f>
        <v>1403296.8399421012</v>
      </c>
      <c r="G179" s="17">
        <v>336</v>
      </c>
      <c r="H179" s="17">
        <v>1</v>
      </c>
      <c r="I179" s="34">
        <v>156.98589332520095</v>
      </c>
      <c r="J179" s="17">
        <f>'[15]Data Input'!F211+'[15]Data Input'!J211+'[15]Data Input'!O211</f>
        <v>22784</v>
      </c>
      <c r="K179" s="17">
        <f t="shared" si="8"/>
        <v>28904923.886706475</v>
      </c>
      <c r="L179" s="238">
        <f t="shared" si="9"/>
        <v>-3029512.9247935228</v>
      </c>
      <c r="M179" s="239">
        <f t="shared" si="10"/>
        <v>9.4866646394169585E-2</v>
      </c>
    </row>
    <row r="180" spans="1:13" x14ac:dyDescent="0.2">
      <c r="A180" s="32">
        <v>42644</v>
      </c>
      <c r="B180" s="27">
        <f>'[15]Data Input'!B212</f>
        <v>27675719.695999999</v>
      </c>
      <c r="C180" s="17">
        <f>'Historical HDD &amp; CDD'!C327</f>
        <v>184.50000000000003</v>
      </c>
      <c r="D180" s="17">
        <f>'Historical HDD &amp; CDD'!D327</f>
        <v>5.0999999999999996</v>
      </c>
      <c r="E180" s="17">
        <v>31</v>
      </c>
      <c r="F180" s="17">
        <f>'CDM Activity'!B148</f>
        <v>1412219.3121055444</v>
      </c>
      <c r="G180" s="17">
        <v>320</v>
      </c>
      <c r="H180" s="17">
        <v>1</v>
      </c>
      <c r="I180" s="34">
        <v>157.27083888441365</v>
      </c>
      <c r="J180" s="17">
        <f>'[15]Data Input'!F212+'[15]Data Input'!J212+'[15]Data Input'!O212</f>
        <v>22793</v>
      </c>
      <c r="K180" s="17">
        <f t="shared" si="8"/>
        <v>27257306.235485855</v>
      </c>
      <c r="L180" s="238">
        <f t="shared" si="9"/>
        <v>-418413.46051414311</v>
      </c>
      <c r="M180" s="239">
        <f t="shared" si="10"/>
        <v>1.5118431069187945E-2</v>
      </c>
    </row>
    <row r="181" spans="1:13" x14ac:dyDescent="0.2">
      <c r="A181" s="32">
        <v>42675</v>
      </c>
      <c r="B181" s="27">
        <f>'[15]Data Input'!B213</f>
        <v>28120165.884500001</v>
      </c>
      <c r="C181" s="17">
        <f>'Historical HDD &amp; CDD'!C328</f>
        <v>356.7</v>
      </c>
      <c r="D181" s="17">
        <f>'Historical HDD &amp; CDD'!D328</f>
        <v>0</v>
      </c>
      <c r="E181" s="17">
        <v>30</v>
      </c>
      <c r="F181" s="17">
        <f>'CDM Activity'!B149</f>
        <v>1421141.7842689876</v>
      </c>
      <c r="G181" s="17">
        <v>336</v>
      </c>
      <c r="H181" s="17">
        <v>1</v>
      </c>
      <c r="I181" s="34">
        <v>157.55630164915351</v>
      </c>
      <c r="J181" s="17">
        <f>'[15]Data Input'!F213+'[15]Data Input'!J213+'[15]Data Input'!O213</f>
        <v>22824</v>
      </c>
      <c r="K181" s="17">
        <f t="shared" si="8"/>
        <v>28295561.130214896</v>
      </c>
      <c r="L181" s="238">
        <f t="shared" si="9"/>
        <v>175395.24571489543</v>
      </c>
      <c r="M181" s="239">
        <f t="shared" si="10"/>
        <v>6.2373474763736834E-3</v>
      </c>
    </row>
    <row r="182" spans="1:13" x14ac:dyDescent="0.2">
      <c r="A182" s="32">
        <v>42705</v>
      </c>
      <c r="B182" s="27">
        <f>'[15]Data Input'!B214</f>
        <v>32088231.274499997</v>
      </c>
      <c r="C182" s="17">
        <f>'Historical HDD &amp; CDD'!C329</f>
        <v>567.70000000000005</v>
      </c>
      <c r="D182" s="17">
        <f>'Historical HDD &amp; CDD'!D329</f>
        <v>0</v>
      </c>
      <c r="E182" s="17">
        <v>31</v>
      </c>
      <c r="F182" s="17">
        <f>'CDM Activity'!B150</f>
        <v>1430064.2564324308</v>
      </c>
      <c r="G182" s="17">
        <v>336</v>
      </c>
      <c r="H182" s="17">
        <v>0</v>
      </c>
      <c r="I182" s="34">
        <v>157.84228255820162</v>
      </c>
      <c r="J182" s="17">
        <f>'[15]Data Input'!F214+'[15]Data Input'!J214+'[15]Data Input'!O214</f>
        <v>22852</v>
      </c>
      <c r="K182" s="17">
        <f t="shared" si="8"/>
        <v>32002727.289764568</v>
      </c>
      <c r="L182" s="238">
        <f t="shared" si="9"/>
        <v>-85503.984735429287</v>
      </c>
      <c r="M182" s="239">
        <f t="shared" si="10"/>
        <v>2.6646524703709028E-3</v>
      </c>
    </row>
    <row r="183" spans="1:13" x14ac:dyDescent="0.2">
      <c r="A183" s="32">
        <v>42736</v>
      </c>
      <c r="C183" s="109">
        <f>(C3+C15+C27+C39+C51+C63+C75+C87+C99+C111+C123+C135+C147+C159+C171)/15</f>
        <v>690.88666666666688</v>
      </c>
      <c r="D183" s="109">
        <f>(D3+D15+D27+D39+D51+D63+D75+D87+D99+D111+D123+D135+D147+D159+D171)/15</f>
        <v>0</v>
      </c>
      <c r="E183" s="17">
        <v>31</v>
      </c>
      <c r="F183" s="17">
        <f>'CDM Activity'!B151</f>
        <v>1419876.7628810203</v>
      </c>
      <c r="G183" s="17">
        <v>336</v>
      </c>
      <c r="H183" s="17">
        <v>0</v>
      </c>
      <c r="I183" s="34">
        <v>158.15454692394951</v>
      </c>
      <c r="J183" s="17"/>
      <c r="K183" s="17">
        <f t="shared" si="8"/>
        <v>33395987.099875361</v>
      </c>
      <c r="L183" s="10"/>
      <c r="M183" s="5">
        <f>AVERAGE(M3:M182)</f>
        <v>3.413523417516421E-2</v>
      </c>
    </row>
    <row r="184" spans="1:13" x14ac:dyDescent="0.2">
      <c r="A184" s="32">
        <v>42767</v>
      </c>
      <c r="C184" s="109">
        <f t="shared" ref="C184:D194" si="11">(C4+C16+C28+C40+C52+C64+C76+C88+C100+C112+C124+C136+C148+C160+C172)/15</f>
        <v>642.26666666666665</v>
      </c>
      <c r="D184" s="109">
        <f t="shared" si="11"/>
        <v>0</v>
      </c>
      <c r="E184" s="17">
        <v>28</v>
      </c>
      <c r="F184" s="17">
        <f>'CDM Activity'!B152</f>
        <v>1409689.2693296098</v>
      </c>
      <c r="G184" s="17">
        <v>304</v>
      </c>
      <c r="H184" s="17">
        <v>0</v>
      </c>
      <c r="I184" s="34">
        <v>158.46742905214063</v>
      </c>
      <c r="J184" s="17"/>
      <c r="K184" s="17">
        <f t="shared" si="8"/>
        <v>30057577.170807265</v>
      </c>
      <c r="L184" s="10"/>
    </row>
    <row r="185" spans="1:13" x14ac:dyDescent="0.2">
      <c r="A185" s="32">
        <v>42795</v>
      </c>
      <c r="C185" s="109">
        <f t="shared" si="11"/>
        <v>532.14</v>
      </c>
      <c r="D185" s="109">
        <f t="shared" si="11"/>
        <v>0</v>
      </c>
      <c r="E185" s="17">
        <v>31</v>
      </c>
      <c r="F185" s="17">
        <f>'CDM Activity'!B153</f>
        <v>1399501.7757781993</v>
      </c>
      <c r="G185" s="17">
        <v>368</v>
      </c>
      <c r="H185" s="17">
        <v>1</v>
      </c>
      <c r="I185" s="34">
        <v>158.78093016491388</v>
      </c>
      <c r="J185" s="17"/>
      <c r="K185" s="17">
        <f t="shared" si="8"/>
        <v>31828407.137147833</v>
      </c>
      <c r="L185" s="10"/>
    </row>
    <row r="186" spans="1:13" x14ac:dyDescent="0.2">
      <c r="A186" s="32">
        <v>42826</v>
      </c>
      <c r="C186" s="109">
        <f t="shared" si="11"/>
        <v>317.23333333333335</v>
      </c>
      <c r="D186" s="109">
        <f t="shared" si="11"/>
        <v>0.55333333333333323</v>
      </c>
      <c r="E186" s="17">
        <v>30</v>
      </c>
      <c r="F186" s="17">
        <f>'CDM Activity'!B154</f>
        <v>1389314.2822267888</v>
      </c>
      <c r="G186" s="17">
        <v>304</v>
      </c>
      <c r="H186" s="17">
        <v>1</v>
      </c>
      <c r="I186" s="34">
        <v>159.09505148682601</v>
      </c>
      <c r="J186" s="17"/>
      <c r="K186" s="17">
        <f t="shared" si="8"/>
        <v>27377394.709622554</v>
      </c>
      <c r="L186" s="10"/>
    </row>
    <row r="187" spans="1:13" x14ac:dyDescent="0.2">
      <c r="A187" s="32">
        <v>42856</v>
      </c>
      <c r="C187" s="109">
        <f t="shared" si="11"/>
        <v>143.73999999999998</v>
      </c>
      <c r="D187" s="109">
        <f t="shared" si="11"/>
        <v>15.093333333333334</v>
      </c>
      <c r="E187" s="17">
        <v>31</v>
      </c>
      <c r="F187" s="17">
        <f>'CDM Activity'!B155</f>
        <v>1379126.7886753783</v>
      </c>
      <c r="G187" s="17">
        <v>352</v>
      </c>
      <c r="H187" s="17">
        <v>1</v>
      </c>
      <c r="I187" s="34">
        <v>159.4097942448563</v>
      </c>
      <c r="J187" s="17"/>
      <c r="K187" s="17">
        <f t="shared" si="8"/>
        <v>28696042.003295667</v>
      </c>
      <c r="L187" s="10"/>
    </row>
    <row r="188" spans="1:13" x14ac:dyDescent="0.2">
      <c r="A188" s="32">
        <v>42887</v>
      </c>
      <c r="C188" s="109">
        <f t="shared" si="11"/>
        <v>28.673333333333332</v>
      </c>
      <c r="D188" s="109">
        <f t="shared" si="11"/>
        <v>58.74</v>
      </c>
      <c r="E188" s="17">
        <v>30</v>
      </c>
      <c r="F188" s="17">
        <f>'CDM Activity'!B156</f>
        <v>1368939.2951239678</v>
      </c>
      <c r="G188" s="17">
        <v>352</v>
      </c>
      <c r="H188" s="17">
        <v>0</v>
      </c>
      <c r="I188" s="34">
        <v>159.72515966841141</v>
      </c>
      <c r="J188" s="17"/>
      <c r="K188" s="17">
        <f t="shared" si="8"/>
        <v>31275526.632714167</v>
      </c>
      <c r="L188" s="10"/>
    </row>
    <row r="189" spans="1:13" x14ac:dyDescent="0.2">
      <c r="A189" s="32">
        <v>42917</v>
      </c>
      <c r="C189" s="109">
        <f t="shared" si="11"/>
        <v>4.4733333333333336</v>
      </c>
      <c r="D189" s="109">
        <f t="shared" si="11"/>
        <v>114.79333333333332</v>
      </c>
      <c r="E189" s="17">
        <v>31</v>
      </c>
      <c r="F189" s="17">
        <f>'CDM Activity'!B157</f>
        <v>1358751.8015725573</v>
      </c>
      <c r="G189" s="17">
        <v>320</v>
      </c>
      <c r="H189" s="17">
        <v>0</v>
      </c>
      <c r="I189" s="34">
        <v>160.0411489893302</v>
      </c>
      <c r="J189" s="17"/>
      <c r="K189" s="17">
        <f t="shared" si="8"/>
        <v>35642545.693822496</v>
      </c>
      <c r="L189" s="10"/>
    </row>
    <row r="190" spans="1:13" x14ac:dyDescent="0.2">
      <c r="A190" s="32">
        <v>42948</v>
      </c>
      <c r="C190" s="109">
        <f t="shared" si="11"/>
        <v>7.64</v>
      </c>
      <c r="D190" s="109">
        <f t="shared" si="11"/>
        <v>92.953333333333319</v>
      </c>
      <c r="E190" s="17">
        <v>31</v>
      </c>
      <c r="F190" s="17">
        <f>'CDM Activity'!B158</f>
        <v>1348564.3080211468</v>
      </c>
      <c r="G190" s="17">
        <v>352</v>
      </c>
      <c r="H190" s="17">
        <v>0</v>
      </c>
      <c r="I190" s="34">
        <v>160.35776344188849</v>
      </c>
      <c r="J190" s="17"/>
      <c r="K190" s="17">
        <f t="shared" si="8"/>
        <v>34740487.601326033</v>
      </c>
      <c r="L190" s="10"/>
    </row>
    <row r="191" spans="1:13" x14ac:dyDescent="0.2">
      <c r="A191" s="32">
        <v>42979</v>
      </c>
      <c r="C191" s="109">
        <f t="shared" si="11"/>
        <v>57.233333333333334</v>
      </c>
      <c r="D191" s="109">
        <f t="shared" si="11"/>
        <v>34.606666666666655</v>
      </c>
      <c r="E191" s="17">
        <v>30</v>
      </c>
      <c r="F191" s="17">
        <f>'CDM Activity'!B159</f>
        <v>1338376.8144697363</v>
      </c>
      <c r="G191" s="17">
        <v>320</v>
      </c>
      <c r="H191" s="17">
        <v>1</v>
      </c>
      <c r="I191" s="34">
        <v>160.67500426280395</v>
      </c>
      <c r="J191" s="17"/>
      <c r="K191" s="17">
        <f t="shared" si="8"/>
        <v>28209779.130257878</v>
      </c>
      <c r="L191" s="10"/>
    </row>
    <row r="192" spans="1:13" x14ac:dyDescent="0.2">
      <c r="A192" s="32">
        <v>43009</v>
      </c>
      <c r="C192" s="109">
        <f t="shared" si="11"/>
        <v>233.04666666666665</v>
      </c>
      <c r="D192" s="109">
        <f t="shared" si="11"/>
        <v>3.8266666666666671</v>
      </c>
      <c r="E192" s="17">
        <v>31</v>
      </c>
      <c r="F192" s="17">
        <f>'CDM Activity'!B160</f>
        <v>1328189.3209183258</v>
      </c>
      <c r="G192" s="17">
        <v>336</v>
      </c>
      <c r="H192" s="17">
        <v>1</v>
      </c>
      <c r="I192" s="34">
        <v>160.99287269124085</v>
      </c>
      <c r="J192" s="17"/>
      <c r="K192" s="17">
        <f t="shared" si="8"/>
        <v>28718175.876913447</v>
      </c>
      <c r="L192" s="10"/>
    </row>
    <row r="193" spans="1:16" x14ac:dyDescent="0.2">
      <c r="A193" s="32">
        <v>43040</v>
      </c>
      <c r="C193" s="109">
        <f t="shared" si="11"/>
        <v>377.29333333333329</v>
      </c>
      <c r="D193" s="109">
        <f t="shared" si="11"/>
        <v>0</v>
      </c>
      <c r="E193" s="17">
        <v>30</v>
      </c>
      <c r="F193" s="17">
        <f>'CDM Activity'!B161</f>
        <v>1318001.8273669153</v>
      </c>
      <c r="G193" s="17">
        <v>352</v>
      </c>
      <c r="H193" s="17">
        <v>1</v>
      </c>
      <c r="I193" s="34">
        <v>161.31136996881492</v>
      </c>
      <c r="J193" s="17"/>
      <c r="K193" s="17">
        <f t="shared" si="8"/>
        <v>29712027.47812954</v>
      </c>
      <c r="L193" s="10"/>
    </row>
    <row r="194" spans="1:16" x14ac:dyDescent="0.2">
      <c r="A194" s="32">
        <v>43070</v>
      </c>
      <c r="C194" s="109">
        <f t="shared" si="11"/>
        <v>569.36000000000013</v>
      </c>
      <c r="D194" s="109">
        <f t="shared" si="11"/>
        <v>0</v>
      </c>
      <c r="E194" s="17">
        <v>31</v>
      </c>
      <c r="F194" s="17">
        <f>'CDM Activity'!B162</f>
        <v>1307814.3338155048</v>
      </c>
      <c r="G194" s="17">
        <v>304</v>
      </c>
      <c r="H194" s="17">
        <v>0</v>
      </c>
      <c r="I194" s="34">
        <v>161.63049733959846</v>
      </c>
      <c r="J194" s="17"/>
      <c r="K194" s="17">
        <f t="shared" si="8"/>
        <v>32180340.126256067</v>
      </c>
      <c r="L194" s="10"/>
    </row>
    <row r="195" spans="1:16" x14ac:dyDescent="0.2">
      <c r="A195" s="32"/>
      <c r="F195" s="17"/>
    </row>
    <row r="196" spans="1:16" x14ac:dyDescent="0.2">
      <c r="A196" s="32"/>
      <c r="D196" s="23" t="s">
        <v>67</v>
      </c>
      <c r="K196" s="108">
        <f>SUM(K3:K195)</f>
        <v>7179031149.985096</v>
      </c>
    </row>
    <row r="197" spans="1:16" x14ac:dyDescent="0.2">
      <c r="A197" s="32"/>
      <c r="N197" s="124" t="s">
        <v>67</v>
      </c>
      <c r="O197" s="306" t="s">
        <v>252</v>
      </c>
      <c r="P197" s="306"/>
    </row>
    <row r="198" spans="1:16" x14ac:dyDescent="0.2">
      <c r="A198" s="33">
        <v>2002</v>
      </c>
      <c r="B198" s="27">
        <f>SUM(B3:B14)</f>
        <v>522661540</v>
      </c>
      <c r="K198" s="27">
        <f>SUM(K3:K14)</f>
        <v>512039645.79947102</v>
      </c>
      <c r="L198" s="37">
        <f t="shared" ref="L198:L211" si="12">K198-B198</f>
        <v>-10621894.200528979</v>
      </c>
      <c r="M198" s="5">
        <f t="shared" ref="M198:M211" si="13">L198/B198</f>
        <v>-2.0322700997913449E-2</v>
      </c>
      <c r="N198" s="6">
        <f>'Purchased Power Model WN'!K198</f>
        <v>499813152.22266603</v>
      </c>
      <c r="O198" s="24">
        <f>N198/K198</f>
        <v>0.97612197868445283</v>
      </c>
    </row>
    <row r="199" spans="1:16" x14ac:dyDescent="0.2">
      <c r="A199" s="110">
        <v>2003</v>
      </c>
      <c r="B199" s="27">
        <f>SUM(B15:B26)</f>
        <v>497113270</v>
      </c>
      <c r="K199" s="27">
        <f>SUM(K15:K26)</f>
        <v>499473509.33795565</v>
      </c>
      <c r="L199" s="37">
        <f t="shared" si="12"/>
        <v>2360239.3379556537</v>
      </c>
      <c r="M199" s="5">
        <f t="shared" si="13"/>
        <v>4.7478904314013862E-3</v>
      </c>
      <c r="N199" s="6">
        <f>'Purchased Power Model WN'!K199</f>
        <v>499849307.4108839</v>
      </c>
      <c r="O199" s="24">
        <f t="shared" ref="O199:O213" si="14">N199/K199</f>
        <v>1.0007523883967868</v>
      </c>
    </row>
    <row r="200" spans="1:16" x14ac:dyDescent="0.2">
      <c r="A200" s="33">
        <v>2004</v>
      </c>
      <c r="B200" s="27">
        <f>SUM(B27:B38)</f>
        <v>501185430</v>
      </c>
      <c r="K200" s="27">
        <f>SUM(K27:K38)</f>
        <v>495773140.59486818</v>
      </c>
      <c r="L200" s="37">
        <f t="shared" si="12"/>
        <v>-5412289.4051318169</v>
      </c>
      <c r="M200" s="5">
        <f t="shared" si="13"/>
        <v>-1.0798975950142479E-2</v>
      </c>
      <c r="N200" s="6">
        <f>'Purchased Power Model WN'!K200</f>
        <v>500978946.12198931</v>
      </c>
      <c r="O200" s="24">
        <f t="shared" si="14"/>
        <v>1.0105003782997901</v>
      </c>
    </row>
    <row r="201" spans="1:16" x14ac:dyDescent="0.2">
      <c r="A201" s="110">
        <v>2005</v>
      </c>
      <c r="B201" s="27">
        <f>SUM(B39:B50)</f>
        <v>520774860</v>
      </c>
      <c r="K201" s="27">
        <f>SUM(K39:K50)</f>
        <v>517472706.58177626</v>
      </c>
      <c r="L201" s="37">
        <f t="shared" si="12"/>
        <v>-3302153.4182237387</v>
      </c>
      <c r="M201" s="5">
        <f t="shared" si="13"/>
        <v>-6.3408464422106299E-3</v>
      </c>
      <c r="N201" s="6">
        <f>'Purchased Power Model WN'!K201</f>
        <v>499442117.01242995</v>
      </c>
      <c r="O201" s="24">
        <f t="shared" si="14"/>
        <v>0.96515644334471395</v>
      </c>
    </row>
    <row r="202" spans="1:16" x14ac:dyDescent="0.2">
      <c r="A202" s="33">
        <v>2006</v>
      </c>
      <c r="B202" s="27">
        <f>SUM(B51:B62)</f>
        <v>488381990</v>
      </c>
      <c r="K202" s="27">
        <f>SUM(K51:K62)</f>
        <v>493240677.22552299</v>
      </c>
      <c r="L202" s="37">
        <f t="shared" si="12"/>
        <v>4858687.225522995</v>
      </c>
      <c r="M202" s="5">
        <f t="shared" si="13"/>
        <v>9.9485388998947211E-3</v>
      </c>
      <c r="N202" s="6">
        <f>'Purchased Power Model WN'!K202</f>
        <v>493256274.94481349</v>
      </c>
      <c r="O202" s="24">
        <f t="shared" si="14"/>
        <v>1.0000316229378692</v>
      </c>
    </row>
    <row r="203" spans="1:16" x14ac:dyDescent="0.2">
      <c r="A203" s="110">
        <v>2007</v>
      </c>
      <c r="B203" s="27">
        <f>SUM(B63:B74)</f>
        <v>493927030</v>
      </c>
      <c r="K203" s="27">
        <f>SUM(K63:K74)</f>
        <v>487518264.45096147</v>
      </c>
      <c r="L203" s="37">
        <f t="shared" si="12"/>
        <v>-6408765.5490385294</v>
      </c>
      <c r="M203" s="5">
        <f t="shared" si="13"/>
        <v>-1.297512620242413E-2</v>
      </c>
      <c r="N203" s="6">
        <f>'Purchased Power Model WN'!K203</f>
        <v>484513602.95484209</v>
      </c>
      <c r="O203" s="24">
        <f t="shared" si="14"/>
        <v>0.99383682270960005</v>
      </c>
    </row>
    <row r="204" spans="1:16" x14ac:dyDescent="0.2">
      <c r="A204" s="33">
        <v>2008</v>
      </c>
      <c r="B204" s="27">
        <f>SUM(B75:B86)</f>
        <v>487062910</v>
      </c>
      <c r="K204" s="27">
        <f>SUM(K75:K86)</f>
        <v>468975372.19405693</v>
      </c>
      <c r="L204" s="37">
        <f t="shared" si="12"/>
        <v>-18087537.805943072</v>
      </c>
      <c r="M204" s="5">
        <f t="shared" si="13"/>
        <v>-3.7135937544378141E-2</v>
      </c>
      <c r="N204" s="6">
        <f>'Purchased Power Model WN'!K204</f>
        <v>474942592.06438279</v>
      </c>
      <c r="O204" s="24">
        <f t="shared" si="14"/>
        <v>1.0127239514570003</v>
      </c>
    </row>
    <row r="205" spans="1:16" x14ac:dyDescent="0.2">
      <c r="A205" s="110">
        <v>2009</v>
      </c>
      <c r="B205" s="27">
        <f>SUM(B87:B98)</f>
        <v>419617213.07692301</v>
      </c>
      <c r="K205" s="27">
        <f>SUM(K87:K98)</f>
        <v>451430463.66173619</v>
      </c>
      <c r="L205" s="37">
        <f t="shared" si="12"/>
        <v>31813250.584813178</v>
      </c>
      <c r="M205" s="5">
        <f t="shared" si="13"/>
        <v>7.5814932260610729E-2</v>
      </c>
      <c r="N205" s="6">
        <f>'Purchased Power Model WN'!K205</f>
        <v>462915649.22783113</v>
      </c>
      <c r="O205" s="24">
        <f t="shared" si="14"/>
        <v>1.025441760117237</v>
      </c>
    </row>
    <row r="206" spans="1:16" x14ac:dyDescent="0.2">
      <c r="A206" s="33">
        <v>2010</v>
      </c>
      <c r="B206" s="27">
        <f>SUM(B99:B110)</f>
        <v>443594623.07692289</v>
      </c>
      <c r="K206" s="27">
        <f>SUM(K99:K110)</f>
        <v>457976030.17038697</v>
      </c>
      <c r="L206" s="37">
        <f t="shared" si="12"/>
        <v>14381407.093464077</v>
      </c>
      <c r="M206" s="5">
        <f t="shared" si="13"/>
        <v>3.2420156479151516E-2</v>
      </c>
      <c r="N206" s="6">
        <f>'Purchased Power Model WN'!K206</f>
        <v>459712976.10902995</v>
      </c>
      <c r="O206" s="24">
        <f t="shared" si="14"/>
        <v>1.0037926568733231</v>
      </c>
    </row>
    <row r="207" spans="1:16" x14ac:dyDescent="0.2">
      <c r="A207" s="33">
        <v>2011</v>
      </c>
      <c r="B207" s="27">
        <f>SUM(B111:B122)</f>
        <v>451220848.00000006</v>
      </c>
      <c r="K207" s="27">
        <f>SUM(K111:K122)</f>
        <v>446307047.26310718</v>
      </c>
      <c r="L207" s="37">
        <f t="shared" si="12"/>
        <v>-4913800.736892879</v>
      </c>
      <c r="M207" s="5">
        <f t="shared" si="13"/>
        <v>-1.0890012637210589E-2</v>
      </c>
      <c r="N207" s="6">
        <f>'Purchased Power Model WN'!K207</f>
        <v>445963918.12533844</v>
      </c>
      <c r="O207" s="24">
        <f t="shared" si="14"/>
        <v>0.99923118144812428</v>
      </c>
    </row>
    <row r="208" spans="1:16" x14ac:dyDescent="0.2">
      <c r="A208" s="33">
        <v>2012</v>
      </c>
      <c r="B208" s="27">
        <f>SUM(B123:B134)</f>
        <v>421671164.32258064</v>
      </c>
      <c r="K208" s="27">
        <f>SUM(K123:K134)</f>
        <v>428913787.08059371</v>
      </c>
      <c r="L208" s="37">
        <f t="shared" si="12"/>
        <v>7242622.7580130696</v>
      </c>
      <c r="M208" s="5">
        <f t="shared" si="13"/>
        <v>1.7175997248112574E-2</v>
      </c>
      <c r="N208" s="6">
        <f>'Purchased Power Model WN'!K208</f>
        <v>433372835.95120609</v>
      </c>
      <c r="O208" s="24">
        <f t="shared" si="14"/>
        <v>1.0103961425464145</v>
      </c>
    </row>
    <row r="209" spans="1:15" x14ac:dyDescent="0.2">
      <c r="A209" s="33">
        <v>2013</v>
      </c>
      <c r="B209" s="27">
        <f>SUM(B135:B146)</f>
        <v>415369616</v>
      </c>
      <c r="K209" s="27">
        <f>SUM(K135:K146)</f>
        <v>408477732.4401511</v>
      </c>
      <c r="L209" s="37">
        <f t="shared" si="12"/>
        <v>-6891883.5598489046</v>
      </c>
      <c r="M209" s="5">
        <f t="shared" si="13"/>
        <v>-1.6592170670107233E-2</v>
      </c>
      <c r="N209" s="6">
        <f>'Purchased Power Model WN'!K209</f>
        <v>411396271.99190009</v>
      </c>
      <c r="O209" s="24">
        <f t="shared" si="14"/>
        <v>1.0071449171398263</v>
      </c>
    </row>
    <row r="210" spans="1:15" x14ac:dyDescent="0.2">
      <c r="A210" s="33">
        <v>2014</v>
      </c>
      <c r="B210" s="27">
        <f>SUM(B147:B158)</f>
        <v>391554997.00000006</v>
      </c>
      <c r="K210" s="27">
        <f>SUM(K147:K158)</f>
        <v>384614257.26620692</v>
      </c>
      <c r="L210" s="37">
        <f t="shared" si="12"/>
        <v>-6940739.7337931395</v>
      </c>
      <c r="M210" s="5">
        <f t="shared" si="13"/>
        <v>-1.7726091575823097E-2</v>
      </c>
      <c r="N210" s="6">
        <f>'Purchased Power Model WN'!K210</f>
        <v>388844713.87033653</v>
      </c>
      <c r="O210" s="24">
        <f t="shared" si="14"/>
        <v>1.0109992194106354</v>
      </c>
    </row>
    <row r="211" spans="1:15" x14ac:dyDescent="0.2">
      <c r="A211" s="110">
        <v>2015</v>
      </c>
      <c r="B211" s="27">
        <f>SUM(B159:B170)</f>
        <v>372480929.99999994</v>
      </c>
      <c r="C211" s="112"/>
      <c r="D211" s="112"/>
      <c r="E211" s="112"/>
      <c r="F211" s="112"/>
      <c r="G211" s="112"/>
      <c r="H211" s="112"/>
      <c r="J211" s="112"/>
      <c r="K211" s="27">
        <f>SUM(K159:K170)</f>
        <v>377299933.41984731</v>
      </c>
      <c r="L211" s="37">
        <f t="shared" si="12"/>
        <v>4819003.4198473692</v>
      </c>
      <c r="M211" s="5">
        <f t="shared" si="13"/>
        <v>1.2937584267327109E-2</v>
      </c>
      <c r="N211" s="6">
        <f>'Purchased Power Model WN'!K211</f>
        <v>380861298.83230323</v>
      </c>
      <c r="O211" s="24">
        <f t="shared" si="14"/>
        <v>1.0094390830662907</v>
      </c>
    </row>
    <row r="212" spans="1:15" x14ac:dyDescent="0.2">
      <c r="A212" s="33">
        <v>2016</v>
      </c>
      <c r="B212" s="27">
        <f>SUM(B171:B182)</f>
        <v>380580437.84850001</v>
      </c>
      <c r="C212" s="112"/>
      <c r="D212" s="112"/>
      <c r="E212" s="112"/>
      <c r="F212" s="112"/>
      <c r="G212" s="112"/>
      <c r="H212" s="112"/>
      <c r="J212" s="112"/>
      <c r="K212" s="27">
        <f>SUM(K171:K182)</f>
        <v>377684291.83828664</v>
      </c>
      <c r="L212" s="37">
        <f t="shared" ref="L212" si="15">K212-B212</f>
        <v>-2896146.0102133751</v>
      </c>
      <c r="M212" s="5">
        <f t="shared" ref="M212" si="16">L212/B212</f>
        <v>-7.6098131227813181E-3</v>
      </c>
      <c r="N212" s="6">
        <f>'Purchased Power Model WN'!K212</f>
        <v>371333202.48497546</v>
      </c>
      <c r="O212" s="24">
        <f t="shared" si="14"/>
        <v>0.98318413158673135</v>
      </c>
    </row>
    <row r="213" spans="1:15" x14ac:dyDescent="0.2">
      <c r="A213" s="110">
        <v>2017</v>
      </c>
      <c r="C213" s="112"/>
      <c r="D213" s="112"/>
      <c r="E213" s="112"/>
      <c r="F213" s="112"/>
      <c r="G213" s="27"/>
      <c r="H213" s="112"/>
      <c r="J213" s="112"/>
      <c r="K213" s="264">
        <v>377669392.21158886</v>
      </c>
      <c r="L213" s="113"/>
      <c r="M213" s="113"/>
      <c r="N213" s="6">
        <f>'Purchased Power Model WN'!K213</f>
        <v>371834290.66016835</v>
      </c>
      <c r="O213" s="24">
        <f t="shared" si="14"/>
        <v>0.98454971021810689</v>
      </c>
    </row>
    <row r="214" spans="1:15" x14ac:dyDescent="0.2">
      <c r="C214" s="112"/>
      <c r="D214" s="112"/>
      <c r="E214" s="112"/>
      <c r="F214" s="112"/>
      <c r="G214" s="112"/>
      <c r="H214" s="112"/>
      <c r="J214" s="112"/>
      <c r="K214" s="27"/>
      <c r="L214" s="113"/>
      <c r="M214" s="113"/>
    </row>
    <row r="215" spans="1:15" x14ac:dyDescent="0.2">
      <c r="A215" s="51" t="s">
        <v>165</v>
      </c>
      <c r="B215" s="27">
        <f>SUM(B198:B212)</f>
        <v>6807196859.3249264</v>
      </c>
      <c r="K215" s="27">
        <f>SUM(K198:K212)</f>
        <v>6807196859.3249292</v>
      </c>
      <c r="L215" s="6">
        <f>K215-B215</f>
        <v>0</v>
      </c>
    </row>
    <row r="217" spans="1:15" x14ac:dyDescent="0.2">
      <c r="K217" s="27">
        <f>SUM(K198:K213)</f>
        <v>7184866251.5365181</v>
      </c>
      <c r="L217" s="265">
        <f>K196-K217</f>
        <v>-5835101.5514221191</v>
      </c>
    </row>
    <row r="218" spans="1:15" x14ac:dyDescent="0.2">
      <c r="K218" s="18"/>
      <c r="L218" s="18" t="s">
        <v>64</v>
      </c>
      <c r="M218" s="18"/>
    </row>
    <row r="221" spans="1:15" x14ac:dyDescent="0.2">
      <c r="A221" s="51" t="s">
        <v>173</v>
      </c>
    </row>
    <row r="222" spans="1:15" x14ac:dyDescent="0.2">
      <c r="A222" s="32">
        <v>42736</v>
      </c>
      <c r="C222" s="109">
        <f>'Historical HDD &amp; CDD'!AL30</f>
        <v>697.66000000000008</v>
      </c>
      <c r="D222" s="109">
        <f>'Historical HDD &amp; CDD'!AL43</f>
        <v>0</v>
      </c>
      <c r="E222" s="17">
        <f>E183</f>
        <v>31</v>
      </c>
      <c r="F222" s="17">
        <f t="shared" ref="F222:H222" si="17">F183</f>
        <v>1419876.7628810203</v>
      </c>
      <c r="G222" s="17">
        <f t="shared" si="17"/>
        <v>336</v>
      </c>
      <c r="H222" s="17">
        <f t="shared" si="17"/>
        <v>0</v>
      </c>
      <c r="I222" s="34">
        <v>143.1291789570798</v>
      </c>
      <c r="J222" s="17">
        <f>J221+($J$140-$J$128)/12</f>
        <v>11.916666666666666</v>
      </c>
      <c r="K222" s="17">
        <f t="shared" ref="K222:K233" si="18">$O$18+$O$19*C222+$O$20*D222+$O$21*E222+$O$22*F222+$O$23*G222+H222*$O$24</f>
        <v>33468240.763465047</v>
      </c>
      <c r="L222" s="10"/>
      <c r="N222" s="121"/>
    </row>
    <row r="223" spans="1:15" x14ac:dyDescent="0.2">
      <c r="A223" s="32">
        <v>42767</v>
      </c>
      <c r="C223" s="109">
        <f>'Historical HDD &amp; CDD'!AL31</f>
        <v>665.21</v>
      </c>
      <c r="D223" s="109">
        <f>'Historical HDD &amp; CDD'!AL44</f>
        <v>0</v>
      </c>
      <c r="E223" s="17">
        <f t="shared" ref="E223:H223" si="19">E184</f>
        <v>28</v>
      </c>
      <c r="F223" s="17">
        <f t="shared" si="19"/>
        <v>1409689.2693296098</v>
      </c>
      <c r="G223" s="17">
        <f t="shared" si="19"/>
        <v>304</v>
      </c>
      <c r="H223" s="17">
        <f t="shared" si="19"/>
        <v>0</v>
      </c>
      <c r="I223" s="34">
        <v>143.42400163116841</v>
      </c>
      <c r="J223" s="17">
        <f>J222+($J$140-$J$128)/12</f>
        <v>23.833333333333332</v>
      </c>
      <c r="K223" s="17">
        <f t="shared" si="18"/>
        <v>30302322.233055219</v>
      </c>
      <c r="L223" s="10"/>
      <c r="N223" s="121"/>
    </row>
    <row r="224" spans="1:15" x14ac:dyDescent="0.2">
      <c r="A224" s="32">
        <v>42795</v>
      </c>
      <c r="C224" s="109">
        <f>'Historical HDD &amp; CDD'!AL32</f>
        <v>535.54</v>
      </c>
      <c r="D224" s="109">
        <f>'Historical HDD &amp; CDD'!AL45</f>
        <v>0</v>
      </c>
      <c r="E224" s="17">
        <f t="shared" ref="E224:H224" si="20">E185</f>
        <v>31</v>
      </c>
      <c r="F224" s="17">
        <f t="shared" si="20"/>
        <v>1399501.7757781993</v>
      </c>
      <c r="G224" s="17">
        <f t="shared" si="20"/>
        <v>368</v>
      </c>
      <c r="H224" s="17">
        <f t="shared" si="20"/>
        <v>1</v>
      </c>
      <c r="I224" s="34">
        <v>143.71943159169427</v>
      </c>
      <c r="J224" s="17">
        <f>J223+($J$140-$J$128)/12</f>
        <v>35.75</v>
      </c>
      <c r="K224" s="17">
        <f t="shared" si="18"/>
        <v>31864676.200563919</v>
      </c>
      <c r="L224" s="10"/>
      <c r="N224" s="121"/>
    </row>
    <row r="225" spans="1:14" x14ac:dyDescent="0.2">
      <c r="A225" s="32">
        <v>42826</v>
      </c>
      <c r="C225" s="109">
        <f>'Historical HDD &amp; CDD'!AL33</f>
        <v>321.49000000000007</v>
      </c>
      <c r="D225" s="109">
        <f>'Historical HDD &amp; CDD'!AL46</f>
        <v>0.24</v>
      </c>
      <c r="E225" s="17">
        <f t="shared" ref="E225:H225" si="21">E186</f>
        <v>30</v>
      </c>
      <c r="F225" s="17">
        <f t="shared" si="21"/>
        <v>1389314.2822267888</v>
      </c>
      <c r="G225" s="17">
        <f t="shared" si="21"/>
        <v>304</v>
      </c>
      <c r="H225" s="17">
        <f t="shared" si="21"/>
        <v>1</v>
      </c>
      <c r="I225" s="34">
        <v>144.01547008956803</v>
      </c>
      <c r="J225" s="17">
        <f>J224+($J$140-$J$128)/12</f>
        <v>47.666666666666664</v>
      </c>
      <c r="K225" s="17">
        <f t="shared" si="18"/>
        <v>27396901.979733981</v>
      </c>
      <c r="L225" s="10"/>
      <c r="N225" s="121"/>
    </row>
    <row r="226" spans="1:14" x14ac:dyDescent="0.2">
      <c r="A226" s="32">
        <v>42856</v>
      </c>
      <c r="C226" s="109">
        <f>'Historical HDD &amp; CDD'!AL34</f>
        <v>136.32999999999998</v>
      </c>
      <c r="D226" s="109">
        <f>'Historical HDD &amp; CDD'!AL47</f>
        <v>17.62</v>
      </c>
      <c r="E226" s="17">
        <f t="shared" ref="E226:H226" si="22">E187</f>
        <v>31</v>
      </c>
      <c r="F226" s="17">
        <f t="shared" si="22"/>
        <v>1379126.7886753783</v>
      </c>
      <c r="G226" s="17">
        <f t="shared" si="22"/>
        <v>352</v>
      </c>
      <c r="H226" s="17">
        <f t="shared" si="22"/>
        <v>1</v>
      </c>
      <c r="I226" s="34">
        <v>144.31211837827698</v>
      </c>
      <c r="J226" s="17">
        <f>J225+($J$140-$J$128)/12</f>
        <v>59.583333333333329</v>
      </c>
      <c r="K226" s="17">
        <f t="shared" si="18"/>
        <v>28825851.382203795</v>
      </c>
      <c r="L226" s="10"/>
      <c r="N226" s="121"/>
    </row>
    <row r="227" spans="1:14" x14ac:dyDescent="0.2">
      <c r="A227" s="32">
        <v>42887</v>
      </c>
      <c r="C227" s="109">
        <f>'Historical HDD &amp; CDD'!AL35</f>
        <v>29.829999999999995</v>
      </c>
      <c r="D227" s="109">
        <f>'Historical HDD &amp; CDD'!AL48</f>
        <v>51.77</v>
      </c>
      <c r="E227" s="17">
        <f t="shared" ref="E227:H227" si="23">E188</f>
        <v>30</v>
      </c>
      <c r="F227" s="17">
        <f t="shared" si="23"/>
        <v>1368939.2951239678</v>
      </c>
      <c r="G227" s="17">
        <f t="shared" si="23"/>
        <v>352</v>
      </c>
      <c r="H227" s="17">
        <f t="shared" si="23"/>
        <v>0</v>
      </c>
      <c r="I227" s="34">
        <v>144.60937771389038</v>
      </c>
      <c r="J227" s="17">
        <f>SUM('Rate Class Customer Model'!B58:E58)</f>
        <v>0</v>
      </c>
      <c r="K227" s="17">
        <f t="shared" si="18"/>
        <v>30711724.09967792</v>
      </c>
      <c r="L227" s="10"/>
      <c r="N227" s="121"/>
    </row>
    <row r="228" spans="1:14" x14ac:dyDescent="0.2">
      <c r="A228" s="32">
        <v>42917</v>
      </c>
      <c r="C228" s="109">
        <f>'Historical HDD &amp; CDD'!AL36</f>
        <v>6.3800000000000008</v>
      </c>
      <c r="D228" s="109">
        <f>'Historical HDD &amp; CDD'!AL49</f>
        <v>100.21999999999998</v>
      </c>
      <c r="E228" s="17">
        <f t="shared" ref="E228:H228" si="24">E189</f>
        <v>31</v>
      </c>
      <c r="F228" s="17">
        <f t="shared" si="24"/>
        <v>1358751.8015725573</v>
      </c>
      <c r="G228" s="17">
        <f t="shared" si="24"/>
        <v>320</v>
      </c>
      <c r="H228" s="17">
        <f t="shared" si="24"/>
        <v>0</v>
      </c>
      <c r="I228" s="34">
        <v>144.90724935506483</v>
      </c>
      <c r="J228" s="17">
        <f t="shared" ref="J228:J233" si="25">J227+($J$140-$J$128)/12</f>
        <v>11.916666666666666</v>
      </c>
      <c r="K228" s="17">
        <f t="shared" si="18"/>
        <v>34458251.145811059</v>
      </c>
      <c r="L228" s="10"/>
      <c r="N228" s="121"/>
    </row>
    <row r="229" spans="1:14" x14ac:dyDescent="0.2">
      <c r="A229" s="32">
        <v>42948</v>
      </c>
      <c r="C229" s="109">
        <f>'Historical HDD &amp; CDD'!AL37</f>
        <v>9.61</v>
      </c>
      <c r="D229" s="109">
        <f>'Historical HDD &amp; CDD'!AL50</f>
        <v>81.910000000000011</v>
      </c>
      <c r="E229" s="17">
        <f t="shared" ref="E229:H229" si="26">E190</f>
        <v>31</v>
      </c>
      <c r="F229" s="17">
        <f t="shared" si="26"/>
        <v>1348564.3080211468</v>
      </c>
      <c r="G229" s="17">
        <f t="shared" si="26"/>
        <v>352</v>
      </c>
      <c r="H229" s="17">
        <f t="shared" si="26"/>
        <v>0</v>
      </c>
      <c r="I229" s="34">
        <v>145.20573456304953</v>
      </c>
      <c r="J229" s="17">
        <f t="shared" si="25"/>
        <v>23.833333333333332</v>
      </c>
      <c r="K229" s="17">
        <f t="shared" si="18"/>
        <v>33848658.922584504</v>
      </c>
      <c r="L229" s="10"/>
      <c r="N229" s="121"/>
    </row>
    <row r="230" spans="1:14" x14ac:dyDescent="0.2">
      <c r="A230" s="32">
        <v>42979</v>
      </c>
      <c r="C230" s="109">
        <f>'Historical HDD &amp; CDD'!AL38</f>
        <v>66.919999999999987</v>
      </c>
      <c r="D230" s="109">
        <f>'Historical HDD &amp; CDD'!AL51</f>
        <v>29.910000000000004</v>
      </c>
      <c r="E230" s="17">
        <f t="shared" ref="E230:H230" si="27">E191</f>
        <v>30</v>
      </c>
      <c r="F230" s="17">
        <f t="shared" si="27"/>
        <v>1338376.8144697363</v>
      </c>
      <c r="G230" s="17">
        <f t="shared" si="27"/>
        <v>320</v>
      </c>
      <c r="H230" s="17">
        <f t="shared" si="27"/>
        <v>1</v>
      </c>
      <c r="I230" s="34">
        <v>145.50483460169167</v>
      </c>
      <c r="J230" s="17">
        <f t="shared" si="25"/>
        <v>35.75</v>
      </c>
      <c r="K230" s="17">
        <f t="shared" si="18"/>
        <v>27924883.312325191</v>
      </c>
      <c r="L230" s="10"/>
      <c r="N230" s="121"/>
    </row>
    <row r="231" spans="1:14" x14ac:dyDescent="0.2">
      <c r="A231" s="32">
        <v>43009</v>
      </c>
      <c r="C231" s="109">
        <f>'Historical HDD &amp; CDD'!AL39</f>
        <v>228.10999999999999</v>
      </c>
      <c r="D231" s="109">
        <f>'Historical HDD &amp; CDD'!AL52</f>
        <v>3.5800000000000005</v>
      </c>
      <c r="E231" s="17">
        <f t="shared" ref="E231:H231" si="28">E192</f>
        <v>31</v>
      </c>
      <c r="F231" s="17">
        <f t="shared" si="28"/>
        <v>1328189.3209183258</v>
      </c>
      <c r="G231" s="17">
        <f t="shared" si="28"/>
        <v>336</v>
      </c>
      <c r="H231" s="17">
        <f t="shared" si="28"/>
        <v>1</v>
      </c>
      <c r="I231" s="34">
        <v>145.8045507374417</v>
      </c>
      <c r="J231" s="17">
        <f t="shared" si="25"/>
        <v>47.666666666666664</v>
      </c>
      <c r="K231" s="17">
        <f t="shared" si="18"/>
        <v>28645125.119705584</v>
      </c>
      <c r="L231" s="10"/>
      <c r="N231" s="121"/>
    </row>
    <row r="232" spans="1:14" x14ac:dyDescent="0.2">
      <c r="A232" s="32">
        <v>43040</v>
      </c>
      <c r="C232" s="109">
        <f>'Historical HDD &amp; CDD'!AL40</f>
        <v>380.73999999999995</v>
      </c>
      <c r="D232" s="109">
        <f>'Historical HDD &amp; CDD'!AL53</f>
        <v>0</v>
      </c>
      <c r="E232" s="17">
        <f t="shared" ref="E232:H232" si="29">E193</f>
        <v>30</v>
      </c>
      <c r="F232" s="17">
        <f t="shared" si="29"/>
        <v>1318001.8273669153</v>
      </c>
      <c r="G232" s="17">
        <f t="shared" si="29"/>
        <v>352</v>
      </c>
      <c r="H232" s="17">
        <f t="shared" si="29"/>
        <v>1</v>
      </c>
      <c r="I232" s="34">
        <v>146.1048842393588</v>
      </c>
      <c r="J232" s="17">
        <f t="shared" si="25"/>
        <v>59.583333333333329</v>
      </c>
      <c r="K232" s="17">
        <f t="shared" si="18"/>
        <v>29748794.352219962</v>
      </c>
      <c r="L232" s="10"/>
      <c r="N232" s="121"/>
    </row>
    <row r="233" spans="1:14" x14ac:dyDescent="0.2">
      <c r="A233" s="32">
        <v>43070</v>
      </c>
      <c r="C233" s="109">
        <f>'Historical HDD &amp; CDD'!AL41</f>
        <v>568.66</v>
      </c>
      <c r="D233" s="109">
        <f>'Historical HDD &amp; CDD'!AL54</f>
        <v>0</v>
      </c>
      <c r="E233" s="17">
        <f t="shared" ref="E233:H233" si="30">E194</f>
        <v>31</v>
      </c>
      <c r="F233" s="17">
        <f t="shared" si="30"/>
        <v>1307814.3338155048</v>
      </c>
      <c r="G233" s="17">
        <f t="shared" si="30"/>
        <v>304</v>
      </c>
      <c r="H233" s="17">
        <f t="shared" si="30"/>
        <v>0</v>
      </c>
      <c r="I233" s="34">
        <v>146.40583637911641</v>
      </c>
      <c r="J233" s="17">
        <f t="shared" si="25"/>
        <v>71.5</v>
      </c>
      <c r="K233" s="17">
        <f t="shared" si="18"/>
        <v>32172872.966140989</v>
      </c>
      <c r="L233" s="10">
        <f>SUM(K222:K233)</f>
        <v>369368302.47748709</v>
      </c>
      <c r="N233" s="121"/>
    </row>
    <row r="235" spans="1:14" x14ac:dyDescent="0.2">
      <c r="A235" s="51" t="s">
        <v>175</v>
      </c>
      <c r="C235" s="112"/>
      <c r="D235" s="112"/>
      <c r="E235" s="112"/>
      <c r="F235" s="112"/>
      <c r="G235" s="112"/>
      <c r="H235" s="112"/>
      <c r="J235" s="112"/>
      <c r="K235" s="112"/>
      <c r="L235" s="117"/>
    </row>
    <row r="236" spans="1:14" x14ac:dyDescent="0.2">
      <c r="A236" s="32">
        <v>42736</v>
      </c>
      <c r="C236" s="109">
        <f>'Historical HDD &amp; CDD'!AK30</f>
        <v>711.76526315789488</v>
      </c>
      <c r="D236" s="109">
        <f>'Historical HDD &amp; CDD'!AK43</f>
        <v>0</v>
      </c>
      <c r="E236" s="17">
        <f>E222</f>
        <v>31</v>
      </c>
      <c r="F236" s="17">
        <f t="shared" ref="F236:H236" si="31">F222</f>
        <v>1419876.7628810203</v>
      </c>
      <c r="G236" s="17">
        <f t="shared" si="31"/>
        <v>336</v>
      </c>
      <c r="H236" s="17">
        <f t="shared" si="31"/>
        <v>0</v>
      </c>
      <c r="I236" s="34">
        <v>143.1291789570798</v>
      </c>
      <c r="J236" s="17">
        <f>J235+($J$140-$J$128)/12</f>
        <v>11.916666666666666</v>
      </c>
      <c r="K236" s="17">
        <f t="shared" ref="K236:K247" si="32">$O$18+$O$19*C236+$O$20*D236+$O$21*E236+$O$22*F236+$O$23*G236+H236*$O$24</f>
        <v>33618706.846986882</v>
      </c>
      <c r="L236" s="10"/>
      <c r="N236" s="121"/>
    </row>
    <row r="237" spans="1:14" x14ac:dyDescent="0.2">
      <c r="A237" s="32">
        <v>42767</v>
      </c>
      <c r="C237" s="109">
        <f>'Historical HDD &amp; CDD'!AK31</f>
        <v>710.94999999999709</v>
      </c>
      <c r="D237" s="109">
        <f>'Historical HDD &amp; CDD'!AK44</f>
        <v>0</v>
      </c>
      <c r="E237" s="17">
        <f t="shared" ref="E237:H247" si="33">E223</f>
        <v>28</v>
      </c>
      <c r="F237" s="17">
        <f t="shared" si="33"/>
        <v>1409689.2693296098</v>
      </c>
      <c r="G237" s="17">
        <f t="shared" si="33"/>
        <v>304</v>
      </c>
      <c r="H237" s="17">
        <f t="shared" si="33"/>
        <v>0</v>
      </c>
      <c r="I237" s="34">
        <v>143.42400163116841</v>
      </c>
      <c r="J237" s="17">
        <f>J236+($J$140-$J$128)/12</f>
        <v>23.833333333333332</v>
      </c>
      <c r="K237" s="17">
        <f t="shared" si="32"/>
        <v>30790247.809717461</v>
      </c>
      <c r="L237" s="10"/>
      <c r="N237" s="121"/>
    </row>
    <row r="238" spans="1:14" x14ac:dyDescent="0.2">
      <c r="A238" s="32">
        <v>42795</v>
      </c>
      <c r="C238" s="109">
        <f>'Historical HDD &amp; CDD'!AK32</f>
        <v>546.09999999999991</v>
      </c>
      <c r="D238" s="109">
        <f>'Historical HDD &amp; CDD'!AK45</f>
        <v>-6.7368421052631078E-2</v>
      </c>
      <c r="E238" s="17">
        <f t="shared" si="33"/>
        <v>31</v>
      </c>
      <c r="F238" s="17">
        <f t="shared" si="33"/>
        <v>1399501.7757781993</v>
      </c>
      <c r="G238" s="17">
        <f t="shared" si="33"/>
        <v>368</v>
      </c>
      <c r="H238" s="17">
        <f t="shared" si="33"/>
        <v>1</v>
      </c>
      <c r="I238" s="34">
        <v>143.71943159169427</v>
      </c>
      <c r="J238" s="17">
        <f>J237+($J$140-$J$128)/12</f>
        <v>35.75</v>
      </c>
      <c r="K238" s="17">
        <f t="shared" si="32"/>
        <v>31971754.961949464</v>
      </c>
      <c r="L238" s="10"/>
      <c r="N238" s="121"/>
    </row>
    <row r="239" spans="1:14" x14ac:dyDescent="0.2">
      <c r="A239" s="32">
        <v>42826</v>
      </c>
      <c r="C239" s="109">
        <f>'Historical HDD &amp; CDD'!AK33</f>
        <v>321.49947368421067</v>
      </c>
      <c r="D239" s="109">
        <f>'Historical HDD &amp; CDD'!AK46</f>
        <v>6.2105263157889112E-2</v>
      </c>
      <c r="E239" s="17">
        <f t="shared" si="33"/>
        <v>30</v>
      </c>
      <c r="F239" s="17">
        <f t="shared" si="33"/>
        <v>1389314.2822267888</v>
      </c>
      <c r="G239" s="17">
        <f t="shared" si="33"/>
        <v>304</v>
      </c>
      <c r="H239" s="17">
        <f t="shared" si="33"/>
        <v>1</v>
      </c>
      <c r="I239" s="34">
        <v>144.01547008956803</v>
      </c>
      <c r="J239" s="17">
        <f>J238+($J$140-$J$128)/12</f>
        <v>47.666666666666664</v>
      </c>
      <c r="K239" s="17">
        <f t="shared" si="32"/>
        <v>27382298.236457657</v>
      </c>
      <c r="L239" s="10"/>
      <c r="N239" s="121"/>
    </row>
    <row r="240" spans="1:14" x14ac:dyDescent="0.2">
      <c r="A240" s="32">
        <v>42856</v>
      </c>
      <c r="C240" s="109">
        <f>'Historical HDD &amp; CDD'!AK34</f>
        <v>124.36526315789433</v>
      </c>
      <c r="D240" s="109">
        <f>'Historical HDD &amp; CDD'!AK47</f>
        <v>22.363684210526344</v>
      </c>
      <c r="E240" s="17">
        <f t="shared" si="33"/>
        <v>31</v>
      </c>
      <c r="F240" s="17">
        <f t="shared" si="33"/>
        <v>1379126.7886753783</v>
      </c>
      <c r="G240" s="17">
        <f t="shared" si="33"/>
        <v>352</v>
      </c>
      <c r="H240" s="17">
        <f t="shared" si="33"/>
        <v>1</v>
      </c>
      <c r="I240" s="34">
        <v>144.31211837827698</v>
      </c>
      <c r="J240" s="17">
        <f>J239+($J$140-$J$128)/12</f>
        <v>59.583333333333329</v>
      </c>
      <c r="K240" s="17">
        <f t="shared" si="32"/>
        <v>29090332.655483395</v>
      </c>
      <c r="L240" s="10"/>
      <c r="N240" s="121"/>
    </row>
    <row r="241" spans="1:14" x14ac:dyDescent="0.2">
      <c r="A241" s="32">
        <v>42887</v>
      </c>
      <c r="C241" s="109">
        <f>'Historical HDD &amp; CDD'!AK35</f>
        <v>26.60210526315791</v>
      </c>
      <c r="D241" s="109">
        <f>'Historical HDD &amp; CDD'!AK48</f>
        <v>46.141578947368089</v>
      </c>
      <c r="E241" s="17">
        <f t="shared" si="33"/>
        <v>30</v>
      </c>
      <c r="F241" s="17">
        <f t="shared" si="33"/>
        <v>1368939.2951239678</v>
      </c>
      <c r="G241" s="17">
        <f t="shared" si="33"/>
        <v>352</v>
      </c>
      <c r="H241" s="17">
        <f t="shared" si="33"/>
        <v>0</v>
      </c>
      <c r="I241" s="34">
        <v>144.60937771389038</v>
      </c>
      <c r="J241" s="17">
        <f>SUM('Rate Class Customer Model'!B72:E72)</f>
        <v>0</v>
      </c>
      <c r="K241" s="17">
        <f t="shared" si="32"/>
        <v>30212044.91493772</v>
      </c>
      <c r="L241" s="10"/>
      <c r="N241" s="121"/>
    </row>
    <row r="242" spans="1:14" x14ac:dyDescent="0.2">
      <c r="A242" s="32">
        <v>42917</v>
      </c>
      <c r="C242" s="109">
        <f>'Historical HDD &amp; CDD'!AK36</f>
        <v>5.036315789473683</v>
      </c>
      <c r="D242" s="109">
        <f>'Historical HDD &amp; CDD'!AK49</f>
        <v>107.65947368421052</v>
      </c>
      <c r="E242" s="17">
        <f t="shared" si="33"/>
        <v>31</v>
      </c>
      <c r="F242" s="17">
        <f t="shared" si="33"/>
        <v>1358751.8015725573</v>
      </c>
      <c r="G242" s="17">
        <f t="shared" si="33"/>
        <v>320</v>
      </c>
      <c r="H242" s="17">
        <f t="shared" si="33"/>
        <v>0</v>
      </c>
      <c r="I242" s="34">
        <v>144.90724935506483</v>
      </c>
      <c r="J242" s="17">
        <f t="shared" ref="J242:J247" si="34">J241+($J$140-$J$128)/12</f>
        <v>11.916666666666666</v>
      </c>
      <c r="K242" s="17">
        <f t="shared" si="32"/>
        <v>35058865.450333409</v>
      </c>
      <c r="L242" s="10"/>
      <c r="N242" s="121"/>
    </row>
    <row r="243" spans="1:14" x14ac:dyDescent="0.2">
      <c r="A243" s="32">
        <v>42948</v>
      </c>
      <c r="C243" s="109">
        <f>'Historical HDD &amp; CDD'!AK37</f>
        <v>8.0952631578947347</v>
      </c>
      <c r="D243" s="109">
        <f>'Historical HDD &amp; CDD'!AK50</f>
        <v>84.547894736842181</v>
      </c>
      <c r="E243" s="17">
        <f t="shared" si="33"/>
        <v>31</v>
      </c>
      <c r="F243" s="17">
        <f t="shared" si="33"/>
        <v>1348564.3080211468</v>
      </c>
      <c r="G243" s="17">
        <f t="shared" si="33"/>
        <v>352</v>
      </c>
      <c r="H243" s="17">
        <f t="shared" si="33"/>
        <v>0</v>
      </c>
      <c r="I243" s="34">
        <v>145.20573456304953</v>
      </c>
      <c r="J243" s="17">
        <f t="shared" si="34"/>
        <v>23.833333333333332</v>
      </c>
      <c r="K243" s="17">
        <f t="shared" si="32"/>
        <v>34050549.391296998</v>
      </c>
      <c r="L243" s="10"/>
      <c r="N243" s="121"/>
    </row>
    <row r="244" spans="1:14" x14ac:dyDescent="0.2">
      <c r="A244" s="32">
        <v>42979</v>
      </c>
      <c r="C244" s="109">
        <f>'Historical HDD &amp; CDD'!AK38</f>
        <v>62.996842105263113</v>
      </c>
      <c r="D244" s="109">
        <f>'Historical HDD &amp; CDD'!AK51</f>
        <v>30.905263157894638</v>
      </c>
      <c r="E244" s="17">
        <f t="shared" si="33"/>
        <v>30</v>
      </c>
      <c r="F244" s="17">
        <f t="shared" si="33"/>
        <v>1338376.8144697363</v>
      </c>
      <c r="G244" s="17">
        <f t="shared" si="33"/>
        <v>320</v>
      </c>
      <c r="H244" s="17">
        <f t="shared" si="33"/>
        <v>1</v>
      </c>
      <c r="I244" s="34">
        <v>145.50483460169167</v>
      </c>
      <c r="J244" s="17">
        <f t="shared" si="34"/>
        <v>35.75</v>
      </c>
      <c r="K244" s="17">
        <f t="shared" si="32"/>
        <v>27965302.114127029</v>
      </c>
      <c r="L244" s="10"/>
      <c r="N244" s="121"/>
    </row>
    <row r="245" spans="1:14" x14ac:dyDescent="0.2">
      <c r="A245" s="32">
        <v>43009</v>
      </c>
      <c r="C245" s="109">
        <f>'Historical HDD &amp; CDD'!AK39</f>
        <v>223.85789473684213</v>
      </c>
      <c r="D245" s="109">
        <f>'Historical HDD &amp; CDD'!AK52</f>
        <v>3.5021052631578939</v>
      </c>
      <c r="E245" s="17">
        <f t="shared" si="33"/>
        <v>31</v>
      </c>
      <c r="F245" s="17">
        <f t="shared" si="33"/>
        <v>1328189.3209183258</v>
      </c>
      <c r="G245" s="17">
        <f t="shared" si="33"/>
        <v>336</v>
      </c>
      <c r="H245" s="17">
        <f t="shared" si="33"/>
        <v>1</v>
      </c>
      <c r="I245" s="34">
        <v>145.8045507374417</v>
      </c>
      <c r="J245" s="17">
        <f t="shared" si="34"/>
        <v>47.666666666666664</v>
      </c>
      <c r="K245" s="17">
        <f t="shared" si="32"/>
        <v>28593327.543512996</v>
      </c>
      <c r="L245" s="10"/>
      <c r="N245" s="121"/>
    </row>
    <row r="246" spans="1:14" x14ac:dyDescent="0.2">
      <c r="A246" s="32">
        <v>43040</v>
      </c>
      <c r="C246" s="109">
        <f>'Historical HDD &amp; CDD'!AK40</f>
        <v>371.91894736842096</v>
      </c>
      <c r="D246" s="109">
        <f>'Historical HDD &amp; CDD'!AK53</f>
        <v>0</v>
      </c>
      <c r="E246" s="17">
        <f t="shared" si="33"/>
        <v>30</v>
      </c>
      <c r="F246" s="17">
        <f t="shared" si="33"/>
        <v>1318001.8273669153</v>
      </c>
      <c r="G246" s="17">
        <f t="shared" si="33"/>
        <v>352</v>
      </c>
      <c r="H246" s="17">
        <f t="shared" si="33"/>
        <v>1</v>
      </c>
      <c r="I246" s="34">
        <v>146.1048842393588</v>
      </c>
      <c r="J246" s="17">
        <f t="shared" si="34"/>
        <v>59.583333333333329</v>
      </c>
      <c r="K246" s="17">
        <f t="shared" si="32"/>
        <v>29654696.905957796</v>
      </c>
      <c r="L246" s="10"/>
      <c r="N246" s="121"/>
    </row>
    <row r="247" spans="1:14" x14ac:dyDescent="0.2">
      <c r="A247" s="32">
        <v>43070</v>
      </c>
      <c r="C247" s="109">
        <f>'Historical HDD &amp; CDD'!AK41</f>
        <v>547.01052631578932</v>
      </c>
      <c r="D247" s="109">
        <f>'Historical HDD &amp; CDD'!AK54</f>
        <v>0</v>
      </c>
      <c r="E247" s="17">
        <f t="shared" si="33"/>
        <v>31</v>
      </c>
      <c r="F247" s="17">
        <f t="shared" si="33"/>
        <v>1307814.3338155048</v>
      </c>
      <c r="G247" s="17">
        <f t="shared" si="33"/>
        <v>304</v>
      </c>
      <c r="H247" s="17">
        <f t="shared" si="33"/>
        <v>0</v>
      </c>
      <c r="I247" s="34">
        <v>146.40583637911641</v>
      </c>
      <c r="J247" s="17">
        <f t="shared" si="34"/>
        <v>71.5</v>
      </c>
      <c r="K247" s="17">
        <f t="shared" si="32"/>
        <v>31941929.98555937</v>
      </c>
      <c r="L247" s="10">
        <f>SUM(K236:K247)</f>
        <v>370330056.81632018</v>
      </c>
      <c r="N247" s="121"/>
    </row>
  </sheetData>
  <mergeCells count="2">
    <mergeCell ref="I1:J1"/>
    <mergeCell ref="O197:P197"/>
  </mergeCells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247"/>
  <sheetViews>
    <sheetView topLeftCell="A203" workbookViewId="0">
      <selection activeCell="N2" sqref="N2:T24"/>
    </sheetView>
  </sheetViews>
  <sheetFormatPr defaultRowHeight="12.75" x14ac:dyDescent="0.2"/>
  <cols>
    <col min="1" max="1" width="11.85546875" style="33" customWidth="1"/>
    <col min="2" max="2" width="18" style="27" customWidth="1"/>
    <col min="3" max="3" width="11.7109375" style="123" customWidth="1"/>
    <col min="4" max="4" width="13.42578125" style="123" customWidth="1"/>
    <col min="5" max="5" width="10.140625" style="123" customWidth="1"/>
    <col min="6" max="8" width="12.42578125" style="123" customWidth="1"/>
    <col min="9" max="9" width="14.42578125" style="35" hidden="1" customWidth="1"/>
    <col min="10" max="10" width="12.42578125" style="123" hidden="1" customWidth="1"/>
    <col min="11" max="11" width="15.42578125" style="123" bestFit="1" customWidth="1"/>
    <col min="12" max="12" width="17" style="124" customWidth="1"/>
    <col min="13" max="13" width="12.42578125" style="124" customWidth="1"/>
    <col min="14" max="14" width="25.85546875" bestFit="1" customWidth="1"/>
    <col min="15" max="17" width="18" customWidth="1"/>
    <col min="18" max="18" width="17.140625" customWidth="1"/>
    <col min="19" max="20" width="15.7109375" customWidth="1"/>
  </cols>
  <sheetData>
    <row r="1" spans="1:19" x14ac:dyDescent="0.2">
      <c r="F1" s="33"/>
      <c r="G1" s="33"/>
      <c r="H1" s="115"/>
      <c r="I1" s="305" t="s">
        <v>100</v>
      </c>
      <c r="J1" s="305"/>
    </row>
    <row r="2" spans="1:19" ht="42" customHeight="1" x14ac:dyDescent="0.2">
      <c r="B2" s="102" t="s">
        <v>0</v>
      </c>
      <c r="C2" s="103" t="s">
        <v>3</v>
      </c>
      <c r="D2" s="103" t="s">
        <v>4</v>
      </c>
      <c r="E2" s="103" t="s">
        <v>5</v>
      </c>
      <c r="F2" s="103" t="s">
        <v>75</v>
      </c>
      <c r="G2" s="103" t="s">
        <v>77</v>
      </c>
      <c r="H2" s="103" t="s">
        <v>18</v>
      </c>
      <c r="I2" s="104" t="s">
        <v>6</v>
      </c>
      <c r="J2" s="103" t="s">
        <v>66</v>
      </c>
      <c r="K2" s="103" t="s">
        <v>11</v>
      </c>
      <c r="L2" s="12" t="s">
        <v>12</v>
      </c>
      <c r="M2"/>
      <c r="N2" t="s">
        <v>19</v>
      </c>
    </row>
    <row r="3" spans="1:19" ht="13.5" thickBot="1" x14ac:dyDescent="0.25">
      <c r="A3" s="105">
        <v>37275</v>
      </c>
      <c r="B3" s="106">
        <f>'[14]Data Input'!B5</f>
        <v>46293277</v>
      </c>
      <c r="C3" s="17">
        <f>'Purchased Power Model '!C183</f>
        <v>690.88666666666688</v>
      </c>
      <c r="D3" s="17">
        <f>'Purchased Power Model '!D183</f>
        <v>0</v>
      </c>
      <c r="E3" s="17">
        <v>31</v>
      </c>
      <c r="F3" s="17">
        <v>0</v>
      </c>
      <c r="G3" s="17">
        <v>351.91199999999998</v>
      </c>
      <c r="H3" s="17">
        <v>0</v>
      </c>
      <c r="I3" s="35">
        <v>121.50450639216388</v>
      </c>
      <c r="J3" s="17">
        <f>'[14]Data Input'!AJ5</f>
        <v>20461</v>
      </c>
      <c r="K3" s="17">
        <f>$O$18+$O$19*C3+$O$20*D3+$O$21*E3+$O$22*F3+$O$23*G3+H3*$O$24</f>
        <v>44824884.415084332</v>
      </c>
      <c r="L3" s="10"/>
      <c r="M3"/>
    </row>
    <row r="4" spans="1:19" x14ac:dyDescent="0.2">
      <c r="A4" s="32">
        <v>37308</v>
      </c>
      <c r="B4" s="106">
        <f>'[14]Data Input'!B6</f>
        <v>41843002</v>
      </c>
      <c r="C4" s="17">
        <f>'Purchased Power Model '!C184</f>
        <v>642.26666666666665</v>
      </c>
      <c r="D4" s="17">
        <f>'Purchased Power Model '!D184</f>
        <v>0</v>
      </c>
      <c r="E4" s="17">
        <v>28</v>
      </c>
      <c r="F4" s="17">
        <v>0</v>
      </c>
      <c r="G4" s="17">
        <v>319.87200000000001</v>
      </c>
      <c r="H4" s="17">
        <v>0</v>
      </c>
      <c r="I4" s="35">
        <v>121.86371656989111</v>
      </c>
      <c r="J4" s="17">
        <f>'[14]Data Input'!AJ6</f>
        <v>20122</v>
      </c>
      <c r="K4" s="17">
        <f t="shared" ref="K4:K67" si="0">$O$18+$O$19*C4+$O$20*D4+$O$21*E4+$O$22*F4+$O$23*G4+H4*$O$24</f>
        <v>41406304.777865022</v>
      </c>
      <c r="L4" s="10"/>
      <c r="M4"/>
      <c r="N4" s="55" t="s">
        <v>20</v>
      </c>
      <c r="O4" s="55"/>
    </row>
    <row r="5" spans="1:19" x14ac:dyDescent="0.2">
      <c r="A5" s="32">
        <v>37341</v>
      </c>
      <c r="B5" s="106">
        <f>'[14]Data Input'!B7</f>
        <v>44412572</v>
      </c>
      <c r="C5" s="17">
        <f>'Purchased Power Model '!C185</f>
        <v>532.14</v>
      </c>
      <c r="D5" s="17">
        <f>'Purchased Power Model '!D185</f>
        <v>0</v>
      </c>
      <c r="E5" s="17">
        <v>31</v>
      </c>
      <c r="F5" s="17">
        <v>0</v>
      </c>
      <c r="G5" s="17">
        <v>319.92</v>
      </c>
      <c r="H5" s="17">
        <v>1</v>
      </c>
      <c r="I5" s="35">
        <v>122.22398869960362</v>
      </c>
      <c r="J5" s="17">
        <f>'[14]Data Input'!AJ7</f>
        <v>20174</v>
      </c>
      <c r="K5" s="17">
        <f t="shared" si="0"/>
        <v>41518583.622542202</v>
      </c>
      <c r="L5" s="10"/>
      <c r="M5"/>
      <c r="N5" s="36" t="s">
        <v>21</v>
      </c>
      <c r="O5" s="87">
        <v>0.95127012089895857</v>
      </c>
    </row>
    <row r="6" spans="1:19" x14ac:dyDescent="0.2">
      <c r="A6" s="32">
        <v>37374</v>
      </c>
      <c r="B6" s="106">
        <f>'[14]Data Input'!B8</f>
        <v>42581129</v>
      </c>
      <c r="C6" s="17">
        <f>'Purchased Power Model '!C186</f>
        <v>317.23333333333335</v>
      </c>
      <c r="D6" s="17">
        <f>'Purchased Power Model '!D186</f>
        <v>0.55333333333333323</v>
      </c>
      <c r="E6" s="17">
        <v>30</v>
      </c>
      <c r="F6" s="17">
        <v>0</v>
      </c>
      <c r="G6" s="17">
        <v>352.08</v>
      </c>
      <c r="H6" s="17">
        <v>1</v>
      </c>
      <c r="I6" s="35">
        <v>122.58532592080604</v>
      </c>
      <c r="J6" s="17">
        <f>'[14]Data Input'!AJ8</f>
        <v>20139</v>
      </c>
      <c r="K6" s="17">
        <f t="shared" si="0"/>
        <v>39363172.73451671</v>
      </c>
      <c r="L6" s="10"/>
      <c r="M6"/>
      <c r="N6" s="36" t="s">
        <v>22</v>
      </c>
      <c r="O6" s="87">
        <v>0.90491484291511926</v>
      </c>
    </row>
    <row r="7" spans="1:19" x14ac:dyDescent="0.2">
      <c r="A7" s="32">
        <v>37407</v>
      </c>
      <c r="B7" s="106">
        <f>'[14]Data Input'!B9</f>
        <v>40099130</v>
      </c>
      <c r="C7" s="17">
        <f>'Purchased Power Model '!C187</f>
        <v>143.73999999999998</v>
      </c>
      <c r="D7" s="17">
        <f>'Purchased Power Model '!D187</f>
        <v>15.093333333333334</v>
      </c>
      <c r="E7" s="17">
        <v>31</v>
      </c>
      <c r="F7" s="17">
        <v>0</v>
      </c>
      <c r="G7" s="17">
        <v>351.91199999999998</v>
      </c>
      <c r="H7" s="17">
        <v>1</v>
      </c>
      <c r="I7" s="35">
        <v>122.9477313822845</v>
      </c>
      <c r="J7" s="17">
        <f>'[14]Data Input'!AJ9</f>
        <v>20074</v>
      </c>
      <c r="K7" s="17">
        <f t="shared" si="0"/>
        <v>39413073.203542277</v>
      </c>
      <c r="L7" s="10"/>
      <c r="M7"/>
      <c r="N7" s="36" t="s">
        <v>23</v>
      </c>
      <c r="O7" s="87">
        <v>0.90161709180234872</v>
      </c>
    </row>
    <row r="8" spans="1:19" x14ac:dyDescent="0.2">
      <c r="A8" s="32">
        <v>37408</v>
      </c>
      <c r="B8" s="106">
        <f>'[14]Data Input'!B10</f>
        <v>42830520</v>
      </c>
      <c r="C8" s="17">
        <f>'Purchased Power Model '!C188</f>
        <v>28.673333333333332</v>
      </c>
      <c r="D8" s="17">
        <f>'Purchased Power Model '!D188</f>
        <v>58.74</v>
      </c>
      <c r="E8" s="17">
        <v>30</v>
      </c>
      <c r="F8" s="17">
        <v>0</v>
      </c>
      <c r="G8" s="17">
        <v>319.68</v>
      </c>
      <c r="H8" s="17">
        <v>0</v>
      </c>
      <c r="I8" s="35">
        <v>123.31120824213403</v>
      </c>
      <c r="J8" s="17">
        <f>'[14]Data Input'!AJ10</f>
        <v>19924</v>
      </c>
      <c r="K8" s="17">
        <f t="shared" si="0"/>
        <v>41117369.122685015</v>
      </c>
      <c r="L8" s="10"/>
      <c r="M8"/>
      <c r="N8" s="36" t="s">
        <v>24</v>
      </c>
      <c r="O8" s="92">
        <v>1643543.3023847949</v>
      </c>
    </row>
    <row r="9" spans="1:19" ht="13.5" thickBot="1" x14ac:dyDescent="0.25">
      <c r="A9" s="32">
        <v>37440</v>
      </c>
      <c r="B9" s="106">
        <f>'[14]Data Input'!B11</f>
        <v>50209650</v>
      </c>
      <c r="C9" s="17">
        <f>'Purchased Power Model '!C189</f>
        <v>4.4733333333333336</v>
      </c>
      <c r="D9" s="17">
        <f>'Purchased Power Model '!D189</f>
        <v>114.79333333333332</v>
      </c>
      <c r="E9" s="17">
        <v>31</v>
      </c>
      <c r="F9" s="17">
        <v>0</v>
      </c>
      <c r="G9" s="17">
        <v>351.91199999999998</v>
      </c>
      <c r="H9" s="17">
        <v>0</v>
      </c>
      <c r="I9" s="35">
        <v>123.67575966778612</v>
      </c>
      <c r="J9" s="17">
        <f>'[14]Data Input'!AJ11</f>
        <v>19945</v>
      </c>
      <c r="K9" s="17">
        <f t="shared" si="0"/>
        <v>46991490.509207889</v>
      </c>
      <c r="L9" s="10"/>
      <c r="M9"/>
      <c r="N9" s="53" t="s">
        <v>25</v>
      </c>
      <c r="O9" s="53">
        <v>180</v>
      </c>
    </row>
    <row r="10" spans="1:19" x14ac:dyDescent="0.2">
      <c r="A10" s="32">
        <v>37473</v>
      </c>
      <c r="B10" s="106">
        <f>'[14]Data Input'!B12</f>
        <v>49113260</v>
      </c>
      <c r="C10" s="17">
        <f>'Purchased Power Model '!C190</f>
        <v>7.64</v>
      </c>
      <c r="D10" s="17">
        <f>'Purchased Power Model '!D190</f>
        <v>92.953333333333319</v>
      </c>
      <c r="E10" s="17">
        <v>31</v>
      </c>
      <c r="F10" s="17">
        <v>0</v>
      </c>
      <c r="G10" s="17">
        <v>336.28800000000001</v>
      </c>
      <c r="H10" s="17">
        <v>0</v>
      </c>
      <c r="I10" s="35">
        <v>124.04138883603632</v>
      </c>
      <c r="J10" s="17">
        <f>'[14]Data Input'!AJ12</f>
        <v>20011</v>
      </c>
      <c r="K10" s="17">
        <f t="shared" si="0"/>
        <v>44834120.306811497</v>
      </c>
      <c r="L10" s="10"/>
      <c r="M10"/>
    </row>
    <row r="11" spans="1:19" ht="13.5" thickBot="1" x14ac:dyDescent="0.25">
      <c r="A11" s="32">
        <v>37506</v>
      </c>
      <c r="B11" s="106">
        <f>'[14]Data Input'!B13</f>
        <v>43203390</v>
      </c>
      <c r="C11" s="17">
        <f>'Purchased Power Model '!C191</f>
        <v>57.233333333333334</v>
      </c>
      <c r="D11" s="17">
        <f>'Purchased Power Model '!D191</f>
        <v>34.606666666666655</v>
      </c>
      <c r="E11" s="17">
        <v>30</v>
      </c>
      <c r="F11" s="17">
        <v>0</v>
      </c>
      <c r="G11" s="17">
        <v>319.68</v>
      </c>
      <c r="H11" s="17">
        <v>1</v>
      </c>
      <c r="I11" s="35">
        <v>124.40809893307186</v>
      </c>
      <c r="J11" s="17">
        <f>'[14]Data Input'!AJ13</f>
        <v>20036</v>
      </c>
      <c r="K11" s="17">
        <f t="shared" si="0"/>
        <v>38604353.37388891</v>
      </c>
      <c r="L11" s="10"/>
      <c r="M11"/>
      <c r="N11" t="s">
        <v>26</v>
      </c>
    </row>
    <row r="12" spans="1:19" x14ac:dyDescent="0.2">
      <c r="A12" s="32">
        <v>37539</v>
      </c>
      <c r="B12" s="106">
        <f>'[14]Data Input'!B14</f>
        <v>39840800</v>
      </c>
      <c r="C12" s="17">
        <f>'Purchased Power Model '!C192</f>
        <v>233.04666666666665</v>
      </c>
      <c r="D12" s="17">
        <f>'Purchased Power Model '!D192</f>
        <v>3.8266666666666671</v>
      </c>
      <c r="E12" s="17">
        <v>31</v>
      </c>
      <c r="F12" s="17">
        <v>0</v>
      </c>
      <c r="G12" s="17">
        <v>351.91199999999998</v>
      </c>
      <c r="H12" s="17">
        <v>1</v>
      </c>
      <c r="I12" s="35">
        <v>124.7758931544995</v>
      </c>
      <c r="J12" s="17">
        <f>'[14]Data Input'!AJ14</f>
        <v>20008</v>
      </c>
      <c r="K12" s="17">
        <f t="shared" si="0"/>
        <v>39434436.438815072</v>
      </c>
      <c r="L12" s="10"/>
      <c r="M12"/>
      <c r="N12" s="54"/>
      <c r="O12" s="54" t="s">
        <v>30</v>
      </c>
      <c r="P12" s="54" t="s">
        <v>31</v>
      </c>
      <c r="Q12" s="54" t="s">
        <v>32</v>
      </c>
      <c r="R12" s="54" t="s">
        <v>33</v>
      </c>
      <c r="S12" s="54" t="s">
        <v>34</v>
      </c>
    </row>
    <row r="13" spans="1:19" x14ac:dyDescent="0.2">
      <c r="A13" s="32">
        <v>37572</v>
      </c>
      <c r="B13" s="106">
        <f>'[14]Data Input'!B15</f>
        <v>40267910</v>
      </c>
      <c r="C13" s="17">
        <f>'Purchased Power Model '!C193</f>
        <v>377.29333333333329</v>
      </c>
      <c r="D13" s="17">
        <f>'Purchased Power Model '!D193</f>
        <v>0</v>
      </c>
      <c r="E13" s="17">
        <v>30</v>
      </c>
      <c r="F13" s="17">
        <v>0</v>
      </c>
      <c r="G13" s="17">
        <v>336.24</v>
      </c>
      <c r="H13" s="17">
        <v>1</v>
      </c>
      <c r="I13" s="35">
        <v>125.14477470537335</v>
      </c>
      <c r="J13" s="17">
        <f>'[14]Data Input'!AJ15</f>
        <v>20099</v>
      </c>
      <c r="K13" s="17">
        <f t="shared" si="0"/>
        <v>39566929.183172077</v>
      </c>
      <c r="L13" s="10"/>
      <c r="M13"/>
      <c r="N13" s="36" t="s">
        <v>27</v>
      </c>
      <c r="O13" s="36">
        <v>6</v>
      </c>
      <c r="P13" s="36">
        <v>4447371293129663.5</v>
      </c>
      <c r="Q13" s="36">
        <v>741228548854943.87</v>
      </c>
      <c r="R13" s="36">
        <v>274.40361991263279</v>
      </c>
      <c r="S13" s="36">
        <v>1.285081878415126E-85</v>
      </c>
    </row>
    <row r="14" spans="1:19" x14ac:dyDescent="0.2">
      <c r="A14" s="32">
        <v>37605</v>
      </c>
      <c r="B14" s="106">
        <f>'[14]Data Input'!B16</f>
        <v>41966900</v>
      </c>
      <c r="C14" s="17">
        <f>'Purchased Power Model '!C194</f>
        <v>569.36000000000013</v>
      </c>
      <c r="D14" s="17">
        <f>'Purchased Power Model '!D194</f>
        <v>0</v>
      </c>
      <c r="E14" s="17">
        <v>31</v>
      </c>
      <c r="F14" s="17">
        <v>0</v>
      </c>
      <c r="G14" s="17">
        <v>319.92</v>
      </c>
      <c r="H14" s="17">
        <v>0</v>
      </c>
      <c r="I14" s="35">
        <v>125.51474680022261</v>
      </c>
      <c r="J14" s="17">
        <f>'[14]Data Input'!AJ16</f>
        <v>20186</v>
      </c>
      <c r="K14" s="17">
        <f t="shared" si="0"/>
        <v>42738434.534535021</v>
      </c>
      <c r="L14" s="10"/>
      <c r="M14"/>
      <c r="N14" s="36" t="s">
        <v>28</v>
      </c>
      <c r="O14" s="36">
        <v>173</v>
      </c>
      <c r="P14" s="36">
        <v>467313583518807.69</v>
      </c>
      <c r="Q14" s="36">
        <v>2701234586813.9175</v>
      </c>
      <c r="R14" s="36"/>
      <c r="S14" s="36"/>
    </row>
    <row r="15" spans="1:19" ht="13.5" thickBot="1" x14ac:dyDescent="0.25">
      <c r="A15" s="32">
        <v>37622</v>
      </c>
      <c r="B15" s="106">
        <f>'[14]Data Input'!B19</f>
        <v>45793920</v>
      </c>
      <c r="C15" s="17">
        <f>C3</f>
        <v>690.88666666666688</v>
      </c>
      <c r="D15" s="107">
        <f>D3</f>
        <v>0</v>
      </c>
      <c r="E15" s="17">
        <v>31</v>
      </c>
      <c r="F15" s="17">
        <v>0</v>
      </c>
      <c r="G15" s="17">
        <v>351.91199999999998</v>
      </c>
      <c r="H15" s="17">
        <v>0</v>
      </c>
      <c r="I15" s="35">
        <v>125.66024937363977</v>
      </c>
      <c r="J15" s="17">
        <f>'[14]Data Input'!AJ19</f>
        <v>20303</v>
      </c>
      <c r="K15" s="17">
        <f t="shared" si="0"/>
        <v>44824884.415084332</v>
      </c>
      <c r="L15" s="10"/>
      <c r="M15"/>
      <c r="N15" s="53" t="s">
        <v>10</v>
      </c>
      <c r="O15" s="53">
        <v>179</v>
      </c>
      <c r="P15" s="53">
        <v>4914684876648471</v>
      </c>
      <c r="Q15" s="53"/>
      <c r="R15" s="53"/>
      <c r="S15" s="53"/>
    </row>
    <row r="16" spans="1:19" ht="13.5" thickBot="1" x14ac:dyDescent="0.25">
      <c r="A16" s="32">
        <v>37653</v>
      </c>
      <c r="B16" s="106">
        <f>'[14]Data Input'!B20</f>
        <v>41797690</v>
      </c>
      <c r="C16" s="17">
        <f t="shared" ref="C16:D16" si="1">C4</f>
        <v>642.26666666666665</v>
      </c>
      <c r="D16" s="107">
        <f t="shared" si="1"/>
        <v>0</v>
      </c>
      <c r="E16" s="17">
        <v>28</v>
      </c>
      <c r="F16" s="17">
        <v>0</v>
      </c>
      <c r="G16" s="17">
        <v>319.87200000000001</v>
      </c>
      <c r="H16" s="17">
        <v>0</v>
      </c>
      <c r="I16" s="35">
        <v>125.80592062045517</v>
      </c>
      <c r="J16" s="17">
        <f>'[14]Data Input'!AJ20</f>
        <v>20308</v>
      </c>
      <c r="K16" s="17">
        <f t="shared" si="0"/>
        <v>41406304.777865022</v>
      </c>
      <c r="L16" s="10"/>
      <c r="M16"/>
    </row>
    <row r="17" spans="1:20" ht="15" customHeight="1" x14ac:dyDescent="0.2">
      <c r="A17" s="32">
        <v>37681</v>
      </c>
      <c r="B17" s="106">
        <f>'[14]Data Input'!B21</f>
        <v>43041020</v>
      </c>
      <c r="C17" s="17">
        <f t="shared" ref="C17:D17" si="2">C5</f>
        <v>532.14</v>
      </c>
      <c r="D17" s="107">
        <f t="shared" si="2"/>
        <v>0</v>
      </c>
      <c r="E17" s="17">
        <v>31</v>
      </c>
      <c r="F17" s="17">
        <v>0</v>
      </c>
      <c r="G17" s="17">
        <v>336.28800000000001</v>
      </c>
      <c r="H17" s="17">
        <v>1</v>
      </c>
      <c r="I17" s="35">
        <v>125.9517607362029</v>
      </c>
      <c r="J17" s="17">
        <f>'[14]Data Input'!AJ21</f>
        <v>20266</v>
      </c>
      <c r="K17" s="17">
        <f t="shared" si="0"/>
        <v>41922810.480978288</v>
      </c>
      <c r="L17" s="10"/>
      <c r="M17"/>
      <c r="N17" s="54"/>
      <c r="O17" s="54" t="s">
        <v>35</v>
      </c>
      <c r="P17" s="54" t="s">
        <v>24</v>
      </c>
      <c r="Q17" s="54" t="s">
        <v>36</v>
      </c>
      <c r="R17" s="54" t="s">
        <v>37</v>
      </c>
      <c r="S17" s="54" t="s">
        <v>38</v>
      </c>
      <c r="T17" s="54" t="s">
        <v>39</v>
      </c>
    </row>
    <row r="18" spans="1:20" x14ac:dyDescent="0.2">
      <c r="A18" s="32">
        <v>37712</v>
      </c>
      <c r="B18" s="106">
        <f>'[14]Data Input'!B22</f>
        <v>39112340</v>
      </c>
      <c r="C18" s="17">
        <f t="shared" ref="C18:D18" si="3">C6</f>
        <v>317.23333333333335</v>
      </c>
      <c r="D18" s="107">
        <f t="shared" si="3"/>
        <v>0.55333333333333323</v>
      </c>
      <c r="E18" s="17">
        <v>30</v>
      </c>
      <c r="F18" s="17">
        <v>0</v>
      </c>
      <c r="G18" s="17">
        <v>336.24</v>
      </c>
      <c r="H18" s="17">
        <v>1</v>
      </c>
      <c r="I18" s="35">
        <v>126.09776991664374</v>
      </c>
      <c r="J18" s="17">
        <f>'[14]Data Input'!AJ22</f>
        <v>20218</v>
      </c>
      <c r="K18" s="17">
        <f t="shared" si="0"/>
        <v>38971985.452159211</v>
      </c>
      <c r="L18" s="10"/>
      <c r="M18"/>
      <c r="N18" s="36" t="s">
        <v>29</v>
      </c>
      <c r="O18" s="92">
        <v>6974504.7522088084</v>
      </c>
      <c r="P18" s="92">
        <v>4833235.0452816701</v>
      </c>
      <c r="Q18" s="88">
        <v>1.4430303278996335</v>
      </c>
      <c r="R18" s="36">
        <v>0.15082013353689511</v>
      </c>
      <c r="S18" s="92">
        <v>-2565196.0446084253</v>
      </c>
      <c r="T18" s="92">
        <v>16514205.549026042</v>
      </c>
    </row>
    <row r="19" spans="1:20" x14ac:dyDescent="0.2">
      <c r="A19" s="32">
        <v>37742</v>
      </c>
      <c r="B19" s="106">
        <f>'[14]Data Input'!B23</f>
        <v>37768340</v>
      </c>
      <c r="C19" s="17">
        <f t="shared" ref="C19:D19" si="4">C7</f>
        <v>143.73999999999998</v>
      </c>
      <c r="D19" s="107">
        <f t="shared" si="4"/>
        <v>15.093333333333334</v>
      </c>
      <c r="E19" s="17">
        <v>31</v>
      </c>
      <c r="F19" s="17">
        <v>0</v>
      </c>
      <c r="G19" s="17">
        <v>336.28800000000001</v>
      </c>
      <c r="H19" s="17">
        <v>1</v>
      </c>
      <c r="I19" s="35">
        <v>126.2439483577654</v>
      </c>
      <c r="J19" s="17">
        <f>'[14]Data Input'!AJ23</f>
        <v>20233</v>
      </c>
      <c r="K19" s="17">
        <f t="shared" si="0"/>
        <v>39027220.293216914</v>
      </c>
      <c r="L19" s="10"/>
      <c r="M19"/>
      <c r="N19" s="36" t="s">
        <v>3</v>
      </c>
      <c r="O19" s="92">
        <v>10667.371592966154</v>
      </c>
      <c r="P19" s="92">
        <v>792.6403717542579</v>
      </c>
      <c r="Q19" s="88">
        <v>13.458022040130649</v>
      </c>
      <c r="R19" s="36">
        <v>1.0355971513027664E-28</v>
      </c>
      <c r="S19" s="92">
        <v>9102.8807467377283</v>
      </c>
      <c r="T19" s="92">
        <v>12231.86243919458</v>
      </c>
    </row>
    <row r="20" spans="1:20" x14ac:dyDescent="0.2">
      <c r="A20" s="32">
        <v>37773</v>
      </c>
      <c r="B20" s="106">
        <f>'[14]Data Input'!B24</f>
        <v>38550110</v>
      </c>
      <c r="C20" s="17">
        <f t="shared" ref="C20:D20" si="5">C8</f>
        <v>28.673333333333332</v>
      </c>
      <c r="D20" s="107">
        <f t="shared" si="5"/>
        <v>58.74</v>
      </c>
      <c r="E20" s="17">
        <v>30</v>
      </c>
      <c r="F20" s="17">
        <v>0</v>
      </c>
      <c r="G20" s="17">
        <v>336.24</v>
      </c>
      <c r="H20" s="17">
        <v>0</v>
      </c>
      <c r="I20" s="35">
        <v>126.3902962557828</v>
      </c>
      <c r="J20" s="17">
        <f>'[14]Data Input'!AJ24</f>
        <v>20150</v>
      </c>
      <c r="K20" s="17">
        <f t="shared" si="0"/>
        <v>41526337.645149685</v>
      </c>
      <c r="L20" s="10"/>
      <c r="M20"/>
      <c r="N20" s="36" t="s">
        <v>4</v>
      </c>
      <c r="O20" s="92">
        <v>82660.132880743055</v>
      </c>
      <c r="P20" s="92">
        <v>5125.662673330814</v>
      </c>
      <c r="Q20" s="88">
        <v>16.126721196622942</v>
      </c>
      <c r="R20" s="36">
        <v>2.6302741986399334E-36</v>
      </c>
      <c r="S20" s="92">
        <v>72543.246813568418</v>
      </c>
      <c r="T20" s="92">
        <v>92777.018947917692</v>
      </c>
    </row>
    <row r="21" spans="1:20" x14ac:dyDescent="0.2">
      <c r="A21" s="32">
        <v>37803</v>
      </c>
      <c r="B21" s="106">
        <f>'[14]Data Input'!B25</f>
        <v>45139630</v>
      </c>
      <c r="C21" s="17">
        <f t="shared" ref="C21:D21" si="6">C9</f>
        <v>4.4733333333333336</v>
      </c>
      <c r="D21" s="107">
        <f t="shared" si="6"/>
        <v>114.79333333333332</v>
      </c>
      <c r="E21" s="17">
        <v>31</v>
      </c>
      <c r="F21" s="17">
        <v>0</v>
      </c>
      <c r="G21" s="17">
        <v>351.91199999999998</v>
      </c>
      <c r="H21" s="17">
        <v>0</v>
      </c>
      <c r="I21" s="35">
        <v>126.5368138071383</v>
      </c>
      <c r="J21" s="17">
        <f>'[14]Data Input'!AJ25</f>
        <v>20104</v>
      </c>
      <c r="K21" s="17">
        <f t="shared" si="0"/>
        <v>46991490.509207889</v>
      </c>
      <c r="L21" s="10"/>
      <c r="M21"/>
      <c r="N21" s="36" t="s">
        <v>5</v>
      </c>
      <c r="O21" s="92">
        <v>702888.9485335662</v>
      </c>
      <c r="P21" s="92">
        <v>169462.0652162609</v>
      </c>
      <c r="Q21" s="88">
        <v>4.1477657411796951</v>
      </c>
      <c r="R21" s="36">
        <v>5.2534858784958953E-5</v>
      </c>
      <c r="S21" s="92">
        <v>368409.58151994611</v>
      </c>
      <c r="T21" s="92">
        <v>1037368.3155471863</v>
      </c>
    </row>
    <row r="22" spans="1:20" x14ac:dyDescent="0.2">
      <c r="A22" s="32">
        <v>37834</v>
      </c>
      <c r="B22" s="106">
        <f>'[14]Data Input'!B26</f>
        <v>44242730</v>
      </c>
      <c r="C22" s="17">
        <f t="shared" ref="C22:D22" si="7">C10</f>
        <v>7.64</v>
      </c>
      <c r="D22" s="107">
        <f t="shared" si="7"/>
        <v>92.953333333333319</v>
      </c>
      <c r="E22" s="17">
        <v>31</v>
      </c>
      <c r="F22" s="17">
        <v>0</v>
      </c>
      <c r="G22" s="17">
        <v>319.92</v>
      </c>
      <c r="H22" s="17">
        <v>0</v>
      </c>
      <c r="I22" s="35">
        <v>126.68350120850199</v>
      </c>
      <c r="J22" s="17">
        <f>'[14]Data Input'!AJ26</f>
        <v>20166</v>
      </c>
      <c r="K22" s="17">
        <f t="shared" si="0"/>
        <v>44429893.448375411</v>
      </c>
      <c r="L22" s="10"/>
      <c r="M22"/>
      <c r="N22" s="36" t="s">
        <v>75</v>
      </c>
      <c r="O22" s="118">
        <v>-7.772457580366444</v>
      </c>
      <c r="P22" s="92">
        <v>0.25566684062735995</v>
      </c>
      <c r="Q22" s="88">
        <v>-30.400726043683434</v>
      </c>
      <c r="R22" s="36">
        <v>2.6620137311128256E-71</v>
      </c>
      <c r="S22" s="92">
        <v>-8.2770854621893175</v>
      </c>
      <c r="T22" s="92">
        <v>-7.2678296985435704</v>
      </c>
    </row>
    <row r="23" spans="1:20" x14ac:dyDescent="0.2">
      <c r="A23" s="32">
        <v>37865</v>
      </c>
      <c r="B23" s="106">
        <f>'[14]Data Input'!B27</f>
        <v>39933800</v>
      </c>
      <c r="C23" s="17">
        <f t="shared" ref="C23:D23" si="8">C11</f>
        <v>57.233333333333334</v>
      </c>
      <c r="D23" s="107">
        <f t="shared" si="8"/>
        <v>34.606666666666655</v>
      </c>
      <c r="E23" s="17">
        <v>30</v>
      </c>
      <c r="F23" s="17">
        <v>0</v>
      </c>
      <c r="G23" s="17">
        <v>336.24</v>
      </c>
      <c r="H23" s="17">
        <v>1</v>
      </c>
      <c r="I23" s="35">
        <v>126.83035865677196</v>
      </c>
      <c r="J23" s="17">
        <f>'[14]Data Input'!AJ27</f>
        <v>20176</v>
      </c>
      <c r="K23" s="17">
        <f t="shared" si="0"/>
        <v>39013321.89635358</v>
      </c>
      <c r="L23" s="10"/>
      <c r="M23"/>
      <c r="N23" s="36" t="s">
        <v>77</v>
      </c>
      <c r="O23" s="92">
        <v>24696.166815499026</v>
      </c>
      <c r="P23" s="92">
        <v>8303.075091651941</v>
      </c>
      <c r="Q23" s="88">
        <v>2.9743398130084349</v>
      </c>
      <c r="R23" s="36">
        <v>3.3558550173136657E-3</v>
      </c>
      <c r="S23" s="92">
        <v>8307.7951915716731</v>
      </c>
      <c r="T23" s="92">
        <v>41084.538439426382</v>
      </c>
    </row>
    <row r="24" spans="1:20" ht="13.5" thickBot="1" x14ac:dyDescent="0.25">
      <c r="A24" s="32">
        <v>37895</v>
      </c>
      <c r="B24" s="106">
        <f>'[14]Data Input'!B28</f>
        <v>39274410</v>
      </c>
      <c r="C24" s="17">
        <f t="shared" ref="C24:D24" si="9">C12</f>
        <v>233.04666666666665</v>
      </c>
      <c r="D24" s="107">
        <f t="shared" si="9"/>
        <v>3.8266666666666671</v>
      </c>
      <c r="E24" s="17">
        <v>31</v>
      </c>
      <c r="F24" s="17">
        <v>0</v>
      </c>
      <c r="G24" s="17">
        <v>351.91199999999998</v>
      </c>
      <c r="H24" s="17">
        <v>1</v>
      </c>
      <c r="I24" s="35">
        <v>126.97738634907456</v>
      </c>
      <c r="J24" s="17">
        <f>'[14]Data Input'!AJ28</f>
        <v>20165</v>
      </c>
      <c r="K24" s="17">
        <f t="shared" si="0"/>
        <v>39434436.438815072</v>
      </c>
      <c r="L24" s="10"/>
      <c r="M24"/>
      <c r="N24" s="53" t="s">
        <v>18</v>
      </c>
      <c r="O24" s="93">
        <v>-822811.34130261524</v>
      </c>
      <c r="P24" s="93">
        <v>325851.78221039666</v>
      </c>
      <c r="Q24" s="89">
        <v>-2.5251092251855192</v>
      </c>
      <c r="R24" s="53">
        <v>1.2465212444375888E-2</v>
      </c>
      <c r="S24" s="93">
        <v>-1465968.2491032123</v>
      </c>
      <c r="T24" s="93">
        <v>-179654.43350201834</v>
      </c>
    </row>
    <row r="25" spans="1:20" x14ac:dyDescent="0.2">
      <c r="A25" s="32">
        <v>37926</v>
      </c>
      <c r="B25" s="106">
        <f>'[14]Data Input'!B29</f>
        <v>39924090</v>
      </c>
      <c r="C25" s="17">
        <f t="shared" ref="C25:D25" si="10">C13</f>
        <v>377.29333333333329</v>
      </c>
      <c r="D25" s="107">
        <f t="shared" si="10"/>
        <v>0</v>
      </c>
      <c r="E25" s="17">
        <v>30</v>
      </c>
      <c r="F25" s="17">
        <v>0</v>
      </c>
      <c r="G25" s="17">
        <v>319.68</v>
      </c>
      <c r="H25" s="17">
        <v>1</v>
      </c>
      <c r="I25" s="35">
        <v>127.12458448276465</v>
      </c>
      <c r="J25" s="17">
        <f>'[14]Data Input'!AJ29</f>
        <v>20235</v>
      </c>
      <c r="K25" s="17">
        <f t="shared" si="0"/>
        <v>39157960.660707414</v>
      </c>
      <c r="L25" s="10"/>
      <c r="M25"/>
    </row>
    <row r="26" spans="1:20" x14ac:dyDescent="0.2">
      <c r="A26" s="32">
        <v>37956</v>
      </c>
      <c r="B26" s="106">
        <f>'[14]Data Input'!B30</f>
        <v>42535190</v>
      </c>
      <c r="C26" s="17">
        <f t="shared" ref="C26:D26" si="11">C14</f>
        <v>569.36000000000013</v>
      </c>
      <c r="D26" s="107">
        <f t="shared" si="11"/>
        <v>0</v>
      </c>
      <c r="E26" s="17">
        <v>31</v>
      </c>
      <c r="F26" s="17">
        <v>0</v>
      </c>
      <c r="G26" s="17">
        <v>336.28800000000001</v>
      </c>
      <c r="H26" s="17">
        <v>0</v>
      </c>
      <c r="I26" s="35">
        <v>127.27195325542573</v>
      </c>
      <c r="J26" s="17">
        <f>'[14]Data Input'!AJ30</f>
        <v>20324</v>
      </c>
      <c r="K26" s="17">
        <f t="shared" si="0"/>
        <v>43142661.392971106</v>
      </c>
      <c r="L26" s="10"/>
      <c r="M26"/>
    </row>
    <row r="27" spans="1:20" x14ac:dyDescent="0.2">
      <c r="A27" s="32">
        <v>37987</v>
      </c>
      <c r="B27" s="106">
        <f>'[14]Data Input'!B33</f>
        <v>46623430</v>
      </c>
      <c r="C27" s="17">
        <f t="shared" ref="C27:D27" si="12">C15</f>
        <v>690.88666666666688</v>
      </c>
      <c r="D27" s="107">
        <f t="shared" si="12"/>
        <v>0</v>
      </c>
      <c r="E27" s="17">
        <v>31</v>
      </c>
      <c r="F27" s="17">
        <v>0</v>
      </c>
      <c r="G27" s="17">
        <v>336.28800000000001</v>
      </c>
      <c r="H27" s="17">
        <v>0</v>
      </c>
      <c r="I27" s="35">
        <v>127.53411264087498</v>
      </c>
      <c r="J27" s="17">
        <f>'[14]Data Input'!AJ33</f>
        <v>20483</v>
      </c>
      <c r="K27" s="17">
        <f t="shared" si="0"/>
        <v>44439031.504758976</v>
      </c>
      <c r="L27" s="10"/>
      <c r="M27"/>
    </row>
    <row r="28" spans="1:20" x14ac:dyDescent="0.2">
      <c r="A28" s="32">
        <v>38018</v>
      </c>
      <c r="B28" s="106">
        <f>'[14]Data Input'!B34</f>
        <v>42059450</v>
      </c>
      <c r="C28" s="17">
        <f t="shared" ref="C28:D28" si="13">C16</f>
        <v>642.26666666666665</v>
      </c>
      <c r="D28" s="107">
        <f t="shared" si="13"/>
        <v>0</v>
      </c>
      <c r="E28" s="17">
        <v>29</v>
      </c>
      <c r="F28" s="17">
        <v>0</v>
      </c>
      <c r="G28" s="17">
        <v>320.16000000000003</v>
      </c>
      <c r="H28" s="17">
        <v>0</v>
      </c>
      <c r="I28" s="35">
        <v>127.79681203173486</v>
      </c>
      <c r="J28" s="17">
        <f>'[14]Data Input'!AJ34</f>
        <v>20455</v>
      </c>
      <c r="K28" s="17">
        <f t="shared" si="0"/>
        <v>42116306.222441465</v>
      </c>
      <c r="L28" s="10"/>
      <c r="M28"/>
    </row>
    <row r="29" spans="1:20" x14ac:dyDescent="0.2">
      <c r="A29" s="32">
        <v>38047</v>
      </c>
      <c r="B29" s="106">
        <f>'[14]Data Input'!B35</f>
        <v>44041140</v>
      </c>
      <c r="C29" s="17">
        <f t="shared" ref="C29:D29" si="14">C17</f>
        <v>532.14</v>
      </c>
      <c r="D29" s="107">
        <f t="shared" si="14"/>
        <v>0</v>
      </c>
      <c r="E29" s="17">
        <v>31</v>
      </c>
      <c r="F29" s="17">
        <v>0</v>
      </c>
      <c r="G29" s="17">
        <v>368.28</v>
      </c>
      <c r="H29" s="17">
        <v>1</v>
      </c>
      <c r="I29" s="35">
        <v>128.06005254032812</v>
      </c>
      <c r="J29" s="17">
        <f>'[14]Data Input'!AJ35</f>
        <v>20436</v>
      </c>
      <c r="K29" s="17">
        <f t="shared" si="0"/>
        <v>42712890.249739736</v>
      </c>
      <c r="L29" s="10"/>
      <c r="M29"/>
    </row>
    <row r="30" spans="1:20" x14ac:dyDescent="0.2">
      <c r="A30" s="32">
        <v>38078</v>
      </c>
      <c r="B30" s="106">
        <f>'[14]Data Input'!B36</f>
        <v>39465450</v>
      </c>
      <c r="C30" s="17">
        <f t="shared" ref="C30:D30" si="15">C18</f>
        <v>317.23333333333335</v>
      </c>
      <c r="D30" s="107">
        <f t="shared" si="15"/>
        <v>0.55333333333333323</v>
      </c>
      <c r="E30" s="17">
        <v>30</v>
      </c>
      <c r="F30" s="17">
        <v>0</v>
      </c>
      <c r="G30" s="17">
        <v>336.24</v>
      </c>
      <c r="H30" s="17">
        <v>1</v>
      </c>
      <c r="I30" s="35">
        <v>128.32383528126866</v>
      </c>
      <c r="J30" s="17">
        <f>'[14]Data Input'!AJ36</f>
        <v>20438</v>
      </c>
      <c r="K30" s="17">
        <f t="shared" si="0"/>
        <v>38971985.452159211</v>
      </c>
      <c r="L30" s="10"/>
      <c r="M30" s="14"/>
    </row>
    <row r="31" spans="1:20" x14ac:dyDescent="0.2">
      <c r="A31" s="32">
        <v>38108</v>
      </c>
      <c r="B31" s="106">
        <f>'[14]Data Input'!B37</f>
        <v>38649380</v>
      </c>
      <c r="C31" s="17">
        <f t="shared" ref="C31:D31" si="16">C19</f>
        <v>143.73999999999998</v>
      </c>
      <c r="D31" s="107">
        <f t="shared" si="16"/>
        <v>15.093333333333334</v>
      </c>
      <c r="E31" s="17">
        <v>31</v>
      </c>
      <c r="F31" s="17">
        <v>0</v>
      </c>
      <c r="G31" s="17">
        <v>319.92</v>
      </c>
      <c r="H31" s="17">
        <v>1</v>
      </c>
      <c r="I31" s="35">
        <v>128.58816137146633</v>
      </c>
      <c r="J31" s="17">
        <f>'[14]Data Input'!AJ37</f>
        <v>20382</v>
      </c>
      <c r="K31" s="17">
        <f t="shared" si="0"/>
        <v>38622993.434780829</v>
      </c>
      <c r="L31" s="10"/>
      <c r="M31" s="14"/>
    </row>
    <row r="32" spans="1:20" x14ac:dyDescent="0.2">
      <c r="A32" s="32">
        <v>38139</v>
      </c>
      <c r="B32" s="106">
        <f>'[14]Data Input'!B38</f>
        <v>40366830</v>
      </c>
      <c r="C32" s="17">
        <f t="shared" ref="C32:D32" si="17">C20</f>
        <v>28.673333333333332</v>
      </c>
      <c r="D32" s="107">
        <f t="shared" si="17"/>
        <v>58.74</v>
      </c>
      <c r="E32" s="17">
        <v>30</v>
      </c>
      <c r="F32" s="17">
        <v>0</v>
      </c>
      <c r="G32" s="17">
        <v>352.08</v>
      </c>
      <c r="H32" s="17">
        <v>0</v>
      </c>
      <c r="I32" s="35">
        <v>128.85303193013166</v>
      </c>
      <c r="J32" s="17">
        <f>'[14]Data Input'!AJ38</f>
        <v>20295</v>
      </c>
      <c r="K32" s="17">
        <f t="shared" si="0"/>
        <v>41917524.927507184</v>
      </c>
      <c r="L32" s="10"/>
      <c r="M32" s="14"/>
    </row>
    <row r="33" spans="1:13" x14ac:dyDescent="0.2">
      <c r="A33" s="32">
        <v>38169</v>
      </c>
      <c r="B33" s="106">
        <f>'[14]Data Input'!B39</f>
        <v>42442080</v>
      </c>
      <c r="C33" s="17">
        <f t="shared" ref="C33:D33" si="18">C21</f>
        <v>4.4733333333333336</v>
      </c>
      <c r="D33" s="107">
        <f t="shared" si="18"/>
        <v>114.79333333333332</v>
      </c>
      <c r="E33" s="17">
        <v>31</v>
      </c>
      <c r="F33" s="17">
        <v>0</v>
      </c>
      <c r="G33" s="17">
        <v>336.28800000000001</v>
      </c>
      <c r="H33" s="17">
        <v>0</v>
      </c>
      <c r="I33" s="35">
        <v>129.11844807878055</v>
      </c>
      <c r="J33" s="17">
        <f>'[14]Data Input'!AJ39</f>
        <v>20268</v>
      </c>
      <c r="K33" s="17">
        <f t="shared" si="0"/>
        <v>46605637.598882526</v>
      </c>
      <c r="L33" s="10"/>
      <c r="M33" s="14"/>
    </row>
    <row r="34" spans="1:13" x14ac:dyDescent="0.2">
      <c r="A34" s="32">
        <v>38200</v>
      </c>
      <c r="B34" s="106">
        <f>'[14]Data Input'!B40</f>
        <v>42940430</v>
      </c>
      <c r="C34" s="17">
        <f t="shared" ref="C34:D34" si="19">C22</f>
        <v>7.64</v>
      </c>
      <c r="D34" s="107">
        <f t="shared" si="19"/>
        <v>92.953333333333319</v>
      </c>
      <c r="E34" s="17">
        <v>31</v>
      </c>
      <c r="F34" s="17">
        <v>0</v>
      </c>
      <c r="G34" s="17">
        <v>336.28800000000001</v>
      </c>
      <c r="H34" s="17">
        <v>0</v>
      </c>
      <c r="I34" s="35">
        <v>129.38441094123903</v>
      </c>
      <c r="J34" s="17">
        <f>'[14]Data Input'!AJ40</f>
        <v>20241</v>
      </c>
      <c r="K34" s="17">
        <f t="shared" si="0"/>
        <v>44834120.306811497</v>
      </c>
      <c r="L34" s="10"/>
      <c r="M34" s="14"/>
    </row>
    <row r="35" spans="1:13" x14ac:dyDescent="0.2">
      <c r="A35" s="32">
        <v>38231</v>
      </c>
      <c r="B35" s="106">
        <f>'[14]Data Input'!B41</f>
        <v>41663760</v>
      </c>
      <c r="C35" s="17">
        <f t="shared" ref="C35:D35" si="20">C23</f>
        <v>57.233333333333334</v>
      </c>
      <c r="D35" s="107">
        <f t="shared" si="20"/>
        <v>34.606666666666655</v>
      </c>
      <c r="E35" s="17">
        <v>30</v>
      </c>
      <c r="F35" s="17">
        <v>0</v>
      </c>
      <c r="G35" s="17">
        <v>336.24</v>
      </c>
      <c r="H35" s="17">
        <v>1</v>
      </c>
      <c r="I35" s="35">
        <v>129.65092164364802</v>
      </c>
      <c r="J35" s="17">
        <f>'[14]Data Input'!AJ41</f>
        <v>20388</v>
      </c>
      <c r="K35" s="17">
        <f t="shared" si="0"/>
        <v>39013321.89635358</v>
      </c>
      <c r="L35" s="10"/>
      <c r="M35" s="14"/>
    </row>
    <row r="36" spans="1:13" x14ac:dyDescent="0.2">
      <c r="A36" s="32">
        <v>38261</v>
      </c>
      <c r="B36" s="106">
        <f>'[14]Data Input'!B42</f>
        <v>39406350</v>
      </c>
      <c r="C36" s="17">
        <f t="shared" ref="C36:D36" si="21">C24</f>
        <v>233.04666666666665</v>
      </c>
      <c r="D36" s="107">
        <f t="shared" si="21"/>
        <v>3.8266666666666671</v>
      </c>
      <c r="E36" s="17">
        <v>31</v>
      </c>
      <c r="F36" s="17">
        <v>0</v>
      </c>
      <c r="G36" s="17">
        <v>319.92</v>
      </c>
      <c r="H36" s="17">
        <v>1</v>
      </c>
      <c r="I36" s="35">
        <v>129.91798131446814</v>
      </c>
      <c r="J36" s="17">
        <f>'[14]Data Input'!AJ42</f>
        <v>20386</v>
      </c>
      <c r="K36" s="17">
        <f t="shared" si="0"/>
        <v>38644356.670053624</v>
      </c>
      <c r="L36" s="10"/>
      <c r="M36" s="14"/>
    </row>
    <row r="37" spans="1:13" x14ac:dyDescent="0.2">
      <c r="A37" s="32">
        <v>38292</v>
      </c>
      <c r="B37" s="106">
        <f>'[14]Data Input'!B43</f>
        <v>40213160</v>
      </c>
      <c r="C37" s="17">
        <f t="shared" ref="C37:D37" si="22">C25</f>
        <v>377.29333333333329</v>
      </c>
      <c r="D37" s="107">
        <f t="shared" si="22"/>
        <v>0</v>
      </c>
      <c r="E37" s="17">
        <v>30</v>
      </c>
      <c r="F37" s="17">
        <v>0</v>
      </c>
      <c r="G37" s="17">
        <v>352.08</v>
      </c>
      <c r="H37" s="17">
        <v>1</v>
      </c>
      <c r="I37" s="35">
        <v>130.18559108448443</v>
      </c>
      <c r="J37" s="17">
        <f>'[14]Data Input'!AJ43</f>
        <v>20441</v>
      </c>
      <c r="K37" s="17">
        <f t="shared" si="0"/>
        <v>39958116.465529583</v>
      </c>
      <c r="L37" s="10"/>
      <c r="M37" s="14"/>
    </row>
    <row r="38" spans="1:13" x14ac:dyDescent="0.2">
      <c r="A38" s="32">
        <v>38322</v>
      </c>
      <c r="B38" s="106">
        <f>'[14]Data Input'!B44</f>
        <v>43313970</v>
      </c>
      <c r="C38" s="17">
        <f t="shared" ref="C38:D38" si="23">C26</f>
        <v>569.36000000000013</v>
      </c>
      <c r="D38" s="107">
        <f t="shared" si="23"/>
        <v>0</v>
      </c>
      <c r="E38" s="17">
        <v>31</v>
      </c>
      <c r="F38" s="17">
        <v>0</v>
      </c>
      <c r="G38" s="17">
        <v>336.28800000000001</v>
      </c>
      <c r="H38" s="17">
        <v>0</v>
      </c>
      <c r="I38" s="35">
        <v>130.45375208681136</v>
      </c>
      <c r="J38" s="17">
        <f>'[14]Data Input'!AJ44</f>
        <v>20588</v>
      </c>
      <c r="K38" s="17">
        <f t="shared" si="0"/>
        <v>43142661.392971106</v>
      </c>
      <c r="L38" s="10"/>
      <c r="M38" s="14"/>
    </row>
    <row r="39" spans="1:13" x14ac:dyDescent="0.2">
      <c r="A39" s="32">
        <v>38353</v>
      </c>
      <c r="B39" s="106">
        <f>'[14]Data Input'!B47</f>
        <v>46807180</v>
      </c>
      <c r="C39" s="17">
        <f t="shared" ref="C39:D39" si="24">C27</f>
        <v>690.88666666666688</v>
      </c>
      <c r="D39" s="107">
        <f t="shared" si="24"/>
        <v>0</v>
      </c>
      <c r="E39" s="17">
        <v>31</v>
      </c>
      <c r="F39" s="17">
        <v>0</v>
      </c>
      <c r="G39" s="17">
        <v>319.92</v>
      </c>
      <c r="H39" s="17">
        <v>0</v>
      </c>
      <c r="I39" s="35">
        <v>130.74370215685079</v>
      </c>
      <c r="J39" s="17">
        <f>'[14]Data Input'!AJ47</f>
        <v>20702</v>
      </c>
      <c r="K39" s="17">
        <f t="shared" si="0"/>
        <v>44034804.646322891</v>
      </c>
      <c r="L39" s="10"/>
      <c r="M39" s="14"/>
    </row>
    <row r="40" spans="1:13" x14ac:dyDescent="0.2">
      <c r="A40" s="32">
        <v>38384</v>
      </c>
      <c r="B40" s="106">
        <f>'[14]Data Input'!B48</f>
        <v>41117740</v>
      </c>
      <c r="C40" s="17">
        <f t="shared" ref="C40:D40" si="25">C28</f>
        <v>642.26666666666665</v>
      </c>
      <c r="D40" s="107">
        <f t="shared" si="25"/>
        <v>0</v>
      </c>
      <c r="E40" s="17">
        <v>28</v>
      </c>
      <c r="F40" s="17">
        <v>0</v>
      </c>
      <c r="G40" s="17">
        <v>319.87200000000001</v>
      </c>
      <c r="H40" s="17">
        <v>0</v>
      </c>
      <c r="I40" s="35">
        <v>131.0342966778299</v>
      </c>
      <c r="J40" s="17">
        <f>'[14]Data Input'!AJ48</f>
        <v>20700</v>
      </c>
      <c r="K40" s="17">
        <f t="shared" si="0"/>
        <v>41406304.777865022</v>
      </c>
      <c r="L40" s="10"/>
      <c r="M40" s="14"/>
    </row>
    <row r="41" spans="1:13" x14ac:dyDescent="0.2">
      <c r="A41" s="32">
        <v>38412</v>
      </c>
      <c r="B41" s="106">
        <f>'[14]Data Input'!B49</f>
        <v>44324530</v>
      </c>
      <c r="C41" s="17">
        <f t="shared" ref="C41:D41" si="26">C29</f>
        <v>532.14</v>
      </c>
      <c r="D41" s="107">
        <f t="shared" si="26"/>
        <v>0</v>
      </c>
      <c r="E41" s="17">
        <v>31</v>
      </c>
      <c r="F41" s="17">
        <v>0</v>
      </c>
      <c r="G41" s="17">
        <v>351.91199999999998</v>
      </c>
      <c r="H41" s="17">
        <v>1</v>
      </c>
      <c r="I41" s="35">
        <v>131.32553708212293</v>
      </c>
      <c r="J41" s="17">
        <f>'[14]Data Input'!AJ49</f>
        <v>20659</v>
      </c>
      <c r="K41" s="17">
        <f t="shared" si="0"/>
        <v>42308663.391303644</v>
      </c>
      <c r="L41" s="10"/>
      <c r="M41" s="14"/>
    </row>
    <row r="42" spans="1:13" x14ac:dyDescent="0.2">
      <c r="A42" s="32">
        <v>38443</v>
      </c>
      <c r="B42" s="106">
        <f>'[14]Data Input'!B50</f>
        <v>39294850</v>
      </c>
      <c r="C42" s="17">
        <f t="shared" ref="C42:D42" si="27">C30</f>
        <v>317.23333333333335</v>
      </c>
      <c r="D42" s="107">
        <f t="shared" si="27"/>
        <v>0.55333333333333323</v>
      </c>
      <c r="E42" s="17">
        <v>30</v>
      </c>
      <c r="F42" s="17">
        <v>0</v>
      </c>
      <c r="G42" s="17">
        <v>336.24</v>
      </c>
      <c r="H42" s="17">
        <v>1</v>
      </c>
      <c r="I42" s="35">
        <v>131.61742480528775</v>
      </c>
      <c r="J42" s="17">
        <f>'[14]Data Input'!AJ50</f>
        <v>20681</v>
      </c>
      <c r="K42" s="17">
        <f t="shared" si="0"/>
        <v>38971985.452159211</v>
      </c>
      <c r="L42" s="10"/>
      <c r="M42" s="14"/>
    </row>
    <row r="43" spans="1:13" x14ac:dyDescent="0.2">
      <c r="A43" s="32">
        <v>38473</v>
      </c>
      <c r="B43" s="106">
        <f>'[14]Data Input'!B51</f>
        <v>38503630</v>
      </c>
      <c r="C43" s="17">
        <f t="shared" ref="C43:D43" si="28">C31</f>
        <v>143.73999999999998</v>
      </c>
      <c r="D43" s="107">
        <f t="shared" si="28"/>
        <v>15.093333333333334</v>
      </c>
      <c r="E43" s="17">
        <v>31</v>
      </c>
      <c r="F43" s="17">
        <v>0</v>
      </c>
      <c r="G43" s="17">
        <v>336.28800000000001</v>
      </c>
      <c r="H43" s="17">
        <v>1</v>
      </c>
      <c r="I43" s="35">
        <v>131.90996128607298</v>
      </c>
      <c r="J43" s="17">
        <f>'[14]Data Input'!AJ51</f>
        <v>20636</v>
      </c>
      <c r="K43" s="17">
        <f t="shared" si="0"/>
        <v>39027220.293216914</v>
      </c>
      <c r="L43" s="10"/>
      <c r="M43" s="14"/>
    </row>
    <row r="44" spans="1:13" x14ac:dyDescent="0.2">
      <c r="A44" s="32">
        <v>38504</v>
      </c>
      <c r="B44" s="106">
        <f>'[14]Data Input'!B52</f>
        <v>43469730</v>
      </c>
      <c r="C44" s="17">
        <f t="shared" ref="C44:D44" si="29">C32</f>
        <v>28.673333333333332</v>
      </c>
      <c r="D44" s="107">
        <f t="shared" si="29"/>
        <v>58.74</v>
      </c>
      <c r="E44" s="17">
        <v>30</v>
      </c>
      <c r="F44" s="17">
        <v>0</v>
      </c>
      <c r="G44" s="17">
        <v>352.08</v>
      </c>
      <c r="H44" s="17">
        <v>0</v>
      </c>
      <c r="I44" s="35">
        <v>132.20314796642501</v>
      </c>
      <c r="J44" s="17">
        <f>'[14]Data Input'!AJ52</f>
        <v>20624</v>
      </c>
      <c r="K44" s="17">
        <f t="shared" si="0"/>
        <v>41917524.927507184</v>
      </c>
      <c r="L44" s="10"/>
      <c r="M44" s="14"/>
    </row>
    <row r="45" spans="1:13" x14ac:dyDescent="0.2">
      <c r="A45" s="32">
        <v>38534</v>
      </c>
      <c r="B45" s="106">
        <f>'[14]Data Input'!B53</f>
        <v>51308440</v>
      </c>
      <c r="C45" s="17">
        <f t="shared" ref="C45:D45" si="30">C33</f>
        <v>4.4733333333333336</v>
      </c>
      <c r="D45" s="107">
        <f t="shared" si="30"/>
        <v>114.79333333333332</v>
      </c>
      <c r="E45" s="17">
        <v>31</v>
      </c>
      <c r="F45" s="17">
        <v>0</v>
      </c>
      <c r="G45" s="17">
        <v>319.92</v>
      </c>
      <c r="H45" s="17">
        <v>0</v>
      </c>
      <c r="I45" s="35">
        <v>132.49698629149512</v>
      </c>
      <c r="J45" s="17">
        <f>'[14]Data Input'!AJ53</f>
        <v>20638</v>
      </c>
      <c r="K45" s="17">
        <f t="shared" si="0"/>
        <v>46201410.740446441</v>
      </c>
      <c r="L45" s="10"/>
      <c r="M45" s="14"/>
    </row>
    <row r="46" spans="1:13" x14ac:dyDescent="0.2">
      <c r="A46" s="32">
        <v>38565</v>
      </c>
      <c r="B46" s="106">
        <f>'[14]Data Input'!B54</f>
        <v>48784110</v>
      </c>
      <c r="C46" s="17">
        <f t="shared" ref="C46:D46" si="31">C34</f>
        <v>7.64</v>
      </c>
      <c r="D46" s="107">
        <f t="shared" si="31"/>
        <v>92.953333333333319</v>
      </c>
      <c r="E46" s="17">
        <v>31</v>
      </c>
      <c r="F46" s="17">
        <v>0</v>
      </c>
      <c r="G46" s="17">
        <v>351.91199999999998</v>
      </c>
      <c r="H46" s="17">
        <v>0</v>
      </c>
      <c r="I46" s="35">
        <v>132.79147770964664</v>
      </c>
      <c r="J46" s="17">
        <f>'[14]Data Input'!AJ54</f>
        <v>20601</v>
      </c>
      <c r="K46" s="17">
        <f t="shared" si="0"/>
        <v>45219973.21713686</v>
      </c>
      <c r="L46" s="10"/>
      <c r="M46" s="14"/>
    </row>
    <row r="47" spans="1:13" x14ac:dyDescent="0.2">
      <c r="A47" s="32">
        <v>38596</v>
      </c>
      <c r="B47" s="106">
        <f>'[14]Data Input'!B55</f>
        <v>41264120</v>
      </c>
      <c r="C47" s="17">
        <f t="shared" ref="C47:D47" si="32">C35</f>
        <v>57.233333333333334</v>
      </c>
      <c r="D47" s="107">
        <f t="shared" si="32"/>
        <v>34.606666666666655</v>
      </c>
      <c r="E47" s="17">
        <v>30</v>
      </c>
      <c r="F47" s="17">
        <v>0</v>
      </c>
      <c r="G47" s="17">
        <v>336.24</v>
      </c>
      <c r="H47" s="17">
        <v>1</v>
      </c>
      <c r="I47" s="35">
        <v>133.08662367246211</v>
      </c>
      <c r="J47" s="17">
        <f>'[14]Data Input'!AJ55</f>
        <v>20620</v>
      </c>
      <c r="K47" s="17">
        <f t="shared" si="0"/>
        <v>39013321.89635358</v>
      </c>
      <c r="L47" s="10"/>
      <c r="M47" s="14"/>
    </row>
    <row r="48" spans="1:13" x14ac:dyDescent="0.2">
      <c r="A48" s="32">
        <v>38626</v>
      </c>
      <c r="B48" s="106">
        <f>'[14]Data Input'!B56</f>
        <v>40426860</v>
      </c>
      <c r="C48" s="17">
        <f t="shared" ref="C48:D48" si="33">C36</f>
        <v>233.04666666666665</v>
      </c>
      <c r="D48" s="107">
        <f t="shared" si="33"/>
        <v>3.8266666666666671</v>
      </c>
      <c r="E48" s="17">
        <v>31</v>
      </c>
      <c r="F48" s="17">
        <v>0</v>
      </c>
      <c r="G48" s="17">
        <v>319.92</v>
      </c>
      <c r="H48" s="17">
        <v>1</v>
      </c>
      <c r="I48" s="35">
        <v>133.38242563475035</v>
      </c>
      <c r="J48" s="17">
        <f>'[14]Data Input'!AJ56</f>
        <v>20641</v>
      </c>
      <c r="K48" s="17">
        <f t="shared" si="0"/>
        <v>38644356.670053624</v>
      </c>
      <c r="L48" s="10"/>
      <c r="M48" s="14"/>
    </row>
    <row r="49" spans="1:13" x14ac:dyDescent="0.2">
      <c r="A49" s="32">
        <v>38657</v>
      </c>
      <c r="B49" s="106">
        <f>'[14]Data Input'!B57</f>
        <v>41421880</v>
      </c>
      <c r="C49" s="17">
        <f t="shared" ref="C49:D49" si="34">C37</f>
        <v>377.29333333333329</v>
      </c>
      <c r="D49" s="107">
        <f t="shared" si="34"/>
        <v>0</v>
      </c>
      <c r="E49" s="17">
        <v>30</v>
      </c>
      <c r="F49" s="17">
        <v>0</v>
      </c>
      <c r="G49" s="17">
        <v>352.08</v>
      </c>
      <c r="H49" s="17">
        <v>1</v>
      </c>
      <c r="I49" s="35">
        <v>133.67888505455369</v>
      </c>
      <c r="J49" s="17">
        <f>'[14]Data Input'!AJ57</f>
        <v>20652</v>
      </c>
      <c r="K49" s="17">
        <f t="shared" si="0"/>
        <v>39958116.465529583</v>
      </c>
      <c r="L49" s="10"/>
      <c r="M49" s="14"/>
    </row>
    <row r="50" spans="1:13" x14ac:dyDescent="0.2">
      <c r="A50" s="32">
        <v>38687</v>
      </c>
      <c r="B50" s="106">
        <f>'[14]Data Input'!B58</f>
        <v>44051790</v>
      </c>
      <c r="C50" s="17">
        <f t="shared" ref="C50:D50" si="35">C38</f>
        <v>569.36000000000013</v>
      </c>
      <c r="D50" s="107">
        <f t="shared" si="35"/>
        <v>0</v>
      </c>
      <c r="E50" s="17">
        <v>31</v>
      </c>
      <c r="F50" s="17">
        <v>0</v>
      </c>
      <c r="G50" s="17">
        <v>319.92</v>
      </c>
      <c r="H50" s="17">
        <v>0</v>
      </c>
      <c r="I50" s="35">
        <v>133.97600339315525</v>
      </c>
      <c r="J50" s="17">
        <f>'[14]Data Input'!AJ58</f>
        <v>20740</v>
      </c>
      <c r="K50" s="17">
        <f t="shared" si="0"/>
        <v>42738434.534535021</v>
      </c>
      <c r="L50" s="10"/>
      <c r="M50" s="14"/>
    </row>
    <row r="51" spans="1:13" x14ac:dyDescent="0.2">
      <c r="A51" s="32">
        <v>38718</v>
      </c>
      <c r="B51" s="106">
        <f>'[14]Data Input'!B61</f>
        <v>43192750</v>
      </c>
      <c r="C51" s="17">
        <f t="shared" ref="C51:D51" si="36">C39</f>
        <v>690.88666666666688</v>
      </c>
      <c r="D51" s="107">
        <f t="shared" si="36"/>
        <v>0</v>
      </c>
      <c r="E51" s="17">
        <v>31</v>
      </c>
      <c r="F51" s="17">
        <f>'CDM Activity'!B19</f>
        <v>10209.288328229812</v>
      </c>
      <c r="G51" s="17">
        <v>336.28800000000001</v>
      </c>
      <c r="H51" s="17">
        <v>0</v>
      </c>
      <c r="I51" s="35">
        <v>134.25197202423305</v>
      </c>
      <c r="J51" s="17">
        <f>'[14]Data Input'!AJ61</f>
        <v>20858</v>
      </c>
      <c r="K51" s="17">
        <f t="shared" si="0"/>
        <v>44359680.244302079</v>
      </c>
      <c r="L51" s="10"/>
      <c r="M51" s="14"/>
    </row>
    <row r="52" spans="1:13" x14ac:dyDescent="0.2">
      <c r="A52" s="32">
        <v>38749</v>
      </c>
      <c r="B52" s="106">
        <f>'[14]Data Input'!B62</f>
        <v>39863550</v>
      </c>
      <c r="C52" s="17">
        <f t="shared" ref="C52:D52" si="37">C40</f>
        <v>642.26666666666665</v>
      </c>
      <c r="D52" s="107">
        <f t="shared" si="37"/>
        <v>0</v>
      </c>
      <c r="E52" s="17">
        <v>28</v>
      </c>
      <c r="F52" s="17">
        <f>'CDM Activity'!B20</f>
        <v>20418.576656459623</v>
      </c>
      <c r="G52" s="17">
        <v>319.87200000000001</v>
      </c>
      <c r="H52" s="17">
        <v>0</v>
      </c>
      <c r="I52" s="35">
        <v>134.52850910550649</v>
      </c>
      <c r="J52" s="17">
        <f>'[14]Data Input'!AJ62</f>
        <v>20902</v>
      </c>
      <c r="K52" s="17">
        <f t="shared" si="0"/>
        <v>41247602.256951228</v>
      </c>
      <c r="L52" s="10"/>
      <c r="M52" s="14"/>
    </row>
    <row r="53" spans="1:13" x14ac:dyDescent="0.2">
      <c r="A53" s="32">
        <v>38777</v>
      </c>
      <c r="B53" s="106">
        <f>'[14]Data Input'!B63</f>
        <v>42675980</v>
      </c>
      <c r="C53" s="17">
        <f t="shared" ref="C53:D53" si="38">C41</f>
        <v>532.14</v>
      </c>
      <c r="D53" s="107">
        <f t="shared" si="38"/>
        <v>0</v>
      </c>
      <c r="E53" s="17">
        <v>31</v>
      </c>
      <c r="F53" s="17">
        <f>'CDM Activity'!B21</f>
        <v>30627.864984689433</v>
      </c>
      <c r="G53" s="17">
        <v>368.28</v>
      </c>
      <c r="H53" s="17">
        <v>1</v>
      </c>
      <c r="I53" s="35">
        <v>134.80561580788986</v>
      </c>
      <c r="J53" s="17">
        <f>'[14]Data Input'!AJ63</f>
        <v>20845</v>
      </c>
      <c r="K53" s="17">
        <f t="shared" si="0"/>
        <v>42474836.468369044</v>
      </c>
      <c r="L53" s="10"/>
      <c r="M53" s="14"/>
    </row>
    <row r="54" spans="1:13" x14ac:dyDescent="0.2">
      <c r="A54" s="32">
        <v>38808</v>
      </c>
      <c r="B54" s="106">
        <f>'[14]Data Input'!B64</f>
        <v>34740070</v>
      </c>
      <c r="C54" s="17">
        <f t="shared" ref="C54:D54" si="39">C42</f>
        <v>317.23333333333335</v>
      </c>
      <c r="D54" s="107">
        <f t="shared" si="39"/>
        <v>0.55333333333333323</v>
      </c>
      <c r="E54" s="17">
        <v>30</v>
      </c>
      <c r="F54" s="17">
        <f>'CDM Activity'!B22</f>
        <v>40837.153312919247</v>
      </c>
      <c r="G54" s="17">
        <v>303.83999999999997</v>
      </c>
      <c r="H54" s="17">
        <v>1</v>
      </c>
      <c r="I54" s="35">
        <v>135.08329330470943</v>
      </c>
      <c r="J54" s="17">
        <f>'[14]Data Input'!AJ64</f>
        <v>20839</v>
      </c>
      <c r="K54" s="17">
        <f t="shared" si="0"/>
        <v>37854424.605509453</v>
      </c>
      <c r="L54" s="10"/>
      <c r="M54" s="14"/>
    </row>
    <row r="55" spans="1:13" x14ac:dyDescent="0.2">
      <c r="A55" s="32">
        <v>38838</v>
      </c>
      <c r="B55" s="106">
        <f>'[14]Data Input'!B65</f>
        <v>38741980</v>
      </c>
      <c r="C55" s="17">
        <f t="shared" ref="C55:D55" si="40">C43</f>
        <v>143.73999999999998</v>
      </c>
      <c r="D55" s="107">
        <f t="shared" si="40"/>
        <v>15.093333333333334</v>
      </c>
      <c r="E55" s="17">
        <v>31</v>
      </c>
      <c r="F55" s="17">
        <f>'CDM Activity'!B23</f>
        <v>51046.44164114906</v>
      </c>
      <c r="G55" s="17">
        <v>351.91199999999998</v>
      </c>
      <c r="H55" s="17">
        <v>1</v>
      </c>
      <c r="I55" s="35">
        <v>135.36154277170829</v>
      </c>
      <c r="J55" s="17">
        <f>'[14]Data Input'!AJ65</f>
        <v>20801</v>
      </c>
      <c r="K55" s="17">
        <f t="shared" si="0"/>
        <v>39016316.901257791</v>
      </c>
      <c r="L55" s="10"/>
      <c r="M55" s="14"/>
    </row>
    <row r="56" spans="1:13" x14ac:dyDescent="0.2">
      <c r="A56" s="32">
        <v>38869</v>
      </c>
      <c r="B56" s="106">
        <f>'[14]Data Input'!B66</f>
        <v>41837560</v>
      </c>
      <c r="C56" s="17">
        <f t="shared" ref="C56:D56" si="41">C44</f>
        <v>28.673333333333332</v>
      </c>
      <c r="D56" s="107">
        <f t="shared" si="41"/>
        <v>58.74</v>
      </c>
      <c r="E56" s="17">
        <v>30</v>
      </c>
      <c r="F56" s="17">
        <f>'CDM Activity'!B24</f>
        <v>61255.729969378874</v>
      </c>
      <c r="G56" s="17">
        <v>352.08</v>
      </c>
      <c r="H56" s="17">
        <v>0</v>
      </c>
      <c r="I56" s="35">
        <v>135.64036538705133</v>
      </c>
      <c r="J56" s="17">
        <f>'[14]Data Input'!AJ66</f>
        <v>20769</v>
      </c>
      <c r="K56" s="17">
        <f t="shared" si="0"/>
        <v>41441417.364765808</v>
      </c>
      <c r="L56" s="10"/>
      <c r="M56" s="14"/>
    </row>
    <row r="57" spans="1:13" x14ac:dyDescent="0.2">
      <c r="A57" s="32">
        <v>38899</v>
      </c>
      <c r="B57" s="106">
        <f>'[14]Data Input'!B67</f>
        <v>47715260</v>
      </c>
      <c r="C57" s="17">
        <f t="shared" ref="C57:D57" si="42">C45</f>
        <v>4.4733333333333336</v>
      </c>
      <c r="D57" s="107">
        <f t="shared" si="42"/>
        <v>114.79333333333332</v>
      </c>
      <c r="E57" s="17">
        <v>31</v>
      </c>
      <c r="F57" s="17">
        <f>'CDM Activity'!B25</f>
        <v>71465.01829760868</v>
      </c>
      <c r="G57" s="17">
        <v>319.92</v>
      </c>
      <c r="H57" s="17">
        <v>0</v>
      </c>
      <c r="I57" s="35">
        <v>135.9197623313303</v>
      </c>
      <c r="J57" s="17">
        <f>'[14]Data Input'!AJ67</f>
        <v>20730</v>
      </c>
      <c r="K57" s="17">
        <f t="shared" si="0"/>
        <v>45645951.917248167</v>
      </c>
      <c r="L57" s="10"/>
      <c r="M57" s="14"/>
    </row>
    <row r="58" spans="1:13" x14ac:dyDescent="0.2">
      <c r="A58" s="32">
        <v>38930</v>
      </c>
      <c r="B58" s="106">
        <f>'[14]Data Input'!B68</f>
        <v>44325550</v>
      </c>
      <c r="C58" s="17">
        <f t="shared" ref="C58:D58" si="43">C46</f>
        <v>7.64</v>
      </c>
      <c r="D58" s="107">
        <f t="shared" si="43"/>
        <v>92.953333333333319</v>
      </c>
      <c r="E58" s="17">
        <v>31</v>
      </c>
      <c r="F58" s="17">
        <f>'CDM Activity'!B26</f>
        <v>81674.306625838493</v>
      </c>
      <c r="G58" s="17">
        <v>351.91199999999998</v>
      </c>
      <c r="H58" s="17">
        <v>0</v>
      </c>
      <c r="I58" s="35">
        <v>136.19973478756879</v>
      </c>
      <c r="J58" s="17">
        <f>'[14]Data Input'!AJ68</f>
        <v>20634</v>
      </c>
      <c r="K58" s="17">
        <f t="shared" si="0"/>
        <v>44585163.133481681</v>
      </c>
      <c r="L58" s="10"/>
      <c r="M58" s="14"/>
    </row>
    <row r="59" spans="1:13" x14ac:dyDescent="0.2">
      <c r="A59" s="32">
        <v>38961</v>
      </c>
      <c r="B59" s="106">
        <f>'[14]Data Input'!B69</f>
        <v>36564730</v>
      </c>
      <c r="C59" s="17">
        <f t="shared" ref="C59:D59" si="44">C47</f>
        <v>57.233333333333334</v>
      </c>
      <c r="D59" s="107">
        <f t="shared" si="44"/>
        <v>34.606666666666655</v>
      </c>
      <c r="E59" s="17">
        <v>30</v>
      </c>
      <c r="F59" s="17">
        <f>'CDM Activity'!B27</f>
        <v>91883.594954068307</v>
      </c>
      <c r="G59" s="17">
        <v>319.68</v>
      </c>
      <c r="H59" s="17">
        <v>1</v>
      </c>
      <c r="I59" s="35">
        <v>136.48028394122719</v>
      </c>
      <c r="J59" s="17">
        <f>'[14]Data Input'!AJ69</f>
        <v>20765</v>
      </c>
      <c r="K59" s="17">
        <f t="shared" si="0"/>
        <v>37890192.029776841</v>
      </c>
      <c r="L59" s="10"/>
      <c r="M59" s="14"/>
    </row>
    <row r="60" spans="1:13" x14ac:dyDescent="0.2">
      <c r="A60" s="32">
        <v>38991</v>
      </c>
      <c r="B60" s="106">
        <f>'[14]Data Input'!B70</f>
        <v>38815730</v>
      </c>
      <c r="C60" s="17">
        <f t="shared" ref="C60:D60" si="45">C48</f>
        <v>233.04666666666665</v>
      </c>
      <c r="D60" s="107">
        <f t="shared" si="45"/>
        <v>3.8266666666666671</v>
      </c>
      <c r="E60" s="17">
        <v>31</v>
      </c>
      <c r="F60" s="17">
        <f>'CDM Activity'!B28</f>
        <v>102092.88328229812</v>
      </c>
      <c r="G60" s="17">
        <v>336.28800000000001</v>
      </c>
      <c r="H60" s="17">
        <v>1</v>
      </c>
      <c r="I60" s="35">
        <v>136.76141098020776</v>
      </c>
      <c r="J60" s="17">
        <f>'[14]Data Input'!AJ70</f>
        <v>20724</v>
      </c>
      <c r="K60" s="17">
        <f t="shared" si="0"/>
        <v>38255070.923920743</v>
      </c>
      <c r="L60" s="10"/>
      <c r="M60" s="14"/>
    </row>
    <row r="61" spans="1:13" x14ac:dyDescent="0.2">
      <c r="A61" s="32">
        <v>39022</v>
      </c>
      <c r="B61" s="106">
        <f>'[14]Data Input'!B71</f>
        <v>39427080</v>
      </c>
      <c r="C61" s="17">
        <f t="shared" ref="C61:D61" si="46">C49</f>
        <v>377.29333333333329</v>
      </c>
      <c r="D61" s="107">
        <f t="shared" si="46"/>
        <v>0</v>
      </c>
      <c r="E61" s="17">
        <v>30</v>
      </c>
      <c r="F61" s="17">
        <f>'CDM Activity'!B29</f>
        <v>112302.17161052793</v>
      </c>
      <c r="G61" s="17">
        <v>352.08</v>
      </c>
      <c r="H61" s="17">
        <v>1</v>
      </c>
      <c r="I61" s="35">
        <v>137.04311709485967</v>
      </c>
      <c r="J61" s="17">
        <f>'[14]Data Input'!AJ71</f>
        <v>20776</v>
      </c>
      <c r="K61" s="17">
        <f t="shared" si="0"/>
        <v>39085252.60050372</v>
      </c>
      <c r="L61" s="10"/>
      <c r="M61" s="14"/>
    </row>
    <row r="62" spans="1:13" x14ac:dyDescent="0.2">
      <c r="A62" s="32">
        <v>39052</v>
      </c>
      <c r="B62" s="106">
        <f>'[14]Data Input'!B72</f>
        <v>40481750</v>
      </c>
      <c r="C62" s="17">
        <f t="shared" ref="C62:D62" si="47">C50</f>
        <v>569.36000000000013</v>
      </c>
      <c r="D62" s="107">
        <f t="shared" si="47"/>
        <v>0</v>
      </c>
      <c r="E62" s="17">
        <v>31</v>
      </c>
      <c r="F62" s="17">
        <f>'CDM Activity'!B30</f>
        <v>122511.45993875775</v>
      </c>
      <c r="G62" s="17">
        <v>304.29599999999999</v>
      </c>
      <c r="H62" s="17">
        <v>0</v>
      </c>
      <c r="I62" s="35">
        <v>137.32540347798411</v>
      </c>
      <c r="J62" s="17">
        <f>'[14]Data Input'!AJ72</f>
        <v>20889</v>
      </c>
      <c r="K62" s="17">
        <f t="shared" si="0"/>
        <v>41400366.498726904</v>
      </c>
      <c r="L62" s="10"/>
      <c r="M62" s="14"/>
    </row>
    <row r="63" spans="1:13" x14ac:dyDescent="0.2">
      <c r="A63" s="32">
        <v>39083</v>
      </c>
      <c r="B63" s="106">
        <f>'[14]Data Input'!B75</f>
        <v>43659020</v>
      </c>
      <c r="C63" s="17">
        <f t="shared" ref="C63:D63" si="48">C51</f>
        <v>690.88666666666688</v>
      </c>
      <c r="D63" s="107">
        <f t="shared" si="48"/>
        <v>0</v>
      </c>
      <c r="E63" s="17">
        <v>31</v>
      </c>
      <c r="F63" s="17">
        <f>'CDM Activity'!B31</f>
        <v>128921.351068262</v>
      </c>
      <c r="G63" s="17">
        <v>351.91199999999998</v>
      </c>
      <c r="H63" s="17">
        <v>0</v>
      </c>
      <c r="I63" s="35">
        <v>137.552207546647</v>
      </c>
      <c r="J63" s="17">
        <f>'[14]Data Input'!AJ75</f>
        <v>20925</v>
      </c>
      <c r="K63" s="17">
        <f t="shared" si="0"/>
        <v>43822848.682702735</v>
      </c>
      <c r="L63" s="10"/>
      <c r="M63" s="14"/>
    </row>
    <row r="64" spans="1:13" x14ac:dyDescent="0.2">
      <c r="A64" s="32">
        <v>39114</v>
      </c>
      <c r="B64" s="106">
        <f>'[14]Data Input'!B76</f>
        <v>42004080</v>
      </c>
      <c r="C64" s="17">
        <f t="shared" ref="C64:D64" si="49">C52</f>
        <v>642.26666666666665</v>
      </c>
      <c r="D64" s="107">
        <f t="shared" si="49"/>
        <v>0</v>
      </c>
      <c r="E64" s="17">
        <v>28</v>
      </c>
      <c r="F64" s="17">
        <f>'CDM Activity'!B32</f>
        <v>135331.24219776626</v>
      </c>
      <c r="G64" s="17">
        <v>319.87200000000001</v>
      </c>
      <c r="H64" s="17">
        <v>0</v>
      </c>
      <c r="I64" s="35">
        <v>137.77938620066888</v>
      </c>
      <c r="J64" s="17">
        <f>'[14]Data Input'!AJ76</f>
        <v>20950</v>
      </c>
      <c r="K64" s="17">
        <f t="shared" si="0"/>
        <v>40354448.438584588</v>
      </c>
      <c r="L64" s="10"/>
      <c r="M64" s="14"/>
    </row>
    <row r="65" spans="1:20" x14ac:dyDescent="0.2">
      <c r="A65" s="32">
        <v>39142</v>
      </c>
      <c r="B65" s="106">
        <f>'[14]Data Input'!B77</f>
        <v>41099580</v>
      </c>
      <c r="C65" s="17">
        <f t="shared" ref="C65:D65" si="50">C53</f>
        <v>532.14</v>
      </c>
      <c r="D65" s="107">
        <f t="shared" si="50"/>
        <v>0</v>
      </c>
      <c r="E65" s="17">
        <v>31</v>
      </c>
      <c r="F65" s="17">
        <f>'CDM Activity'!B33</f>
        <v>141741.13332727051</v>
      </c>
      <c r="G65" s="17">
        <v>351.91199999999998</v>
      </c>
      <c r="H65" s="17">
        <v>1</v>
      </c>
      <c r="I65" s="35">
        <v>138.00694005870795</v>
      </c>
      <c r="J65" s="17">
        <f>'[14]Data Input'!AJ77</f>
        <v>20904</v>
      </c>
      <c r="K65" s="17">
        <f t="shared" si="0"/>
        <v>41206986.445124373</v>
      </c>
      <c r="L65" s="10"/>
      <c r="M65" s="14"/>
    </row>
    <row r="66" spans="1:20" x14ac:dyDescent="0.2">
      <c r="A66" s="32">
        <v>39173</v>
      </c>
      <c r="B66" s="106">
        <f>'[14]Data Input'!B78</f>
        <v>37578410</v>
      </c>
      <c r="C66" s="17">
        <f t="shared" ref="C66:D66" si="51">C54</f>
        <v>317.23333333333335</v>
      </c>
      <c r="D66" s="107">
        <f t="shared" si="51"/>
        <v>0.55333333333333323</v>
      </c>
      <c r="E66" s="17">
        <v>30</v>
      </c>
      <c r="F66" s="17">
        <f>'CDM Activity'!B34</f>
        <v>148151.02445677476</v>
      </c>
      <c r="G66" s="17">
        <v>319.68</v>
      </c>
      <c r="H66" s="17">
        <v>1</v>
      </c>
      <c r="I66" s="35">
        <v>138.23486974044414</v>
      </c>
      <c r="J66" s="17">
        <f>'[14]Data Input'!AJ78</f>
        <v>20877</v>
      </c>
      <c r="K66" s="17">
        <f t="shared" si="0"/>
        <v>37411519.376616433</v>
      </c>
      <c r="L66" s="10"/>
      <c r="M66" s="14"/>
    </row>
    <row r="67" spans="1:20" x14ac:dyDescent="0.2">
      <c r="A67" s="32">
        <v>39203</v>
      </c>
      <c r="B67" s="106">
        <f>'[14]Data Input'!B79</f>
        <v>37137720</v>
      </c>
      <c r="C67" s="17">
        <f t="shared" ref="C67:D67" si="52">C55</f>
        <v>143.73999999999998</v>
      </c>
      <c r="D67" s="107">
        <f t="shared" si="52"/>
        <v>15.093333333333334</v>
      </c>
      <c r="E67" s="17">
        <v>31</v>
      </c>
      <c r="F67" s="17">
        <f>'CDM Activity'!B35</f>
        <v>154560.91558627901</v>
      </c>
      <c r="G67" s="17">
        <v>351.91199999999998</v>
      </c>
      <c r="H67" s="17">
        <v>1</v>
      </c>
      <c r="I67" s="35">
        <v>138.46317586658083</v>
      </c>
      <c r="J67" s="17">
        <f>'[14]Data Input'!AJ79</f>
        <v>20803</v>
      </c>
      <c r="K67" s="17">
        <f t="shared" si="0"/>
        <v>38211755.043565318</v>
      </c>
      <c r="L67" s="10"/>
      <c r="M67" s="14"/>
    </row>
    <row r="68" spans="1:20" x14ac:dyDescent="0.2">
      <c r="A68" s="32">
        <v>39234</v>
      </c>
      <c r="B68" s="106">
        <f>'[14]Data Input'!B80</f>
        <v>42747830</v>
      </c>
      <c r="C68" s="17">
        <f t="shared" ref="C68:D68" si="53">C56</f>
        <v>28.673333333333332</v>
      </c>
      <c r="D68" s="107">
        <f t="shared" si="53"/>
        <v>58.74</v>
      </c>
      <c r="E68" s="17">
        <v>30</v>
      </c>
      <c r="F68" s="17">
        <f>'CDM Activity'!B36</f>
        <v>160970.80671578326</v>
      </c>
      <c r="G68" s="17">
        <v>336.24</v>
      </c>
      <c r="H68" s="17">
        <v>0</v>
      </c>
      <c r="I68" s="35">
        <v>138.69185905884657</v>
      </c>
      <c r="J68" s="17">
        <f>'[14]Data Input'!AJ80</f>
        <v>20822</v>
      </c>
      <c r="K68" s="17">
        <f t="shared" ref="K68:K131" si="54">$O$18+$O$19*C68+$O$20*D68+$O$21*E68+$O$22*F68+$O$23*G68+H68*$O$24</f>
        <v>40275198.878273889</v>
      </c>
      <c r="L68" s="10"/>
      <c r="M68" s="14"/>
    </row>
    <row r="69" spans="1:20" x14ac:dyDescent="0.2">
      <c r="A69" s="32">
        <v>39264</v>
      </c>
      <c r="B69" s="106">
        <f>'[14]Data Input'!B81</f>
        <v>41879640</v>
      </c>
      <c r="C69" s="17">
        <f t="shared" ref="C69:D69" si="55">C57</f>
        <v>4.4733333333333336</v>
      </c>
      <c r="D69" s="107">
        <f t="shared" si="55"/>
        <v>114.79333333333332</v>
      </c>
      <c r="E69" s="17">
        <v>31</v>
      </c>
      <c r="F69" s="17">
        <f>'CDM Activity'!B37</f>
        <v>167380.6978452875</v>
      </c>
      <c r="G69" s="17">
        <v>336.28800000000001</v>
      </c>
      <c r="H69" s="17">
        <v>0</v>
      </c>
      <c r="I69" s="35">
        <v>138.92091993999671</v>
      </c>
      <c r="J69" s="17">
        <f>'[14]Data Input'!AJ81</f>
        <v>20767</v>
      </c>
      <c r="K69" s="17">
        <f t="shared" si="54"/>
        <v>45304678.225107893</v>
      </c>
      <c r="L69" s="10"/>
      <c r="M69" s="14"/>
    </row>
    <row r="70" spans="1:20" x14ac:dyDescent="0.2">
      <c r="A70" s="32">
        <v>39295</v>
      </c>
      <c r="B70" s="106">
        <f>'[14]Data Input'!B82</f>
        <v>45846620</v>
      </c>
      <c r="C70" s="17">
        <f t="shared" ref="C70:D70" si="56">C58</f>
        <v>7.64</v>
      </c>
      <c r="D70" s="107">
        <f t="shared" si="56"/>
        <v>92.953333333333319</v>
      </c>
      <c r="E70" s="17">
        <v>31</v>
      </c>
      <c r="F70" s="17">
        <f>'CDM Activity'!B38</f>
        <v>173790.58897479175</v>
      </c>
      <c r="G70" s="17">
        <v>351.91199999999998</v>
      </c>
      <c r="H70" s="17">
        <v>0</v>
      </c>
      <c r="I70" s="35">
        <v>139.15035913381516</v>
      </c>
      <c r="J70" s="17">
        <f>'[14]Data Input'!AJ82</f>
        <v>20719</v>
      </c>
      <c r="K70" s="17">
        <f t="shared" si="54"/>
        <v>43869193.236463383</v>
      </c>
      <c r="L70" s="10"/>
      <c r="M70" s="14"/>
    </row>
    <row r="71" spans="1:20" x14ac:dyDescent="0.2">
      <c r="A71" s="32">
        <v>39326</v>
      </c>
      <c r="B71" s="106">
        <f>'[14]Data Input'!B83</f>
        <v>40071090</v>
      </c>
      <c r="C71" s="17">
        <f t="shared" ref="C71:D71" si="57">C59</f>
        <v>57.233333333333334</v>
      </c>
      <c r="D71" s="107">
        <f t="shared" si="57"/>
        <v>34.606666666666655</v>
      </c>
      <c r="E71" s="17">
        <v>30</v>
      </c>
      <c r="F71" s="17">
        <f>'CDM Activity'!B39</f>
        <v>180200.480104296</v>
      </c>
      <c r="G71" s="17">
        <v>303.83999999999997</v>
      </c>
      <c r="H71" s="17">
        <v>1</v>
      </c>
      <c r="I71" s="35">
        <v>139.38017726511606</v>
      </c>
      <c r="J71" s="17">
        <f>'[14]Data Input'!AJ83</f>
        <v>20805</v>
      </c>
      <c r="K71" s="17">
        <f t="shared" si="54"/>
        <v>36812565.503959104</v>
      </c>
      <c r="L71" s="10"/>
      <c r="M71" s="14"/>
    </row>
    <row r="72" spans="1:20" x14ac:dyDescent="0.2">
      <c r="A72" s="32">
        <v>39356</v>
      </c>
      <c r="B72" s="106">
        <f>'[14]Data Input'!B84</f>
        <v>39182630</v>
      </c>
      <c r="C72" s="17">
        <f t="shared" ref="C72:D72" si="58">C60</f>
        <v>233.04666666666665</v>
      </c>
      <c r="D72" s="107">
        <f t="shared" si="58"/>
        <v>3.8266666666666671</v>
      </c>
      <c r="E72" s="17">
        <v>31</v>
      </c>
      <c r="F72" s="17">
        <f>'CDM Activity'!B40</f>
        <v>186610.37123380025</v>
      </c>
      <c r="G72" s="17">
        <v>351.91199999999998</v>
      </c>
      <c r="H72" s="17">
        <v>1</v>
      </c>
      <c r="I72" s="35">
        <v>139.61037495974546</v>
      </c>
      <c r="J72" s="17">
        <f>'[14]Data Input'!AJ84</f>
        <v>20803</v>
      </c>
      <c r="K72" s="17">
        <f t="shared" si="54"/>
        <v>37984015.244343922</v>
      </c>
      <c r="L72" s="10"/>
      <c r="M72" s="14"/>
    </row>
    <row r="73" spans="1:20" x14ac:dyDescent="0.2">
      <c r="A73" s="32">
        <v>39387</v>
      </c>
      <c r="B73" s="106">
        <f>'[14]Data Input'!B85</f>
        <v>40415660</v>
      </c>
      <c r="C73" s="17">
        <f t="shared" ref="C73:D73" si="59">C61</f>
        <v>377.29333333333329</v>
      </c>
      <c r="D73" s="107">
        <f t="shared" si="59"/>
        <v>0</v>
      </c>
      <c r="E73" s="17">
        <v>30</v>
      </c>
      <c r="F73" s="17">
        <f>'CDM Activity'!B41</f>
        <v>193020.2623633045</v>
      </c>
      <c r="G73" s="17">
        <v>352.08</v>
      </c>
      <c r="H73" s="17">
        <v>1</v>
      </c>
      <c r="I73" s="35">
        <v>139.84095284458306</v>
      </c>
      <c r="J73" s="17">
        <f>'[14]Data Input'!AJ85</f>
        <v>20862</v>
      </c>
      <c r="K73" s="17">
        <f t="shared" si="54"/>
        <v>38457874.664159596</v>
      </c>
      <c r="L73" s="10"/>
      <c r="M73" s="14"/>
    </row>
    <row r="74" spans="1:20" x14ac:dyDescent="0.2">
      <c r="A74" s="32">
        <v>39417</v>
      </c>
      <c r="B74" s="106">
        <f>'[14]Data Input'!B86</f>
        <v>42304750</v>
      </c>
      <c r="C74" s="17">
        <f t="shared" ref="C74:D74" si="60">C62</f>
        <v>569.36000000000013</v>
      </c>
      <c r="D74" s="107">
        <f t="shared" si="60"/>
        <v>0</v>
      </c>
      <c r="E74" s="17">
        <v>31</v>
      </c>
      <c r="F74" s="17">
        <f>'CDM Activity'!B42</f>
        <v>199430.15349280875</v>
      </c>
      <c r="G74" s="17">
        <v>304.29599999999999</v>
      </c>
      <c r="H74" s="17">
        <v>0</v>
      </c>
      <c r="I74" s="35">
        <v>140.07191154754381</v>
      </c>
      <c r="J74" s="17">
        <f>'[14]Data Input'!AJ86</f>
        <v>20954</v>
      </c>
      <c r="K74" s="17">
        <f t="shared" si="54"/>
        <v>40802519.215940841</v>
      </c>
      <c r="L74" s="10"/>
      <c r="M74" s="14"/>
    </row>
    <row r="75" spans="1:20" s="15" customFormat="1" x14ac:dyDescent="0.2">
      <c r="A75" s="32">
        <v>39448</v>
      </c>
      <c r="B75" s="106">
        <f>'[14]Data Input'!B89</f>
        <v>43662060</v>
      </c>
      <c r="C75" s="17">
        <f t="shared" ref="C75:D75" si="61">C63</f>
        <v>690.88666666666688</v>
      </c>
      <c r="D75" s="107">
        <f t="shared" si="61"/>
        <v>0</v>
      </c>
      <c r="E75" s="17">
        <v>31</v>
      </c>
      <c r="F75" s="17">
        <f>'CDM Activity'!B43</f>
        <v>209655.3104414409</v>
      </c>
      <c r="G75" s="123">
        <v>352</v>
      </c>
      <c r="H75" s="17">
        <v>0</v>
      </c>
      <c r="I75" s="34">
        <v>139.96642175819056</v>
      </c>
      <c r="J75" s="17">
        <f>'[14]Data Input'!AJ89</f>
        <v>21045</v>
      </c>
      <c r="K75" s="17">
        <f t="shared" si="54"/>
        <v>43197520.670859441</v>
      </c>
      <c r="L75" s="10"/>
      <c r="M75" s="124"/>
      <c r="N75"/>
      <c r="O75"/>
      <c r="P75"/>
      <c r="Q75"/>
      <c r="R75"/>
      <c r="S75"/>
      <c r="T75"/>
    </row>
    <row r="76" spans="1:20" x14ac:dyDescent="0.2">
      <c r="A76" s="32">
        <v>39479</v>
      </c>
      <c r="B76" s="106">
        <f>'[14]Data Input'!B90</f>
        <v>42566180</v>
      </c>
      <c r="C76" s="17">
        <f t="shared" ref="C76:D76" si="62">C64</f>
        <v>642.26666666666665</v>
      </c>
      <c r="D76" s="107">
        <f t="shared" si="62"/>
        <v>0</v>
      </c>
      <c r="E76" s="17">
        <v>29</v>
      </c>
      <c r="F76" s="17">
        <f>'CDM Activity'!B44</f>
        <v>219880.46739007306</v>
      </c>
      <c r="G76" s="123">
        <v>320</v>
      </c>
      <c r="H76" s="17">
        <v>0</v>
      </c>
      <c r="I76" s="34">
        <v>139.86101141442734</v>
      </c>
      <c r="J76" s="17">
        <f>'[14]Data Input'!AJ90</f>
        <v>21097</v>
      </c>
      <c r="K76" s="17">
        <f t="shared" si="54"/>
        <v>40403343.230210491</v>
      </c>
      <c r="L76" s="10"/>
    </row>
    <row r="77" spans="1:20" x14ac:dyDescent="0.2">
      <c r="A77" s="32">
        <v>39508</v>
      </c>
      <c r="B77" s="106">
        <f>'[14]Data Input'!B91</f>
        <v>42057090</v>
      </c>
      <c r="C77" s="17">
        <f t="shared" ref="C77:D77" si="63">C65</f>
        <v>532.14</v>
      </c>
      <c r="D77" s="107">
        <f t="shared" si="63"/>
        <v>0</v>
      </c>
      <c r="E77" s="17">
        <v>31</v>
      </c>
      <c r="F77" s="17">
        <f>'CDM Activity'!B45</f>
        <v>230105.62433870521</v>
      </c>
      <c r="G77" s="123">
        <v>304</v>
      </c>
      <c r="H77" s="17">
        <v>1</v>
      </c>
      <c r="I77" s="34">
        <v>139.75568045642274</v>
      </c>
      <c r="J77" s="17">
        <f>'[14]Data Input'!AJ91</f>
        <v>21048</v>
      </c>
      <c r="K77" s="17">
        <f t="shared" si="54"/>
        <v>39336934.442663133</v>
      </c>
      <c r="L77" s="10"/>
    </row>
    <row r="78" spans="1:20" x14ac:dyDescent="0.2">
      <c r="A78" s="32">
        <v>39539</v>
      </c>
      <c r="B78" s="106">
        <f>'[14]Data Input'!B92</f>
        <v>37570770</v>
      </c>
      <c r="C78" s="17">
        <f t="shared" ref="C78:D78" si="64">C66</f>
        <v>317.23333333333335</v>
      </c>
      <c r="D78" s="107">
        <f t="shared" si="64"/>
        <v>0.55333333333333323</v>
      </c>
      <c r="E78" s="17">
        <v>30</v>
      </c>
      <c r="F78" s="17">
        <f>'CDM Activity'!B46</f>
        <v>240330.78128733736</v>
      </c>
      <c r="G78" s="123">
        <v>352</v>
      </c>
      <c r="H78" s="17">
        <v>1</v>
      </c>
      <c r="I78" s="34">
        <v>139.65042882439042</v>
      </c>
      <c r="J78" s="17">
        <f>'[14]Data Input'!AJ92</f>
        <v>21037</v>
      </c>
      <c r="K78" s="17">
        <f t="shared" si="54"/>
        <v>37493236.238359317</v>
      </c>
      <c r="L78" s="10"/>
    </row>
    <row r="79" spans="1:20" x14ac:dyDescent="0.2">
      <c r="A79" s="32">
        <v>39569</v>
      </c>
      <c r="B79" s="106">
        <f>'[14]Data Input'!B93</f>
        <v>36307140</v>
      </c>
      <c r="C79" s="17">
        <f t="shared" ref="C79:D79" si="65">C67</f>
        <v>143.73999999999998</v>
      </c>
      <c r="D79" s="107">
        <f t="shared" si="65"/>
        <v>15.093333333333334</v>
      </c>
      <c r="E79" s="17">
        <v>31</v>
      </c>
      <c r="F79" s="17">
        <f>'CDM Activity'!B47</f>
        <v>250555.93823596952</v>
      </c>
      <c r="G79" s="123">
        <v>336</v>
      </c>
      <c r="H79" s="17">
        <v>1</v>
      </c>
      <c r="I79" s="34">
        <v>139.54525645858905</v>
      </c>
      <c r="J79" s="17">
        <f>'[14]Data Input'!AJ93</f>
        <v>21010</v>
      </c>
      <c r="K79" s="17">
        <f t="shared" si="54"/>
        <v>37072672.395726062</v>
      </c>
      <c r="L79" s="10"/>
    </row>
    <row r="80" spans="1:20" x14ac:dyDescent="0.2">
      <c r="A80" s="32">
        <v>39600</v>
      </c>
      <c r="B80" s="106">
        <f>'[14]Data Input'!B94</f>
        <v>41100780</v>
      </c>
      <c r="C80" s="17">
        <f t="shared" ref="C80:D80" si="66">C68</f>
        <v>28.673333333333332</v>
      </c>
      <c r="D80" s="107">
        <f t="shared" si="66"/>
        <v>58.74</v>
      </c>
      <c r="E80" s="17">
        <v>30</v>
      </c>
      <c r="F80" s="17">
        <f>'CDM Activity'!B48</f>
        <v>260781.09518460167</v>
      </c>
      <c r="G80" s="123">
        <v>336</v>
      </c>
      <c r="H80" s="17">
        <v>0</v>
      </c>
      <c r="I80" s="34">
        <v>139.44016329932234</v>
      </c>
      <c r="J80" s="17">
        <f>'[14]Data Input'!AJ94</f>
        <v>20943</v>
      </c>
      <c r="K80" s="17">
        <f t="shared" si="54"/>
        <v>39493500.565030143</v>
      </c>
      <c r="L80" s="10"/>
    </row>
    <row r="81" spans="1:20" x14ac:dyDescent="0.2">
      <c r="A81" s="32">
        <v>39630</v>
      </c>
      <c r="B81" s="106">
        <f>'[14]Data Input'!B95</f>
        <v>44714390</v>
      </c>
      <c r="C81" s="17">
        <f t="shared" ref="C81:D81" si="67">C69</f>
        <v>4.4733333333333336</v>
      </c>
      <c r="D81" s="107">
        <f t="shared" si="67"/>
        <v>114.79333333333332</v>
      </c>
      <c r="E81" s="17">
        <v>31</v>
      </c>
      <c r="F81" s="17">
        <f>'CDM Activity'!B49</f>
        <v>271006.25213323382</v>
      </c>
      <c r="G81" s="123">
        <v>352</v>
      </c>
      <c r="H81" s="17">
        <v>0</v>
      </c>
      <c r="I81" s="34">
        <v>139.3351492869389</v>
      </c>
      <c r="J81" s="17">
        <f>'[14]Data Input'!AJ95</f>
        <v>20876</v>
      </c>
      <c r="K81" s="17">
        <f t="shared" si="54"/>
        <v>44887279.173167989</v>
      </c>
      <c r="L81" s="10"/>
    </row>
    <row r="82" spans="1:20" x14ac:dyDescent="0.2">
      <c r="A82" s="32">
        <v>39661</v>
      </c>
      <c r="B82" s="106">
        <f>'[14]Data Input'!B96</f>
        <v>41138100</v>
      </c>
      <c r="C82" s="17">
        <f t="shared" ref="C82:D82" si="68">C70</f>
        <v>7.64</v>
      </c>
      <c r="D82" s="107">
        <f t="shared" si="68"/>
        <v>92.953333333333319</v>
      </c>
      <c r="E82" s="17">
        <v>31</v>
      </c>
      <c r="F82" s="17">
        <f>'CDM Activity'!B50</f>
        <v>281231.40908186598</v>
      </c>
      <c r="G82" s="123">
        <v>320</v>
      </c>
      <c r="H82" s="17">
        <v>0</v>
      </c>
      <c r="I82" s="34">
        <v>139.23021436183228</v>
      </c>
      <c r="J82" s="17">
        <f>'[14]Data Input'!AJ96</f>
        <v>20898</v>
      </c>
      <c r="K82" s="17">
        <f t="shared" si="54"/>
        <v>42246009.944365166</v>
      </c>
      <c r="L82" s="10"/>
    </row>
    <row r="83" spans="1:20" x14ac:dyDescent="0.2">
      <c r="A83" s="32">
        <v>39692</v>
      </c>
      <c r="B83" s="106">
        <f>'[14]Data Input'!B97</f>
        <v>39609350</v>
      </c>
      <c r="C83" s="17">
        <f t="shared" ref="C83:D83" si="69">C71</f>
        <v>57.233333333333334</v>
      </c>
      <c r="D83" s="107">
        <f t="shared" si="69"/>
        <v>34.606666666666655</v>
      </c>
      <c r="E83" s="17">
        <v>30</v>
      </c>
      <c r="F83" s="17">
        <f>'CDM Activity'!B51</f>
        <v>291456.56603049813</v>
      </c>
      <c r="G83" s="123">
        <v>336</v>
      </c>
      <c r="H83" s="17">
        <v>1</v>
      </c>
      <c r="I83" s="34">
        <v>139.12535846444095</v>
      </c>
      <c r="J83" s="17">
        <f>'[14]Data Input'!AJ97</f>
        <v>20867</v>
      </c>
      <c r="K83" s="17">
        <f t="shared" si="54"/>
        <v>36742061.02032654</v>
      </c>
      <c r="L83" s="10"/>
    </row>
    <row r="84" spans="1:20" x14ac:dyDescent="0.2">
      <c r="A84" s="32">
        <v>39722</v>
      </c>
      <c r="B84" s="106">
        <f>'[14]Data Input'!B98</f>
        <v>37751930</v>
      </c>
      <c r="C84" s="17">
        <f t="shared" ref="C84:D84" si="70">C72</f>
        <v>233.04666666666665</v>
      </c>
      <c r="D84" s="107">
        <f t="shared" si="70"/>
        <v>3.8266666666666671</v>
      </c>
      <c r="E84" s="17">
        <v>31</v>
      </c>
      <c r="F84" s="17">
        <f>'CDM Activity'!B52</f>
        <v>301681.72297913028</v>
      </c>
      <c r="G84" s="123">
        <v>352</v>
      </c>
      <c r="H84" s="17">
        <v>1</v>
      </c>
      <c r="I84" s="34">
        <v>139.02058153524823</v>
      </c>
      <c r="J84" s="17">
        <f>'[14]Data Input'!AJ98</f>
        <v>20969</v>
      </c>
      <c r="K84" s="17">
        <f t="shared" si="54"/>
        <v>37091801.306867681</v>
      </c>
      <c r="L84" s="10"/>
    </row>
    <row r="85" spans="1:20" x14ac:dyDescent="0.2">
      <c r="A85" s="32">
        <v>39753</v>
      </c>
      <c r="B85" s="106">
        <f>'[14]Data Input'!B99</f>
        <v>38864960</v>
      </c>
      <c r="C85" s="17">
        <f t="shared" ref="C85:D85" si="71">C73</f>
        <v>377.29333333333329</v>
      </c>
      <c r="D85" s="107">
        <f t="shared" si="71"/>
        <v>0</v>
      </c>
      <c r="E85" s="17">
        <v>30</v>
      </c>
      <c r="F85" s="17">
        <f>'CDM Activity'!B53</f>
        <v>311906.87992776243</v>
      </c>
      <c r="G85" s="123">
        <v>304</v>
      </c>
      <c r="H85" s="17">
        <v>1</v>
      </c>
      <c r="I85" s="34">
        <v>138.91588351478222</v>
      </c>
      <c r="J85" s="17">
        <f>'[14]Data Input'!AJ99</f>
        <v>20995</v>
      </c>
      <c r="K85" s="17">
        <f t="shared" si="54"/>
        <v>36346441.771777406</v>
      </c>
      <c r="L85" s="10"/>
    </row>
    <row r="86" spans="1:20" s="33" customFormat="1" x14ac:dyDescent="0.2">
      <c r="A86" s="32">
        <v>39783</v>
      </c>
      <c r="B86" s="106">
        <f>'[14]Data Input'!B100</f>
        <v>41720160</v>
      </c>
      <c r="C86" s="17">
        <f t="shared" ref="C86:D86" si="72">C74</f>
        <v>569.36000000000013</v>
      </c>
      <c r="D86" s="107">
        <f t="shared" si="72"/>
        <v>0</v>
      </c>
      <c r="E86" s="17">
        <v>31</v>
      </c>
      <c r="F86" s="17">
        <f>'CDM Activity'!B54</f>
        <v>322132.03687639459</v>
      </c>
      <c r="G86" s="123">
        <v>336</v>
      </c>
      <c r="H86" s="17">
        <v>0</v>
      </c>
      <c r="I86" s="34">
        <v>138.8112643436159</v>
      </c>
      <c r="J86" s="17">
        <f>'[14]Data Input'!AJ100</f>
        <v>21113</v>
      </c>
      <c r="K86" s="17">
        <f t="shared" si="54"/>
        <v>40631791.305029429</v>
      </c>
      <c r="L86" s="10"/>
      <c r="M86" s="123"/>
      <c r="N86"/>
      <c r="O86"/>
      <c r="P86"/>
      <c r="Q86"/>
      <c r="R86"/>
      <c r="S86"/>
      <c r="T86"/>
    </row>
    <row r="87" spans="1:20" x14ac:dyDescent="0.2">
      <c r="A87" s="32">
        <v>39814</v>
      </c>
      <c r="B87" s="106">
        <f>'[14]Data Input'!B103</f>
        <v>42696540</v>
      </c>
      <c r="C87" s="17">
        <f t="shared" ref="C87:D87" si="73">C75</f>
        <v>690.88666666666688</v>
      </c>
      <c r="D87" s="107">
        <f t="shared" si="73"/>
        <v>0</v>
      </c>
      <c r="E87" s="17">
        <v>31</v>
      </c>
      <c r="F87" s="17">
        <f>'CDM Activity'!B55</f>
        <v>332158.7806621865</v>
      </c>
      <c r="G87" s="123">
        <v>336</v>
      </c>
      <c r="H87" s="17">
        <v>0</v>
      </c>
      <c r="I87" s="34">
        <v>138.43555825854429</v>
      </c>
      <c r="J87" s="17">
        <f>'[14]Data Input'!AJ103</f>
        <v>21168</v>
      </c>
      <c r="K87" s="17">
        <f t="shared" si="54"/>
        <v>41850228.976073027</v>
      </c>
      <c r="L87" s="10"/>
    </row>
    <row r="88" spans="1:20" x14ac:dyDescent="0.2">
      <c r="A88" s="32">
        <v>39845</v>
      </c>
      <c r="B88" s="106">
        <f>'[14]Data Input'!B104</f>
        <v>35865870</v>
      </c>
      <c r="C88" s="17">
        <f t="shared" ref="C88:D88" si="74">C76</f>
        <v>642.26666666666665</v>
      </c>
      <c r="D88" s="107">
        <f t="shared" si="74"/>
        <v>0</v>
      </c>
      <c r="E88" s="17">
        <v>28</v>
      </c>
      <c r="F88" s="17">
        <f>'CDM Activity'!B56</f>
        <v>342185.52444797842</v>
      </c>
      <c r="G88" s="123">
        <v>304</v>
      </c>
      <c r="H88" s="17">
        <v>0</v>
      </c>
      <c r="I88" s="34">
        <v>138.06086905825526</v>
      </c>
      <c r="J88" s="17">
        <f>'[14]Data Input'!AJ104</f>
        <v>21196</v>
      </c>
      <c r="K88" s="17">
        <f t="shared" si="54"/>
        <v>38354704.744782068</v>
      </c>
      <c r="L88" s="10"/>
    </row>
    <row r="89" spans="1:20" x14ac:dyDescent="0.2">
      <c r="A89" s="32">
        <v>39873</v>
      </c>
      <c r="B89" s="106">
        <f>'[14]Data Input'!B105</f>
        <v>36893370</v>
      </c>
      <c r="C89" s="17">
        <f t="shared" ref="C89:D89" si="75">C77</f>
        <v>532.14</v>
      </c>
      <c r="D89" s="107">
        <f t="shared" si="75"/>
        <v>0</v>
      </c>
      <c r="E89" s="17">
        <v>31</v>
      </c>
      <c r="F89" s="17">
        <f>'CDM Activity'!B57</f>
        <v>352212.26823377033</v>
      </c>
      <c r="G89" s="123">
        <v>352</v>
      </c>
      <c r="H89" s="17">
        <v>1</v>
      </c>
      <c r="I89" s="34">
        <v>137.68719399045199</v>
      </c>
      <c r="J89" s="17">
        <f>'[14]Data Input'!AJ105</f>
        <v>21181</v>
      </c>
      <c r="K89" s="17">
        <f t="shared" si="54"/>
        <v>39573281.739851788</v>
      </c>
      <c r="L89" s="10"/>
    </row>
    <row r="90" spans="1:20" x14ac:dyDescent="0.2">
      <c r="A90" s="32">
        <v>39904</v>
      </c>
      <c r="B90" s="106">
        <f>'[14]Data Input'!B106</f>
        <v>32546810</v>
      </c>
      <c r="C90" s="17">
        <f t="shared" ref="C90:D90" si="76">C78</f>
        <v>317.23333333333335</v>
      </c>
      <c r="D90" s="107">
        <f t="shared" si="76"/>
        <v>0.55333333333333323</v>
      </c>
      <c r="E90" s="17">
        <v>30</v>
      </c>
      <c r="F90" s="17">
        <f>'CDM Activity'!B58</f>
        <v>362239.01201956224</v>
      </c>
      <c r="G90" s="123">
        <v>320</v>
      </c>
      <c r="H90" s="17">
        <v>1</v>
      </c>
      <c r="I90" s="34">
        <v>137.31453031028698</v>
      </c>
      <c r="J90" s="17">
        <f>'[14]Data Input'!AJ106</f>
        <v>21170</v>
      </c>
      <c r="K90" s="17">
        <f t="shared" si="54"/>
        <v>35755432.348199606</v>
      </c>
      <c r="L90" s="10"/>
      <c r="M90" s="49"/>
    </row>
    <row r="91" spans="1:20" x14ac:dyDescent="0.2">
      <c r="A91" s="32">
        <v>39934</v>
      </c>
      <c r="B91" s="106">
        <f>'[14]Data Input'!B107</f>
        <v>30411992.307692301</v>
      </c>
      <c r="C91" s="17">
        <f t="shared" ref="C91:D91" si="77">C79</f>
        <v>143.73999999999998</v>
      </c>
      <c r="D91" s="107">
        <f t="shared" si="77"/>
        <v>15.093333333333334</v>
      </c>
      <c r="E91" s="17">
        <v>31</v>
      </c>
      <c r="F91" s="17">
        <f>'CDM Activity'!B59</f>
        <v>372265.75580535416</v>
      </c>
      <c r="G91" s="123">
        <v>320</v>
      </c>
      <c r="H91" s="17">
        <v>1</v>
      </c>
      <c r="I91" s="34">
        <v>136.94287528034204</v>
      </c>
      <c r="J91" s="17">
        <f>'[14]Data Input'!AJ107</f>
        <v>21149</v>
      </c>
      <c r="K91" s="17">
        <f t="shared" si="54"/>
        <v>35731549.332505897</v>
      </c>
      <c r="L91" s="10"/>
    </row>
    <row r="92" spans="1:20" x14ac:dyDescent="0.2">
      <c r="A92" s="32">
        <v>39965</v>
      </c>
      <c r="B92" s="106">
        <f>'[14]Data Input'!B108</f>
        <v>32954969.230769198</v>
      </c>
      <c r="C92" s="17">
        <f t="shared" ref="C92:D92" si="78">C80</f>
        <v>28.673333333333332</v>
      </c>
      <c r="D92" s="107">
        <f t="shared" si="78"/>
        <v>58.74</v>
      </c>
      <c r="E92" s="17">
        <v>30</v>
      </c>
      <c r="F92" s="17">
        <f>'CDM Activity'!B60</f>
        <v>382292.49959114607</v>
      </c>
      <c r="G92" s="123">
        <v>352</v>
      </c>
      <c r="H92" s="17">
        <v>0</v>
      </c>
      <c r="I92" s="34">
        <v>136.57222617060793</v>
      </c>
      <c r="J92" s="17">
        <f>'[14]Data Input'!AJ108</f>
        <v>21118</v>
      </c>
      <c r="K92" s="17">
        <f t="shared" si="54"/>
        <v>38944196.997797504</v>
      </c>
      <c r="L92" s="10"/>
    </row>
    <row r="93" spans="1:20" x14ac:dyDescent="0.2">
      <c r="A93" s="32">
        <v>39995</v>
      </c>
      <c r="B93" s="106">
        <f>'[14]Data Input'!B109</f>
        <v>35112530.769230798</v>
      </c>
      <c r="C93" s="17">
        <f t="shared" ref="C93:D93" si="79">C81</f>
        <v>4.4733333333333336</v>
      </c>
      <c r="D93" s="107">
        <f t="shared" si="79"/>
        <v>114.79333333333332</v>
      </c>
      <c r="E93" s="17">
        <v>31</v>
      </c>
      <c r="F93" s="17">
        <f>'CDM Activity'!B61</f>
        <v>392319.24337693799</v>
      </c>
      <c r="G93" s="123">
        <v>352</v>
      </c>
      <c r="H93" s="17">
        <v>0</v>
      </c>
      <c r="I93" s="34">
        <v>136.20258025846454</v>
      </c>
      <c r="J93" s="17">
        <f>'[14]Data Input'!AJ109</f>
        <v>21020</v>
      </c>
      <c r="K93" s="17">
        <f t="shared" si="54"/>
        <v>43944379.09477894</v>
      </c>
      <c r="L93" s="10"/>
    </row>
    <row r="94" spans="1:20" x14ac:dyDescent="0.2">
      <c r="A94" s="32">
        <v>40026</v>
      </c>
      <c r="B94" s="106">
        <f>'[14]Data Input'!B110</f>
        <v>38795184.615384601</v>
      </c>
      <c r="C94" s="17">
        <f t="shared" ref="C94:D94" si="80">C82</f>
        <v>7.64</v>
      </c>
      <c r="D94" s="107">
        <f t="shared" si="80"/>
        <v>92.953333333333319</v>
      </c>
      <c r="E94" s="17">
        <v>31</v>
      </c>
      <c r="F94" s="17">
        <f>'CDM Activity'!B62</f>
        <v>402345.9871627299</v>
      </c>
      <c r="G94" s="123">
        <v>320</v>
      </c>
      <c r="H94" s="17">
        <v>0</v>
      </c>
      <c r="I94" s="34">
        <v>135.83393482866074</v>
      </c>
      <c r="J94" s="17">
        <f>'[14]Data Input'!AJ110</f>
        <v>20991</v>
      </c>
      <c r="K94" s="17">
        <f t="shared" si="54"/>
        <v>41304652.023867674</v>
      </c>
      <c r="L94" s="10"/>
    </row>
    <row r="95" spans="1:20" x14ac:dyDescent="0.2">
      <c r="A95" s="32">
        <v>40057</v>
      </c>
      <c r="B95" s="106">
        <f>'[14]Data Input'!B111</f>
        <v>32382923.076923098</v>
      </c>
      <c r="C95" s="17">
        <f t="shared" ref="C95:D95" si="81">C83</f>
        <v>57.233333333333334</v>
      </c>
      <c r="D95" s="107">
        <f t="shared" si="81"/>
        <v>34.606666666666655</v>
      </c>
      <c r="E95" s="17">
        <v>30</v>
      </c>
      <c r="F95" s="17">
        <f>'CDM Activity'!B63</f>
        <v>412372.73094852181</v>
      </c>
      <c r="G95" s="123">
        <v>336</v>
      </c>
      <c r="H95" s="17">
        <v>1</v>
      </c>
      <c r="I95" s="34">
        <v>135.46628717329455</v>
      </c>
      <c r="J95" s="17">
        <f>'[14]Data Input'!AJ111</f>
        <v>21063</v>
      </c>
      <c r="K95" s="17">
        <f t="shared" si="54"/>
        <v>35802245.257720605</v>
      </c>
      <c r="L95" s="10"/>
    </row>
    <row r="96" spans="1:20" x14ac:dyDescent="0.2">
      <c r="A96" s="32">
        <v>40087</v>
      </c>
      <c r="B96" s="106">
        <f>'[14]Data Input'!B112</f>
        <v>32302730.769230802</v>
      </c>
      <c r="C96" s="17">
        <f t="shared" ref="C96:D96" si="82">C84</f>
        <v>233.04666666666665</v>
      </c>
      <c r="D96" s="107">
        <f t="shared" si="82"/>
        <v>3.8266666666666671</v>
      </c>
      <c r="E96" s="17">
        <v>31</v>
      </c>
      <c r="F96" s="17">
        <f>'CDM Activity'!B64</f>
        <v>422399.47473431373</v>
      </c>
      <c r="G96" s="123">
        <v>336</v>
      </c>
      <c r="H96" s="17">
        <v>1</v>
      </c>
      <c r="I96" s="34">
        <v>135.09963459179312</v>
      </c>
      <c r="J96" s="17">
        <f>'[14]Data Input'!AJ112</f>
        <v>21140</v>
      </c>
      <c r="K96" s="17">
        <f t="shared" si="54"/>
        <v>35758389.033105329</v>
      </c>
      <c r="L96" s="10"/>
    </row>
    <row r="97" spans="1:12" x14ac:dyDescent="0.2">
      <c r="A97" s="32">
        <v>40118</v>
      </c>
      <c r="B97" s="106">
        <f>'[14]Data Input'!B113</f>
        <v>32596484.615384601</v>
      </c>
      <c r="C97" s="17">
        <f t="shared" ref="C97:D97" si="83">C85</f>
        <v>377.29333333333329</v>
      </c>
      <c r="D97" s="107">
        <f t="shared" si="83"/>
        <v>0</v>
      </c>
      <c r="E97" s="17">
        <v>30</v>
      </c>
      <c r="F97" s="17">
        <f>'CDM Activity'!B65</f>
        <v>432426.21852010564</v>
      </c>
      <c r="G97" s="123">
        <v>320</v>
      </c>
      <c r="H97" s="17">
        <v>1</v>
      </c>
      <c r="I97" s="34">
        <v>134.733974390893</v>
      </c>
      <c r="J97" s="17">
        <f>'[14]Data Input'!AJ113</f>
        <v>21205</v>
      </c>
      <c r="K97" s="17">
        <f t="shared" si="54"/>
        <v>35804848.994002581</v>
      </c>
      <c r="L97" s="10"/>
    </row>
    <row r="98" spans="1:12" x14ac:dyDescent="0.2">
      <c r="A98" s="32">
        <v>40148</v>
      </c>
      <c r="B98" s="106">
        <f>'[14]Data Input'!B114</f>
        <v>37057807.692307703</v>
      </c>
      <c r="C98" s="17">
        <f t="shared" ref="C98:D98" si="84">C86</f>
        <v>569.36000000000013</v>
      </c>
      <c r="D98" s="107">
        <f t="shared" si="84"/>
        <v>0</v>
      </c>
      <c r="E98" s="17">
        <v>31</v>
      </c>
      <c r="F98" s="17">
        <f>'CDM Activity'!B66</f>
        <v>442452.96230589756</v>
      </c>
      <c r="G98" s="123">
        <v>352</v>
      </c>
      <c r="H98" s="17">
        <v>0</v>
      </c>
      <c r="I98" s="34">
        <v>134.36930388462019</v>
      </c>
      <c r="J98" s="17">
        <f>'[14]Data Input'!AJ114</f>
        <v>21285</v>
      </c>
      <c r="K98" s="17">
        <f t="shared" si="54"/>
        <v>40091740.685146168</v>
      </c>
      <c r="L98" s="10"/>
    </row>
    <row r="99" spans="1:12" x14ac:dyDescent="0.2">
      <c r="A99" s="32">
        <v>40179</v>
      </c>
      <c r="B99" s="106">
        <f>'[14]Data Input'!B117</f>
        <v>38555453.846153803</v>
      </c>
      <c r="C99" s="17">
        <f t="shared" ref="C99:D99" si="85">C87</f>
        <v>690.88666666666688</v>
      </c>
      <c r="D99" s="107">
        <f t="shared" si="85"/>
        <v>0</v>
      </c>
      <c r="E99" s="17">
        <v>31</v>
      </c>
      <c r="F99" s="17">
        <f>'CDM Activity'!B67</f>
        <v>439903.3128392903</v>
      </c>
      <c r="G99" s="17">
        <v>320</v>
      </c>
      <c r="H99" s="17">
        <v>0</v>
      </c>
      <c r="I99" s="34">
        <v>134.73334561620703</v>
      </c>
      <c r="J99" s="17">
        <f>'[14]Data Input'!AJ117</f>
        <v>21337</v>
      </c>
      <c r="K99" s="17">
        <f t="shared" si="54"/>
        <v>40617650.501162075</v>
      </c>
      <c r="L99" s="10"/>
    </row>
    <row r="100" spans="1:12" x14ac:dyDescent="0.2">
      <c r="A100" s="32">
        <v>40210</v>
      </c>
      <c r="B100" s="106">
        <f>'[14]Data Input'!B118</f>
        <v>35503923.076923102</v>
      </c>
      <c r="C100" s="17">
        <f t="shared" ref="C100:D100" si="86">C88</f>
        <v>642.26666666666665</v>
      </c>
      <c r="D100" s="107">
        <f t="shared" si="86"/>
        <v>0</v>
      </c>
      <c r="E100" s="17">
        <v>28</v>
      </c>
      <c r="F100" s="17">
        <f>'CDM Activity'!B68</f>
        <v>437353.66337268305</v>
      </c>
      <c r="G100" s="17">
        <v>304</v>
      </c>
      <c r="H100" s="17">
        <v>0</v>
      </c>
      <c r="I100" s="34">
        <v>135.09837363244745</v>
      </c>
      <c r="J100" s="17">
        <f>'[14]Data Input'!AJ118</f>
        <v>21373</v>
      </c>
      <c r="K100" s="17">
        <f t="shared" si="54"/>
        <v>37615014.421987377</v>
      </c>
      <c r="L100" s="10"/>
    </row>
    <row r="101" spans="1:12" x14ac:dyDescent="0.2">
      <c r="A101" s="32">
        <v>40238</v>
      </c>
      <c r="B101" s="106">
        <f>'[14]Data Input'!B119</f>
        <v>36616969.230769202</v>
      </c>
      <c r="C101" s="17">
        <f t="shared" ref="C101:D101" si="87">C89</f>
        <v>532.14</v>
      </c>
      <c r="D101" s="107">
        <f t="shared" si="87"/>
        <v>0</v>
      </c>
      <c r="E101" s="17">
        <v>31</v>
      </c>
      <c r="F101" s="17">
        <f>'CDM Activity'!B69</f>
        <v>434804.01390607579</v>
      </c>
      <c r="G101" s="17">
        <v>368</v>
      </c>
      <c r="H101" s="17">
        <v>1</v>
      </c>
      <c r="I101" s="34">
        <v>135.46439060544563</v>
      </c>
      <c r="J101" s="17">
        <f>'[14]Data Input'!AJ119</f>
        <v>21285</v>
      </c>
      <c r="K101" s="17">
        <f t="shared" si="54"/>
        <v>39326479.569173358</v>
      </c>
      <c r="L101" s="10"/>
    </row>
    <row r="102" spans="1:12" x14ac:dyDescent="0.2">
      <c r="A102" s="32">
        <v>40269</v>
      </c>
      <c r="B102" s="106">
        <f>'[14]Data Input'!B120</f>
        <v>31620684.615384601</v>
      </c>
      <c r="C102" s="17">
        <f t="shared" ref="C102:D102" si="88">C90</f>
        <v>317.23333333333335</v>
      </c>
      <c r="D102" s="107">
        <f t="shared" si="88"/>
        <v>0.55333333333333323</v>
      </c>
      <c r="E102" s="17">
        <v>30</v>
      </c>
      <c r="F102" s="17">
        <f>'CDM Activity'!B70</f>
        <v>432254.36443946854</v>
      </c>
      <c r="G102" s="17">
        <v>320</v>
      </c>
      <c r="H102" s="17">
        <v>1</v>
      </c>
      <c r="I102" s="34">
        <v>135.83139921454512</v>
      </c>
      <c r="J102" s="17">
        <f>'[14]Data Input'!AJ120</f>
        <v>21292</v>
      </c>
      <c r="K102" s="17">
        <f t="shared" si="54"/>
        <v>35211240.991541475</v>
      </c>
      <c r="L102" s="10"/>
    </row>
    <row r="103" spans="1:12" x14ac:dyDescent="0.2">
      <c r="A103" s="32">
        <v>40299</v>
      </c>
      <c r="B103" s="106">
        <f>'[14]Data Input'!B121</f>
        <v>34713300</v>
      </c>
      <c r="C103" s="17">
        <f t="shared" ref="C103:D103" si="89">C91</f>
        <v>143.73999999999998</v>
      </c>
      <c r="D103" s="107">
        <f t="shared" si="89"/>
        <v>15.093333333333334</v>
      </c>
      <c r="E103" s="17">
        <v>31</v>
      </c>
      <c r="F103" s="17">
        <f>'CDM Activity'!B71</f>
        <v>429704.71497286129</v>
      </c>
      <c r="G103" s="17">
        <v>320</v>
      </c>
      <c r="H103" s="17">
        <v>1</v>
      </c>
      <c r="I103" s="34">
        <v>136.19940214634852</v>
      </c>
      <c r="J103" s="17">
        <f>'[14]Data Input'!AJ121</f>
        <v>21256</v>
      </c>
      <c r="K103" s="17">
        <f t="shared" si="54"/>
        <v>35285107.458916053</v>
      </c>
      <c r="L103" s="10"/>
    </row>
    <row r="104" spans="1:12" x14ac:dyDescent="0.2">
      <c r="A104" s="32">
        <v>40330</v>
      </c>
      <c r="B104" s="106">
        <f>'[14]Data Input'!B122</f>
        <v>38175215.384615399</v>
      </c>
      <c r="C104" s="17">
        <f t="shared" ref="C104:D104" si="90">C92</f>
        <v>28.673333333333332</v>
      </c>
      <c r="D104" s="107">
        <f t="shared" si="90"/>
        <v>58.74</v>
      </c>
      <c r="E104" s="17">
        <v>30</v>
      </c>
      <c r="F104" s="17">
        <f>'CDM Activity'!B72</f>
        <v>427155.06550625403</v>
      </c>
      <c r="G104" s="17">
        <v>352</v>
      </c>
      <c r="H104" s="17">
        <v>0</v>
      </c>
      <c r="I104" s="34">
        <v>136.56840209473719</v>
      </c>
      <c r="J104" s="17">
        <f>'[14]Data Input'!AJ122</f>
        <v>21221</v>
      </c>
      <c r="K104" s="17">
        <f t="shared" si="54"/>
        <v>38595504.607275933</v>
      </c>
      <c r="L104" s="10"/>
    </row>
    <row r="105" spans="1:12" x14ac:dyDescent="0.2">
      <c r="A105" s="32">
        <v>40360</v>
      </c>
      <c r="B105" s="106">
        <f>'[14]Data Input'!B123</f>
        <v>43449461.538461499</v>
      </c>
      <c r="C105" s="17">
        <f t="shared" ref="C105:D105" si="91">C93</f>
        <v>4.4733333333333336</v>
      </c>
      <c r="D105" s="107">
        <f t="shared" si="91"/>
        <v>114.79333333333332</v>
      </c>
      <c r="E105" s="17">
        <v>31</v>
      </c>
      <c r="F105" s="17">
        <f>'CDM Activity'!B73</f>
        <v>424605.41603964678</v>
      </c>
      <c r="G105" s="17">
        <v>336</v>
      </c>
      <c r="H105" s="17">
        <v>0</v>
      </c>
      <c r="I105" s="34">
        <v>136.93840176089088</v>
      </c>
      <c r="J105" s="17">
        <f>'[14]Data Input'!AJ123</f>
        <v>21238</v>
      </c>
      <c r="K105" s="17">
        <f t="shared" si="54"/>
        <v>43298297.51827766</v>
      </c>
      <c r="L105" s="10"/>
    </row>
    <row r="106" spans="1:12" x14ac:dyDescent="0.2">
      <c r="A106" s="32">
        <v>40391</v>
      </c>
      <c r="B106" s="106">
        <f>'[14]Data Input'!B124</f>
        <v>42901115.384615399</v>
      </c>
      <c r="C106" s="17">
        <f t="shared" ref="C106:D106" si="92">C94</f>
        <v>7.64</v>
      </c>
      <c r="D106" s="107">
        <f t="shared" si="92"/>
        <v>92.953333333333319</v>
      </c>
      <c r="E106" s="17">
        <v>31</v>
      </c>
      <c r="F106" s="17">
        <f>'CDM Activity'!B74</f>
        <v>422055.76657303952</v>
      </c>
      <c r="G106" s="17">
        <v>336</v>
      </c>
      <c r="H106" s="17">
        <v>0</v>
      </c>
      <c r="I106" s="34">
        <v>137.30940385330757</v>
      </c>
      <c r="J106" s="17">
        <f>'[14]Data Input'!AJ124</f>
        <v>21219</v>
      </c>
      <c r="K106" s="17">
        <f t="shared" si="54"/>
        <v>41546597.268530644</v>
      </c>
      <c r="L106" s="10"/>
    </row>
    <row r="107" spans="1:12" x14ac:dyDescent="0.2">
      <c r="A107" s="32">
        <v>40422</v>
      </c>
      <c r="B107" s="106">
        <f>'[14]Data Input'!B125</f>
        <v>34876669.230769202</v>
      </c>
      <c r="C107" s="17">
        <f t="shared" ref="C107:D107" si="93">C95</f>
        <v>57.233333333333334</v>
      </c>
      <c r="D107" s="107">
        <f t="shared" si="93"/>
        <v>34.606666666666655</v>
      </c>
      <c r="E107" s="17">
        <v>30</v>
      </c>
      <c r="F107" s="17">
        <f>'CDM Activity'!B75</f>
        <v>419506.11710643227</v>
      </c>
      <c r="G107" s="17">
        <v>336</v>
      </c>
      <c r="H107" s="17">
        <v>1</v>
      </c>
      <c r="I107" s="34">
        <v>137.68141108782325</v>
      </c>
      <c r="J107" s="17">
        <f>'[14]Data Input'!AJ125</f>
        <v>21290</v>
      </c>
      <c r="K107" s="17">
        <f t="shared" si="54"/>
        <v>35746801.316403873</v>
      </c>
      <c r="L107" s="10"/>
    </row>
    <row r="108" spans="1:12" x14ac:dyDescent="0.2">
      <c r="A108" s="32">
        <v>40452</v>
      </c>
      <c r="B108" s="106">
        <f>'[14]Data Input'!B126</f>
        <v>33323746.1538461</v>
      </c>
      <c r="C108" s="17">
        <f t="shared" ref="C108:D108" si="94">C96</f>
        <v>233.04666666666665</v>
      </c>
      <c r="D108" s="107">
        <f t="shared" si="94"/>
        <v>3.8266666666666671</v>
      </c>
      <c r="E108" s="17">
        <v>31</v>
      </c>
      <c r="F108" s="17">
        <f>'CDM Activity'!B76</f>
        <v>416956.46763982502</v>
      </c>
      <c r="G108" s="17">
        <v>320</v>
      </c>
      <c r="H108" s="17">
        <v>1</v>
      </c>
      <c r="I108" s="34">
        <v>138.0544261876318</v>
      </c>
      <c r="J108" s="17">
        <f>'[14]Data Input'!AJ126</f>
        <v>21329</v>
      </c>
      <c r="K108" s="17">
        <f t="shared" si="54"/>
        <v>35405555.905808888</v>
      </c>
      <c r="L108" s="10"/>
    </row>
    <row r="109" spans="1:12" x14ac:dyDescent="0.2">
      <c r="A109" s="32">
        <v>40483</v>
      </c>
      <c r="B109" s="106">
        <f>'[14]Data Input'!B127</f>
        <v>35291992.307692297</v>
      </c>
      <c r="C109" s="17">
        <f t="shared" ref="C109:D109" si="95">C97</f>
        <v>377.29333333333329</v>
      </c>
      <c r="D109" s="107">
        <f t="shared" si="95"/>
        <v>0</v>
      </c>
      <c r="E109" s="17">
        <v>30</v>
      </c>
      <c r="F109" s="17">
        <f>'CDM Activity'!B77</f>
        <v>414406.81817321776</v>
      </c>
      <c r="G109" s="17">
        <v>336</v>
      </c>
      <c r="H109" s="17">
        <v>1</v>
      </c>
      <c r="I109" s="34">
        <v>138.42845188330503</v>
      </c>
      <c r="J109" s="17">
        <f>'[14]Data Input'!AJ127</f>
        <v>21323</v>
      </c>
      <c r="K109" s="17">
        <f t="shared" si="54"/>
        <v>36340042.687870391</v>
      </c>
      <c r="L109" s="10"/>
    </row>
    <row r="110" spans="1:12" x14ac:dyDescent="0.2">
      <c r="A110" s="32">
        <v>40513</v>
      </c>
      <c r="B110" s="106">
        <f>'[14]Data Input'!B128</f>
        <v>38566092.307692297</v>
      </c>
      <c r="C110" s="17">
        <f t="shared" ref="C110:D110" si="96">C98</f>
        <v>569.36000000000013</v>
      </c>
      <c r="D110" s="107">
        <f t="shared" si="96"/>
        <v>0</v>
      </c>
      <c r="E110" s="17">
        <v>31</v>
      </c>
      <c r="F110" s="17">
        <f>'CDM Activity'!B78</f>
        <v>411857.16870661051</v>
      </c>
      <c r="G110" s="17">
        <v>368</v>
      </c>
      <c r="H110" s="17">
        <v>0</v>
      </c>
      <c r="I110" s="34">
        <v>138.80349091281266</v>
      </c>
      <c r="J110" s="17">
        <f>'[14]Data Input'!AJ128</f>
        <v>21421</v>
      </c>
      <c r="K110" s="17">
        <f t="shared" si="54"/>
        <v>40724683.862082258</v>
      </c>
      <c r="L110" s="10"/>
    </row>
    <row r="111" spans="1:12" x14ac:dyDescent="0.2">
      <c r="A111" s="32">
        <v>40544</v>
      </c>
      <c r="B111" s="106">
        <f>'[14]Data Input'!B131</f>
        <v>40900176.416666664</v>
      </c>
      <c r="C111" s="17">
        <f t="shared" ref="C111:D111" si="97">C99</f>
        <v>690.88666666666688</v>
      </c>
      <c r="D111" s="107">
        <f t="shared" si="97"/>
        <v>0</v>
      </c>
      <c r="E111" s="108">
        <v>31</v>
      </c>
      <c r="F111" s="17">
        <f>'CDM Activity'!B79</f>
        <v>437345.132977342</v>
      </c>
      <c r="G111" s="17">
        <v>336</v>
      </c>
      <c r="H111" s="17">
        <v>0</v>
      </c>
      <c r="I111" s="34">
        <v>139.10070640604135</v>
      </c>
      <c r="J111" s="17">
        <f>'[14]Data Input'!AJ131</f>
        <v>21445.222222222223</v>
      </c>
      <c r="K111" s="17">
        <f t="shared" si="54"/>
        <v>41032672.514670007</v>
      </c>
      <c r="L111" s="10"/>
    </row>
    <row r="112" spans="1:12" x14ac:dyDescent="0.2">
      <c r="A112" s="32">
        <v>40575</v>
      </c>
      <c r="B112" s="106">
        <f>'[14]Data Input'!B132</f>
        <v>37002004.416666664</v>
      </c>
      <c r="C112" s="17">
        <f t="shared" ref="C112:D112" si="98">C100</f>
        <v>642.26666666666665</v>
      </c>
      <c r="D112" s="107">
        <f t="shared" si="98"/>
        <v>0</v>
      </c>
      <c r="E112" s="108">
        <v>28</v>
      </c>
      <c r="F112" s="17">
        <f>'CDM Activity'!B80</f>
        <v>462833.09724807349</v>
      </c>
      <c r="G112" s="17">
        <v>304</v>
      </c>
      <c r="H112" s="17">
        <v>0</v>
      </c>
      <c r="I112" s="34">
        <v>139.39855831733732</v>
      </c>
      <c r="J112" s="17">
        <f>'[14]Data Input'!AJ132</f>
        <v>21469.444444444445</v>
      </c>
      <c r="K112" s="17">
        <f t="shared" si="54"/>
        <v>37416976.603019156</v>
      </c>
      <c r="L112" s="10"/>
    </row>
    <row r="113" spans="1:12" x14ac:dyDescent="0.2">
      <c r="A113" s="32">
        <v>40603</v>
      </c>
      <c r="B113" s="106">
        <f>'[14]Data Input'!B133</f>
        <v>39251866.416666664</v>
      </c>
      <c r="C113" s="17">
        <f t="shared" ref="C113:D113" si="99">C101</f>
        <v>532.14</v>
      </c>
      <c r="D113" s="107">
        <f t="shared" si="99"/>
        <v>0</v>
      </c>
      <c r="E113" s="108">
        <v>31</v>
      </c>
      <c r="F113" s="17">
        <f>'CDM Activity'!B81</f>
        <v>488321.06151880499</v>
      </c>
      <c r="G113" s="17">
        <v>368</v>
      </c>
      <c r="H113" s="17">
        <v>1</v>
      </c>
      <c r="I113" s="34">
        <v>139.69704800944226</v>
      </c>
      <c r="J113" s="17">
        <f>'[14]Data Input'!AJ133</f>
        <v>21493.666666666672</v>
      </c>
      <c r="K113" s="17">
        <f t="shared" si="54"/>
        <v>38910520.586776972</v>
      </c>
      <c r="L113" s="10"/>
    </row>
    <row r="114" spans="1:12" x14ac:dyDescent="0.2">
      <c r="A114" s="32">
        <v>40634</v>
      </c>
      <c r="B114" s="106">
        <f>'[14]Data Input'!B134</f>
        <v>34076716.416666664</v>
      </c>
      <c r="C114" s="17">
        <f t="shared" ref="C114:D114" si="100">C102</f>
        <v>317.23333333333335</v>
      </c>
      <c r="D114" s="107">
        <f t="shared" si="100"/>
        <v>0.55333333333333323</v>
      </c>
      <c r="E114" s="108">
        <v>30</v>
      </c>
      <c r="F114" s="17">
        <f>'CDM Activity'!B82</f>
        <v>513809.02578953648</v>
      </c>
      <c r="G114" s="17">
        <v>320</v>
      </c>
      <c r="H114" s="17">
        <v>1</v>
      </c>
      <c r="I114" s="34">
        <v>139.99617684801592</v>
      </c>
      <c r="J114" s="17">
        <f>'[14]Data Input'!AJ134</f>
        <v>21517.888888888894</v>
      </c>
      <c r="K114" s="17">
        <f t="shared" si="54"/>
        <v>34577360.845716923</v>
      </c>
      <c r="L114" s="10"/>
    </row>
    <row r="115" spans="1:12" x14ac:dyDescent="0.2">
      <c r="A115" s="32">
        <v>40664</v>
      </c>
      <c r="B115" s="106">
        <f>'[14]Data Input'!B135</f>
        <v>34411223.416666664</v>
      </c>
      <c r="C115" s="17">
        <f t="shared" ref="C115:D115" si="101">C103</f>
        <v>143.73999999999998</v>
      </c>
      <c r="D115" s="107">
        <f t="shared" si="101"/>
        <v>15.093333333333334</v>
      </c>
      <c r="E115" s="108">
        <v>31</v>
      </c>
      <c r="F115" s="17">
        <f>'CDM Activity'!B83</f>
        <v>539296.99006026797</v>
      </c>
      <c r="G115" s="17">
        <v>336</v>
      </c>
      <c r="H115" s="17">
        <v>1</v>
      </c>
      <c r="I115" s="34">
        <v>140.29594620164227</v>
      </c>
      <c r="J115" s="17">
        <f>'[14]Data Input'!AJ135</f>
        <v>21542.11111111112</v>
      </c>
      <c r="K115" s="17">
        <f t="shared" si="54"/>
        <v>34828444.818711318</v>
      </c>
      <c r="L115" s="10"/>
    </row>
    <row r="116" spans="1:12" x14ac:dyDescent="0.2">
      <c r="A116" s="32">
        <v>40695</v>
      </c>
      <c r="B116" s="106">
        <f>'[14]Data Input'!B136</f>
        <v>38049473.416666664</v>
      </c>
      <c r="C116" s="17">
        <f t="shared" ref="C116:D116" si="102">C104</f>
        <v>28.673333333333332</v>
      </c>
      <c r="D116" s="107">
        <f t="shared" si="102"/>
        <v>58.74</v>
      </c>
      <c r="E116" s="108">
        <v>30</v>
      </c>
      <c r="F116" s="17">
        <f>'CDM Activity'!B84</f>
        <v>564784.95433099952</v>
      </c>
      <c r="G116" s="17">
        <v>352</v>
      </c>
      <c r="H116" s="17">
        <v>0</v>
      </c>
      <c r="I116" s="34">
        <v>140.59635744183578</v>
      </c>
      <c r="J116" s="17">
        <f>'[14]Data Input'!AJ136</f>
        <v>21566.333333333343</v>
      </c>
      <c r="K116" s="17">
        <f t="shared" si="54"/>
        <v>37525782.134595051</v>
      </c>
      <c r="L116" s="10"/>
    </row>
    <row r="117" spans="1:12" x14ac:dyDescent="0.2">
      <c r="A117" s="32">
        <v>40725</v>
      </c>
      <c r="B117" s="106">
        <f>'[14]Data Input'!B137</f>
        <v>46034684.416666664</v>
      </c>
      <c r="C117" s="17">
        <f t="shared" ref="C117:D117" si="103">C105</f>
        <v>4.4733333333333336</v>
      </c>
      <c r="D117" s="107">
        <f t="shared" si="103"/>
        <v>114.79333333333332</v>
      </c>
      <c r="E117" s="108">
        <v>31</v>
      </c>
      <c r="F117" s="17">
        <f>'CDM Activity'!B85</f>
        <v>590272.91860173107</v>
      </c>
      <c r="G117" s="17">
        <v>320</v>
      </c>
      <c r="H117" s="17">
        <v>0</v>
      </c>
      <c r="I117" s="34">
        <v>140.89741194304773</v>
      </c>
      <c r="J117" s="17">
        <f>'[14]Data Input'!AJ137</f>
        <v>21590.555555555569</v>
      </c>
      <c r="K117" s="17">
        <f t="shared" si="54"/>
        <v>41615515.213120632</v>
      </c>
      <c r="L117" s="10"/>
    </row>
    <row r="118" spans="1:12" x14ac:dyDescent="0.2">
      <c r="A118" s="32">
        <v>40756</v>
      </c>
      <c r="B118" s="106">
        <f>'[14]Data Input'!B138</f>
        <v>42762335.416666664</v>
      </c>
      <c r="C118" s="17">
        <f t="shared" ref="C118:D118" si="104">C106</f>
        <v>7.64</v>
      </c>
      <c r="D118" s="107">
        <f t="shared" si="104"/>
        <v>92.953333333333319</v>
      </c>
      <c r="E118" s="108">
        <v>31</v>
      </c>
      <c r="F118" s="17">
        <f>'CDM Activity'!B86</f>
        <v>615760.88287246262</v>
      </c>
      <c r="G118" s="17">
        <v>352</v>
      </c>
      <c r="H118" s="17">
        <v>0</v>
      </c>
      <c r="I118" s="34">
        <v>141.19911108267243</v>
      </c>
      <c r="J118" s="17">
        <f>'[14]Data Input'!AJ138</f>
        <v>21614.777777777792</v>
      </c>
      <c r="K118" s="17">
        <f t="shared" si="54"/>
        <v>40436171.138041414</v>
      </c>
      <c r="L118" s="10"/>
    </row>
    <row r="119" spans="1:12" x14ac:dyDescent="0.2">
      <c r="A119" s="32">
        <v>40787</v>
      </c>
      <c r="B119" s="106">
        <f>'[14]Data Input'!B139</f>
        <v>34007841.416666664</v>
      </c>
      <c r="C119" s="17">
        <f t="shared" ref="C119:D119" si="105">C107</f>
        <v>57.233333333333334</v>
      </c>
      <c r="D119" s="107">
        <f t="shared" si="105"/>
        <v>34.606666666666655</v>
      </c>
      <c r="E119" s="108">
        <v>30</v>
      </c>
      <c r="F119" s="17">
        <f>'CDM Activity'!B87</f>
        <v>641248.84714319417</v>
      </c>
      <c r="G119" s="17">
        <v>336</v>
      </c>
      <c r="H119" s="17">
        <v>1</v>
      </c>
      <c r="I119" s="34">
        <v>141.50145624105357</v>
      </c>
      <c r="J119" s="17">
        <f>'[14]Data Input'!AJ139</f>
        <v>21639.000000000015</v>
      </c>
      <c r="K119" s="17">
        <f t="shared" si="54"/>
        <v>34023315.353438497</v>
      </c>
      <c r="L119" s="10"/>
    </row>
    <row r="120" spans="1:12" x14ac:dyDescent="0.2">
      <c r="A120" s="32">
        <v>40817</v>
      </c>
      <c r="B120" s="106">
        <f>'[14]Data Input'!B140</f>
        <v>32896105.416666668</v>
      </c>
      <c r="C120" s="17">
        <f t="shared" ref="C120:D120" si="106">C108</f>
        <v>233.04666666666665</v>
      </c>
      <c r="D120" s="107">
        <f t="shared" si="106"/>
        <v>3.8266666666666671</v>
      </c>
      <c r="E120" s="108">
        <v>31</v>
      </c>
      <c r="F120" s="17">
        <f>'CDM Activity'!B88</f>
        <v>666736.81141392572</v>
      </c>
      <c r="G120" s="17">
        <v>320</v>
      </c>
      <c r="H120" s="17">
        <v>1</v>
      </c>
      <c r="I120" s="34">
        <v>141.80444880149057</v>
      </c>
      <c r="J120" s="17">
        <f>'[14]Data Input'!AJ140</f>
        <v>21663.222222222237</v>
      </c>
      <c r="K120" s="17">
        <f t="shared" si="54"/>
        <v>33464148.77941535</v>
      </c>
      <c r="L120" s="10"/>
    </row>
    <row r="121" spans="1:12" x14ac:dyDescent="0.2">
      <c r="A121" s="32">
        <v>40848</v>
      </c>
      <c r="B121" s="106">
        <f>'[14]Data Input'!B141</f>
        <v>34363376.416666664</v>
      </c>
      <c r="C121" s="17">
        <f t="shared" ref="C121:D121" si="107">C109</f>
        <v>377.29333333333329</v>
      </c>
      <c r="D121" s="107">
        <f t="shared" si="107"/>
        <v>0</v>
      </c>
      <c r="E121" s="108">
        <v>30</v>
      </c>
      <c r="F121" s="17">
        <f>'CDM Activity'!B89</f>
        <v>692224.77568465727</v>
      </c>
      <c r="G121" s="17">
        <v>352</v>
      </c>
      <c r="H121" s="17">
        <v>1</v>
      </c>
      <c r="I121" s="34">
        <v>142.10809015024478</v>
      </c>
      <c r="J121" s="17">
        <f>'[14]Data Input'!AJ141</f>
        <v>21687.44444444446</v>
      </c>
      <c r="K121" s="17">
        <f t="shared" si="54"/>
        <v>34575853.067096666</v>
      </c>
      <c r="L121" s="10"/>
    </row>
    <row r="122" spans="1:12" x14ac:dyDescent="0.2">
      <c r="A122" s="32">
        <v>40878</v>
      </c>
      <c r="B122" s="106">
        <f>'[14]Data Input'!B142</f>
        <v>37465044.416666664</v>
      </c>
      <c r="C122" s="17">
        <f t="shared" ref="C122:D122" si="108">C110</f>
        <v>569.36000000000013</v>
      </c>
      <c r="D122" s="17">
        <f t="shared" si="108"/>
        <v>0</v>
      </c>
      <c r="E122" s="108">
        <v>31</v>
      </c>
      <c r="F122" s="17">
        <f>'CDM Activity'!B90</f>
        <v>717712.73995538882</v>
      </c>
      <c r="G122" s="17">
        <v>336</v>
      </c>
      <c r="H122" s="17">
        <v>0</v>
      </c>
      <c r="I122" s="34">
        <v>142.41238167654581</v>
      </c>
      <c r="J122" s="17">
        <f>'[14]Data Input'!AJ142</f>
        <v>21711.66666666669</v>
      </c>
      <c r="K122" s="17">
        <f t="shared" si="54"/>
        <v>37557157.070736416</v>
      </c>
      <c r="L122" s="10"/>
    </row>
    <row r="123" spans="1:12" x14ac:dyDescent="0.2">
      <c r="A123" s="32">
        <v>40909</v>
      </c>
      <c r="B123" s="106">
        <f>'[14]Data Input'!B145</f>
        <v>38332945</v>
      </c>
      <c r="C123" s="17">
        <f t="shared" ref="C123:D123" si="109">C111</f>
        <v>690.88666666666688</v>
      </c>
      <c r="D123" s="17">
        <f t="shared" si="109"/>
        <v>0</v>
      </c>
      <c r="E123" s="17">
        <v>31</v>
      </c>
      <c r="F123" s="17">
        <f>'CDM Activity'!B91</f>
        <v>717422.3662677079</v>
      </c>
      <c r="G123" s="17">
        <v>336</v>
      </c>
      <c r="H123" s="17">
        <v>0</v>
      </c>
      <c r="I123" s="34">
        <v>142.61257743956915</v>
      </c>
      <c r="J123" s="17">
        <f>'[14]Data Input'!AJ145</f>
        <v>21863</v>
      </c>
      <c r="K123" s="17">
        <f t="shared" si="54"/>
        <v>38855784.099694237</v>
      </c>
      <c r="L123" s="10"/>
    </row>
    <row r="124" spans="1:12" x14ac:dyDescent="0.2">
      <c r="A124" s="32">
        <v>40940</v>
      </c>
      <c r="B124" s="106">
        <f>'[14]Data Input'!B146</f>
        <v>35663980</v>
      </c>
      <c r="C124" s="17">
        <f t="shared" ref="C124:D124" si="110">C112</f>
        <v>642.26666666666665</v>
      </c>
      <c r="D124" s="17">
        <f t="shared" si="110"/>
        <v>0</v>
      </c>
      <c r="E124" s="17">
        <v>29</v>
      </c>
      <c r="F124" s="17">
        <f>'CDM Activity'!B92</f>
        <v>717131.99258002697</v>
      </c>
      <c r="G124" s="17">
        <v>320</v>
      </c>
      <c r="H124" s="17">
        <v>0</v>
      </c>
      <c r="I124" s="34">
        <v>142.81305462716429</v>
      </c>
      <c r="J124" s="17">
        <f>'[14]Data Input'!AJ146</f>
        <v>21957</v>
      </c>
      <c r="K124" s="17">
        <f t="shared" si="54"/>
        <v>36538476.843899056</v>
      </c>
      <c r="L124" s="10"/>
    </row>
    <row r="125" spans="1:12" x14ac:dyDescent="0.2">
      <c r="A125" s="32">
        <v>40969</v>
      </c>
      <c r="B125" s="106">
        <f>'[14]Data Input'!B147</f>
        <v>34848118</v>
      </c>
      <c r="C125" s="17">
        <f t="shared" ref="C125:D125" si="111">C113</f>
        <v>532.14</v>
      </c>
      <c r="D125" s="17">
        <f t="shared" si="111"/>
        <v>0</v>
      </c>
      <c r="E125" s="17">
        <v>31</v>
      </c>
      <c r="F125" s="17">
        <f>'CDM Activity'!B93</f>
        <v>716841.61889234604</v>
      </c>
      <c r="G125" s="17">
        <v>352</v>
      </c>
      <c r="H125" s="17">
        <v>1</v>
      </c>
      <c r="I125" s="34">
        <v>143.01381363494295</v>
      </c>
      <c r="J125" s="17">
        <f>'[14]Data Input'!AJ147</f>
        <v>21953</v>
      </c>
      <c r="K125" s="17">
        <f t="shared" si="54"/>
        <v>36739215.579301447</v>
      </c>
      <c r="L125" s="10"/>
    </row>
    <row r="126" spans="1:12" x14ac:dyDescent="0.2">
      <c r="A126" s="32">
        <v>41000</v>
      </c>
      <c r="B126" s="106">
        <f>'[14]Data Input'!B148</f>
        <v>29360304</v>
      </c>
      <c r="C126" s="17">
        <f t="shared" ref="C126:D126" si="112">C114</f>
        <v>317.23333333333335</v>
      </c>
      <c r="D126" s="17">
        <f t="shared" si="112"/>
        <v>0.55333333333333323</v>
      </c>
      <c r="E126" s="17">
        <v>30</v>
      </c>
      <c r="F126" s="17">
        <f>'CDM Activity'!B94</f>
        <v>716551.24520466512</v>
      </c>
      <c r="G126" s="17">
        <v>320</v>
      </c>
      <c r="H126" s="17">
        <v>1</v>
      </c>
      <c r="I126" s="34">
        <v>143.21485485907297</v>
      </c>
      <c r="J126" s="17">
        <f>'[14]Data Input'!AJ148</f>
        <v>21950</v>
      </c>
      <c r="K126" s="17">
        <f t="shared" si="54"/>
        <v>33001555.545563493</v>
      </c>
      <c r="L126" s="10"/>
    </row>
    <row r="127" spans="1:12" x14ac:dyDescent="0.2">
      <c r="A127" s="32">
        <v>41030</v>
      </c>
      <c r="B127" s="106">
        <f>'[14]Data Input'!B149</f>
        <v>33203358</v>
      </c>
      <c r="C127" s="17">
        <f t="shared" ref="C127:D127" si="113">C115</f>
        <v>143.73999999999998</v>
      </c>
      <c r="D127" s="17">
        <f t="shared" si="113"/>
        <v>15.093333333333334</v>
      </c>
      <c r="E127" s="17">
        <v>31</v>
      </c>
      <c r="F127" s="17">
        <f>'CDM Activity'!B95</f>
        <v>716260.87151698419</v>
      </c>
      <c r="G127" s="17">
        <v>352</v>
      </c>
      <c r="H127" s="17">
        <v>1</v>
      </c>
      <c r="I127" s="34">
        <v>143.41617869627913</v>
      </c>
      <c r="J127" s="17">
        <f>'[14]Data Input'!AJ149</f>
        <v>21973</v>
      </c>
      <c r="K127" s="17">
        <f t="shared" si="54"/>
        <v>33848139.225879982</v>
      </c>
      <c r="L127" s="10"/>
    </row>
    <row r="128" spans="1:12" x14ac:dyDescent="0.2">
      <c r="A128" s="32">
        <v>41061</v>
      </c>
      <c r="B128" s="106">
        <f>'[14]Data Input'!B150</f>
        <v>33725678</v>
      </c>
      <c r="C128" s="17">
        <f t="shared" ref="C128:D128" si="114">C116</f>
        <v>28.673333333333332</v>
      </c>
      <c r="D128" s="17">
        <f t="shared" si="114"/>
        <v>58.74</v>
      </c>
      <c r="E128" s="17">
        <v>30</v>
      </c>
      <c r="F128" s="17">
        <f>'CDM Activity'!B96</f>
        <v>715970.49782930326</v>
      </c>
      <c r="G128" s="17">
        <v>336</v>
      </c>
      <c r="H128" s="17">
        <v>0</v>
      </c>
      <c r="I128" s="34">
        <v>143.61778554384387</v>
      </c>
      <c r="J128" s="17">
        <f>'[14]Data Input'!AJ150</f>
        <v>21985</v>
      </c>
      <c r="K128" s="17">
        <f t="shared" si="54"/>
        <v>35955560.241941862</v>
      </c>
      <c r="L128" s="10"/>
    </row>
    <row r="129" spans="1:12" x14ac:dyDescent="0.2">
      <c r="A129" s="32">
        <v>41091</v>
      </c>
      <c r="B129" s="106">
        <f>'[14]Data Input'!B151</f>
        <v>42152151.322580643</v>
      </c>
      <c r="C129" s="17">
        <f t="shared" ref="C129:D129" si="115">C117</f>
        <v>4.4733333333333336</v>
      </c>
      <c r="D129" s="17">
        <f t="shared" si="115"/>
        <v>114.79333333333332</v>
      </c>
      <c r="E129" s="17">
        <v>31</v>
      </c>
      <c r="F129" s="17">
        <f>'CDM Activity'!B97</f>
        <v>715680.12414162233</v>
      </c>
      <c r="G129" s="17">
        <v>336</v>
      </c>
      <c r="H129" s="17">
        <v>0</v>
      </c>
      <c r="I129" s="34">
        <v>143.81967579960809</v>
      </c>
      <c r="J129" s="17">
        <f>'[14]Data Input'!AJ151</f>
        <v>21988</v>
      </c>
      <c r="K129" s="17">
        <f t="shared" si="54"/>
        <v>41035931.696837515</v>
      </c>
      <c r="L129" s="10"/>
    </row>
    <row r="130" spans="1:12" x14ac:dyDescent="0.2">
      <c r="A130" s="32">
        <v>41122</v>
      </c>
      <c r="B130" s="106">
        <f>'[14]Data Input'!B152</f>
        <v>39128268</v>
      </c>
      <c r="C130" s="17">
        <f t="shared" ref="C130:D130" si="116">C118</f>
        <v>7.64</v>
      </c>
      <c r="D130" s="17">
        <f t="shared" si="116"/>
        <v>92.953333333333319</v>
      </c>
      <c r="E130" s="17">
        <v>31</v>
      </c>
      <c r="F130" s="17">
        <f>'CDM Activity'!B98</f>
        <v>715389.75045394141</v>
      </c>
      <c r="G130" s="17">
        <v>352</v>
      </c>
      <c r="H130" s="17">
        <v>0</v>
      </c>
      <c r="I130" s="34">
        <v>144.02184986197204</v>
      </c>
      <c r="J130" s="17">
        <f>'[14]Data Input'!AJ152</f>
        <v>22002</v>
      </c>
      <c r="K130" s="17">
        <f t="shared" si="54"/>
        <v>39661809.990984425</v>
      </c>
      <c r="L130" s="10"/>
    </row>
    <row r="131" spans="1:12" x14ac:dyDescent="0.2">
      <c r="A131" s="32">
        <v>41153</v>
      </c>
      <c r="B131" s="106">
        <f>'[14]Data Input'!B153</f>
        <v>33338864</v>
      </c>
      <c r="C131" s="17">
        <f t="shared" ref="C131:D131" si="117">C119</f>
        <v>57.233333333333334</v>
      </c>
      <c r="D131" s="17">
        <f t="shared" si="117"/>
        <v>34.606666666666655</v>
      </c>
      <c r="E131" s="17">
        <v>30</v>
      </c>
      <c r="F131" s="17">
        <f>'CDM Activity'!B99</f>
        <v>715099.37676626048</v>
      </c>
      <c r="G131" s="17">
        <v>304</v>
      </c>
      <c r="H131" s="17">
        <v>1</v>
      </c>
      <c r="I131" s="34">
        <v>144.22430812989595</v>
      </c>
      <c r="J131" s="17">
        <f>'[14]Data Input'!AJ153</f>
        <v>22010</v>
      </c>
      <c r="K131" s="17">
        <f t="shared" si="54"/>
        <v>32659037.906559654</v>
      </c>
      <c r="L131" s="10"/>
    </row>
    <row r="132" spans="1:12" x14ac:dyDescent="0.2">
      <c r="A132" s="32">
        <v>41183</v>
      </c>
      <c r="B132" s="106">
        <f>'[14]Data Input'!B154</f>
        <v>32606142</v>
      </c>
      <c r="C132" s="17">
        <f t="shared" ref="C132:D132" si="118">C120</f>
        <v>233.04666666666665</v>
      </c>
      <c r="D132" s="17">
        <f t="shared" si="118"/>
        <v>3.8266666666666671</v>
      </c>
      <c r="E132" s="17">
        <v>31</v>
      </c>
      <c r="F132" s="17">
        <f>'CDM Activity'!B100</f>
        <v>714809.00307857955</v>
      </c>
      <c r="G132" s="17">
        <v>352</v>
      </c>
      <c r="H132" s="17">
        <v>1</v>
      </c>
      <c r="I132" s="34">
        <v>144.42705100290087</v>
      </c>
      <c r="J132" s="17">
        <f>'[14]Data Input'!AJ154</f>
        <v>22014</v>
      </c>
      <c r="K132" s="17">
        <f t="shared" ref="K132:K194" si="119">$O$18+$O$19*C132+$O$20*D132+$O$21*E132+$O$22*F132+$O$23*G132+H132*$O$24</f>
        <v>33880787.047002546</v>
      </c>
      <c r="L132" s="10"/>
    </row>
    <row r="133" spans="1:12" x14ac:dyDescent="0.2">
      <c r="A133" s="32">
        <v>41214</v>
      </c>
      <c r="B133" s="106">
        <f>'[14]Data Input'!B155</f>
        <v>34295421</v>
      </c>
      <c r="C133" s="17">
        <f t="shared" ref="C133:D133" si="120">C121</f>
        <v>377.29333333333329</v>
      </c>
      <c r="D133" s="17">
        <f t="shared" si="120"/>
        <v>0</v>
      </c>
      <c r="E133" s="17">
        <v>30</v>
      </c>
      <c r="F133" s="17">
        <f>'CDM Activity'!B101</f>
        <v>714518.62939089863</v>
      </c>
      <c r="G133" s="17">
        <v>352</v>
      </c>
      <c r="H133" s="17">
        <v>1</v>
      </c>
      <c r="I133" s="34">
        <v>144.63007888106955</v>
      </c>
      <c r="J133" s="17">
        <f>'[14]Data Input'!AJ155</f>
        <v>22047</v>
      </c>
      <c r="K133" s="17">
        <f t="shared" si="119"/>
        <v>34402575.034862012</v>
      </c>
      <c r="L133" s="10"/>
    </row>
    <row r="134" spans="1:12" x14ac:dyDescent="0.2">
      <c r="A134" s="32">
        <v>41244</v>
      </c>
      <c r="B134" s="106">
        <f>'[14]Data Input'!B156</f>
        <v>35015935</v>
      </c>
      <c r="C134" s="17">
        <f t="shared" ref="C134:D134" si="121">C122</f>
        <v>569.36000000000013</v>
      </c>
      <c r="D134" s="17">
        <f t="shared" si="121"/>
        <v>0</v>
      </c>
      <c r="E134" s="17">
        <v>31</v>
      </c>
      <c r="F134" s="17">
        <f>'CDM Activity'!B102</f>
        <v>714228.2557032177</v>
      </c>
      <c r="G134" s="17">
        <v>304</v>
      </c>
      <c r="H134" s="17">
        <v>0</v>
      </c>
      <c r="I134" s="34">
        <v>144.83339216504706</v>
      </c>
      <c r="J134" s="17">
        <f>'[14]Data Input'!AJ156</f>
        <v>22053</v>
      </c>
      <c r="K134" s="17">
        <f t="shared" si="119"/>
        <v>36793962.738679893</v>
      </c>
      <c r="L134" s="10"/>
    </row>
    <row r="135" spans="1:12" x14ac:dyDescent="0.2">
      <c r="A135" s="32">
        <v>41275</v>
      </c>
      <c r="B135" s="27">
        <f>'[14]Data Input'!B159</f>
        <v>37762681.75</v>
      </c>
      <c r="C135" s="17">
        <f t="shared" ref="C135:D135" si="122">C123</f>
        <v>690.88666666666688</v>
      </c>
      <c r="D135" s="17">
        <f t="shared" si="122"/>
        <v>0</v>
      </c>
      <c r="E135" s="17">
        <v>31</v>
      </c>
      <c r="F135" s="17">
        <f>'CDM Activity'!B103</f>
        <v>749564.45657906611</v>
      </c>
      <c r="G135" s="17">
        <v>352</v>
      </c>
      <c r="H135" s="17">
        <v>0</v>
      </c>
      <c r="I135" s="34">
        <v>144.98936781896037</v>
      </c>
      <c r="J135" s="17">
        <f>'[14]Data Input'!AJ159</f>
        <v>22066</v>
      </c>
      <c r="K135" s="17">
        <f t="shared" si="119"/>
        <v>39001099.735252887</v>
      </c>
      <c r="L135" s="10"/>
    </row>
    <row r="136" spans="1:12" x14ac:dyDescent="0.2">
      <c r="A136" s="32">
        <v>41306</v>
      </c>
      <c r="B136" s="27">
        <f>'[14]Data Input'!B160</f>
        <v>33318398.75</v>
      </c>
      <c r="C136" s="17">
        <f t="shared" ref="C136:D136" si="123">C124</f>
        <v>642.26666666666665</v>
      </c>
      <c r="D136" s="17">
        <f t="shared" si="123"/>
        <v>0</v>
      </c>
      <c r="E136" s="17">
        <v>28</v>
      </c>
      <c r="F136" s="17">
        <f>'CDM Activity'!B104</f>
        <v>784900.65745491453</v>
      </c>
      <c r="G136" s="17">
        <v>304</v>
      </c>
      <c r="H136" s="17">
        <v>0</v>
      </c>
      <c r="I136" s="34">
        <v>145.14551144798114</v>
      </c>
      <c r="J136" s="17">
        <f>'[14]Data Input'!AJ160</f>
        <v>22089</v>
      </c>
      <c r="K136" s="17">
        <f t="shared" si="119"/>
        <v>34913720.153299369</v>
      </c>
      <c r="L136" s="10"/>
    </row>
    <row r="137" spans="1:12" x14ac:dyDescent="0.2">
      <c r="A137" s="32">
        <v>41334</v>
      </c>
      <c r="B137" s="27">
        <f>'[14]Data Input'!B161</f>
        <v>34776845.75</v>
      </c>
      <c r="C137" s="17">
        <f t="shared" ref="C137:D137" si="124">C125</f>
        <v>532.14</v>
      </c>
      <c r="D137" s="17">
        <f t="shared" si="124"/>
        <v>0</v>
      </c>
      <c r="E137" s="17">
        <v>31</v>
      </c>
      <c r="F137" s="17">
        <f>'CDM Activity'!B105</f>
        <v>820236.85833076295</v>
      </c>
      <c r="G137" s="17">
        <v>320</v>
      </c>
      <c r="H137" s="17">
        <v>1</v>
      </c>
      <c r="I137" s="34">
        <v>145.30182323300707</v>
      </c>
      <c r="J137" s="17">
        <f>'[14]Data Input'!AJ161</f>
        <v>22091</v>
      </c>
      <c r="K137" s="17">
        <f t="shared" si="119"/>
        <v>35145303.128658548</v>
      </c>
      <c r="L137" s="10"/>
    </row>
    <row r="138" spans="1:12" x14ac:dyDescent="0.2">
      <c r="A138" s="32">
        <v>41365</v>
      </c>
      <c r="B138" s="27">
        <f>'[14]Data Input'!B162</f>
        <v>31363088.75</v>
      </c>
      <c r="C138" s="17">
        <f t="shared" ref="C138:D138" si="125">C126</f>
        <v>317.23333333333335</v>
      </c>
      <c r="D138" s="17">
        <f t="shared" si="125"/>
        <v>0.55333333333333323</v>
      </c>
      <c r="E138" s="17">
        <v>30</v>
      </c>
      <c r="F138" s="17">
        <f>'CDM Activity'!B106</f>
        <v>855573.05920661136</v>
      </c>
      <c r="G138" s="17">
        <v>352</v>
      </c>
      <c r="H138" s="17">
        <v>1</v>
      </c>
      <c r="I138" s="34">
        <v>145.45830335513068</v>
      </c>
      <c r="J138" s="17">
        <f>'[14]Data Input'!AJ162</f>
        <v>22090</v>
      </c>
      <c r="K138" s="17">
        <f t="shared" si="119"/>
        <v>32711291.731583741</v>
      </c>
      <c r="L138" s="10"/>
    </row>
    <row r="139" spans="1:12" x14ac:dyDescent="0.2">
      <c r="A139" s="32">
        <v>41395</v>
      </c>
      <c r="B139" s="27">
        <f>'[14]Data Input'!B163</f>
        <v>31691626.75</v>
      </c>
      <c r="C139" s="17">
        <f t="shared" ref="C139:D139" si="126">C127</f>
        <v>143.73999999999998</v>
      </c>
      <c r="D139" s="17">
        <f t="shared" si="126"/>
        <v>15.093333333333334</v>
      </c>
      <c r="E139" s="17">
        <v>31</v>
      </c>
      <c r="F139" s="17">
        <f>'CDM Activity'!B107</f>
        <v>890909.26008245978</v>
      </c>
      <c r="G139" s="17">
        <v>352</v>
      </c>
      <c r="H139" s="17">
        <v>1</v>
      </c>
      <c r="I139" s="34">
        <v>145.6149519956395</v>
      </c>
      <c r="J139" s="17">
        <f>'[14]Data Input'!AJ163</f>
        <v>22106</v>
      </c>
      <c r="K139" s="17">
        <f t="shared" si="119"/>
        <v>32490692.034275465</v>
      </c>
      <c r="L139" s="10"/>
    </row>
    <row r="140" spans="1:12" x14ac:dyDescent="0.2">
      <c r="A140" s="32">
        <v>41426</v>
      </c>
      <c r="B140" s="27">
        <f>'[14]Data Input'!B164</f>
        <v>33388744.75</v>
      </c>
      <c r="C140" s="17">
        <f t="shared" ref="C140:D140" si="127">C128</f>
        <v>28.673333333333332</v>
      </c>
      <c r="D140" s="17">
        <f t="shared" si="127"/>
        <v>58.74</v>
      </c>
      <c r="E140" s="17">
        <v>30</v>
      </c>
      <c r="F140" s="17">
        <f>'CDM Activity'!B108</f>
        <v>926245.46095830819</v>
      </c>
      <c r="G140" s="17">
        <v>320</v>
      </c>
      <c r="H140" s="17">
        <v>0</v>
      </c>
      <c r="I140" s="34">
        <v>145.77176933601632</v>
      </c>
      <c r="J140" s="17">
        <f>'[14]Data Input'!AJ164</f>
        <v>22128</v>
      </c>
      <c r="K140" s="17">
        <f t="shared" si="119"/>
        <v>33926068.341760568</v>
      </c>
      <c r="L140" s="10"/>
    </row>
    <row r="141" spans="1:12" x14ac:dyDescent="0.2">
      <c r="A141" s="32">
        <v>41456</v>
      </c>
      <c r="B141" s="27">
        <f>'[14]Data Input'!B165</f>
        <v>40707062.75</v>
      </c>
      <c r="C141" s="17">
        <f t="shared" ref="C141:D141" si="128">C129</f>
        <v>4.4733333333333336</v>
      </c>
      <c r="D141" s="17">
        <f t="shared" si="128"/>
        <v>114.79333333333332</v>
      </c>
      <c r="E141" s="17">
        <v>31</v>
      </c>
      <c r="F141" s="17">
        <f>'CDM Activity'!B109</f>
        <v>961581.66183415661</v>
      </c>
      <c r="G141" s="17">
        <v>352</v>
      </c>
      <c r="H141" s="17">
        <v>0</v>
      </c>
      <c r="I141" s="34">
        <v>145.92875555793933</v>
      </c>
      <c r="J141" s="17">
        <f>'[14]Data Input'!AJ165</f>
        <v>22132</v>
      </c>
      <c r="K141" s="17">
        <f t="shared" si="119"/>
        <v>39519811.095223397</v>
      </c>
      <c r="L141" s="10"/>
    </row>
    <row r="142" spans="1:12" x14ac:dyDescent="0.2">
      <c r="A142" s="32">
        <v>41487</v>
      </c>
      <c r="B142" s="27">
        <f>'[14]Data Input'!B166</f>
        <v>35841331.75</v>
      </c>
      <c r="C142" s="17">
        <f t="shared" ref="C142:D142" si="129">C130</f>
        <v>7.64</v>
      </c>
      <c r="D142" s="17">
        <f t="shared" si="129"/>
        <v>92.953333333333319</v>
      </c>
      <c r="E142" s="17">
        <v>31</v>
      </c>
      <c r="F142" s="17">
        <f>'CDM Activity'!B110</f>
        <v>996917.86271000502</v>
      </c>
      <c r="G142" s="17">
        <v>336</v>
      </c>
      <c r="H142" s="17">
        <v>0</v>
      </c>
      <c r="I142" s="34">
        <v>146.08591084328242</v>
      </c>
      <c r="J142" s="17">
        <f>'[14]Data Input'!AJ166</f>
        <v>22153</v>
      </c>
      <c r="K142" s="17">
        <f t="shared" si="119"/>
        <v>37078506.011745542</v>
      </c>
      <c r="L142" s="10"/>
    </row>
    <row r="143" spans="1:12" x14ac:dyDescent="0.2">
      <c r="A143" s="32">
        <v>41518</v>
      </c>
      <c r="B143" s="27">
        <f>'[14]Data Input'!B167</f>
        <v>32423202.75</v>
      </c>
      <c r="C143" s="17">
        <f t="shared" ref="C143:D143" si="130">C131</f>
        <v>57.233333333333334</v>
      </c>
      <c r="D143" s="17">
        <f t="shared" si="130"/>
        <v>34.606666666666655</v>
      </c>
      <c r="E143" s="17">
        <v>30</v>
      </c>
      <c r="F143" s="17">
        <f>'CDM Activity'!B111</f>
        <v>1032254.0635858534</v>
      </c>
      <c r="G143" s="17">
        <v>320</v>
      </c>
      <c r="H143" s="17">
        <v>1</v>
      </c>
      <c r="I143" s="34">
        <v>146.2432353741153</v>
      </c>
      <c r="J143" s="17">
        <f>'[14]Data Input'!AJ167</f>
        <v>22169</v>
      </c>
      <c r="K143" s="17">
        <f t="shared" si="119"/>
        <v>30589105.225887943</v>
      </c>
      <c r="L143" s="10"/>
    </row>
    <row r="144" spans="1:12" x14ac:dyDescent="0.2">
      <c r="A144" s="32">
        <v>41548</v>
      </c>
      <c r="B144" s="27">
        <f>'[14]Data Input'!B168</f>
        <v>32735799.75</v>
      </c>
      <c r="C144" s="17">
        <f t="shared" ref="C144:D144" si="131">C132</f>
        <v>233.04666666666665</v>
      </c>
      <c r="D144" s="17">
        <f t="shared" si="131"/>
        <v>3.8266666666666671</v>
      </c>
      <c r="E144" s="17">
        <v>31</v>
      </c>
      <c r="F144" s="17">
        <f>'CDM Activity'!B112</f>
        <v>1067590.2644617017</v>
      </c>
      <c r="G144" s="17">
        <v>352</v>
      </c>
      <c r="H144" s="17">
        <v>1</v>
      </c>
      <c r="I144" s="34">
        <v>146.4007293327038</v>
      </c>
      <c r="J144" s="17">
        <f>'[14]Data Input'!AJ168</f>
        <v>22189</v>
      </c>
      <c r="K144" s="17">
        <f t="shared" si="119"/>
        <v>31138809.657754064</v>
      </c>
      <c r="L144" s="10"/>
    </row>
    <row r="145" spans="1:12" x14ac:dyDescent="0.2">
      <c r="A145" s="32">
        <v>41579</v>
      </c>
      <c r="B145" s="27">
        <f>'[14]Data Input'!B169</f>
        <v>33760116.75</v>
      </c>
      <c r="C145" s="17">
        <f t="shared" ref="C145:D145" si="132">C133</f>
        <v>377.29333333333329</v>
      </c>
      <c r="D145" s="17">
        <f t="shared" si="132"/>
        <v>0</v>
      </c>
      <c r="E145" s="17">
        <v>30</v>
      </c>
      <c r="F145" s="17">
        <f>'CDM Activity'!B113</f>
        <v>1102926.4653375503</v>
      </c>
      <c r="G145" s="17">
        <v>336</v>
      </c>
      <c r="H145" s="17">
        <v>1</v>
      </c>
      <c r="I145" s="34">
        <v>146.55839290151005</v>
      </c>
      <c r="J145" s="17">
        <f>'[14]Data Input'!AJ169</f>
        <v>22208</v>
      </c>
      <c r="K145" s="17">
        <f t="shared" si="119"/>
        <v>30988552.937036749</v>
      </c>
      <c r="L145" s="10"/>
    </row>
    <row r="146" spans="1:12" x14ac:dyDescent="0.2">
      <c r="A146" s="32">
        <v>41609</v>
      </c>
      <c r="B146" s="27">
        <f>'[14]Data Input'!B170</f>
        <v>37600715.75</v>
      </c>
      <c r="C146" s="17">
        <f t="shared" ref="C146:D146" si="133">C134</f>
        <v>569.36000000000013</v>
      </c>
      <c r="D146" s="17">
        <f t="shared" si="133"/>
        <v>0</v>
      </c>
      <c r="E146" s="17">
        <v>31</v>
      </c>
      <c r="F146" s="17">
        <f>'CDM Activity'!B114</f>
        <v>1138262.6662133988</v>
      </c>
      <c r="G146" s="17">
        <v>320</v>
      </c>
      <c r="H146" s="17">
        <v>0</v>
      </c>
      <c r="I146" s="34">
        <v>146.71622626319265</v>
      </c>
      <c r="J146" s="17">
        <f>'[14]Data Input'!AJ170</f>
        <v>22234</v>
      </c>
      <c r="K146" s="17">
        <f t="shared" si="119"/>
        <v>33893311.93942181</v>
      </c>
      <c r="L146" s="10"/>
    </row>
    <row r="147" spans="1:12" x14ac:dyDescent="0.2">
      <c r="A147" s="32">
        <v>41640</v>
      </c>
      <c r="B147" s="27">
        <f>'[14]Data Input'!B173</f>
        <v>40157304.416666664</v>
      </c>
      <c r="C147" s="17">
        <f t="shared" ref="C147:D147" si="134">C135</f>
        <v>690.88666666666688</v>
      </c>
      <c r="D147" s="17">
        <f t="shared" si="134"/>
        <v>0</v>
      </c>
      <c r="E147" s="17">
        <v>31</v>
      </c>
      <c r="F147" s="17">
        <f>'CDM Activity'!B115</f>
        <v>1144257.5999350336</v>
      </c>
      <c r="G147" s="17">
        <v>352</v>
      </c>
      <c r="H147" s="17">
        <v>0</v>
      </c>
      <c r="I147" s="34">
        <v>147.04232175221028</v>
      </c>
      <c r="J147" s="17">
        <f>'[14]Data Input'!AJ173</f>
        <v>22330</v>
      </c>
      <c r="K147" s="17">
        <f t="shared" si="119"/>
        <v>35933364.021257132</v>
      </c>
      <c r="L147" s="10"/>
    </row>
    <row r="148" spans="1:12" x14ac:dyDescent="0.2">
      <c r="A148" s="32">
        <v>41671</v>
      </c>
      <c r="B148" s="27">
        <f>'[14]Data Input'!B174</f>
        <v>35890736.416666664</v>
      </c>
      <c r="C148" s="17">
        <f t="shared" ref="C148:D148" si="135">C136</f>
        <v>642.26666666666665</v>
      </c>
      <c r="D148" s="17">
        <f t="shared" si="135"/>
        <v>0</v>
      </c>
      <c r="E148" s="17">
        <v>28</v>
      </c>
      <c r="F148" s="17">
        <f>'CDM Activity'!B116</f>
        <v>1150252.5336566684</v>
      </c>
      <c r="G148" s="17">
        <v>304</v>
      </c>
      <c r="H148" s="17">
        <v>0</v>
      </c>
      <c r="I148" s="34">
        <v>147.36914202996238</v>
      </c>
      <c r="J148" s="17">
        <f>'[14]Data Input'!AJ174</f>
        <v>22326</v>
      </c>
      <c r="K148" s="17">
        <f t="shared" si="119"/>
        <v>32074038.193613943</v>
      </c>
      <c r="L148" s="10"/>
    </row>
    <row r="149" spans="1:12" x14ac:dyDescent="0.2">
      <c r="A149" s="32">
        <v>41699</v>
      </c>
      <c r="B149" s="27">
        <f>'[14]Data Input'!B175</f>
        <v>37345081.416666664</v>
      </c>
      <c r="C149" s="17">
        <f t="shared" ref="C149:D149" si="136">C137</f>
        <v>532.14</v>
      </c>
      <c r="D149" s="17">
        <f t="shared" si="136"/>
        <v>0</v>
      </c>
      <c r="E149" s="17">
        <v>31</v>
      </c>
      <c r="F149" s="17">
        <f>'CDM Activity'!B117</f>
        <v>1156247.4673783032</v>
      </c>
      <c r="G149" s="17">
        <v>336</v>
      </c>
      <c r="H149" s="17">
        <v>1</v>
      </c>
      <c r="I149" s="34">
        <v>147.69668870738414</v>
      </c>
      <c r="J149" s="17">
        <f>'[14]Data Input'!AJ175</f>
        <v>22340</v>
      </c>
      <c r="K149" s="17">
        <f t="shared" si="119"/>
        <v>32928813.592331436</v>
      </c>
      <c r="L149" s="10"/>
    </row>
    <row r="150" spans="1:12" x14ac:dyDescent="0.2">
      <c r="A150" s="32">
        <v>41730</v>
      </c>
      <c r="B150" s="27">
        <f>'[14]Data Input'!B176</f>
        <v>29856156.416666668</v>
      </c>
      <c r="C150" s="17">
        <f t="shared" ref="C150:D150" si="137">C138</f>
        <v>317.23333333333335</v>
      </c>
      <c r="D150" s="17">
        <f t="shared" si="137"/>
        <v>0.55333333333333323</v>
      </c>
      <c r="E150" s="17">
        <v>30</v>
      </c>
      <c r="F150" s="17">
        <f>'CDM Activity'!B118</f>
        <v>1162242.401099938</v>
      </c>
      <c r="G150" s="17">
        <v>320</v>
      </c>
      <c r="H150" s="17">
        <v>1</v>
      </c>
      <c r="I150" s="34">
        <v>148.02496339899133</v>
      </c>
      <c r="J150" s="17">
        <f>'[14]Data Input'!AJ176</f>
        <v>22334</v>
      </c>
      <c r="K150" s="17">
        <f t="shared" si="119"/>
        <v>29537439.942422997</v>
      </c>
      <c r="L150" s="10"/>
    </row>
    <row r="151" spans="1:12" x14ac:dyDescent="0.2">
      <c r="A151" s="32">
        <v>41760</v>
      </c>
      <c r="B151" s="27">
        <f>'[14]Data Input'!B177</f>
        <v>27591366.416666668</v>
      </c>
      <c r="C151" s="17">
        <f t="shared" ref="C151:D151" si="138">C139</f>
        <v>143.73999999999998</v>
      </c>
      <c r="D151" s="17">
        <f t="shared" si="138"/>
        <v>15.093333333333334</v>
      </c>
      <c r="E151" s="17">
        <v>31</v>
      </c>
      <c r="F151" s="17">
        <f>'CDM Activity'!B119</f>
        <v>1168237.3348215728</v>
      </c>
      <c r="G151" s="17">
        <v>336</v>
      </c>
      <c r="H151" s="17">
        <v>1</v>
      </c>
      <c r="I151" s="34">
        <v>148.35396772288814</v>
      </c>
      <c r="J151" s="17">
        <f>'[14]Data Input'!AJ177</f>
        <v>22336</v>
      </c>
      <c r="K151" s="17">
        <f t="shared" si="119"/>
        <v>29940032.668473031</v>
      </c>
      <c r="L151" s="10"/>
    </row>
    <row r="152" spans="1:12" x14ac:dyDescent="0.2">
      <c r="A152" s="32">
        <v>41791</v>
      </c>
      <c r="B152" s="27">
        <f>'[14]Data Input'!B178</f>
        <v>32152920.416666668</v>
      </c>
      <c r="C152" s="17">
        <f t="shared" ref="C152:D152" si="139">C140</f>
        <v>28.673333333333332</v>
      </c>
      <c r="D152" s="17">
        <f t="shared" si="139"/>
        <v>58.74</v>
      </c>
      <c r="E152" s="17">
        <v>30</v>
      </c>
      <c r="F152" s="17">
        <f>'CDM Activity'!B120</f>
        <v>1174232.2685432076</v>
      </c>
      <c r="G152" s="17">
        <v>336</v>
      </c>
      <c r="H152" s="17">
        <v>0</v>
      </c>
      <c r="I152" s="34">
        <v>148.68370330077519</v>
      </c>
      <c r="J152" s="17">
        <f>'[14]Data Input'!AJ178</f>
        <v>22351</v>
      </c>
      <c r="K152" s="17">
        <f t="shared" si="119"/>
        <v>32393740.068364426</v>
      </c>
      <c r="L152" s="10"/>
    </row>
    <row r="153" spans="1:12" x14ac:dyDescent="0.2">
      <c r="A153" s="32">
        <v>41821</v>
      </c>
      <c r="B153" s="27">
        <f>'[14]Data Input'!B179</f>
        <v>33898997.416666664</v>
      </c>
      <c r="C153" s="17">
        <f t="shared" ref="C153:D153" si="140">C141</f>
        <v>4.4733333333333336</v>
      </c>
      <c r="D153" s="17">
        <f t="shared" si="140"/>
        <v>114.79333333333332</v>
      </c>
      <c r="E153" s="17">
        <v>31</v>
      </c>
      <c r="F153" s="17">
        <f>'CDM Activity'!B121</f>
        <v>1180227.2022648423</v>
      </c>
      <c r="G153" s="17">
        <v>352</v>
      </c>
      <c r="H153" s="17">
        <v>0</v>
      </c>
      <c r="I153" s="34">
        <v>149.0141717579576</v>
      </c>
      <c r="J153" s="17">
        <f>'[14]Data Input'!AJ179</f>
        <v>22375</v>
      </c>
      <c r="K153" s="17">
        <f t="shared" si="119"/>
        <v>37820397.907089591</v>
      </c>
      <c r="L153" s="10"/>
    </row>
    <row r="154" spans="1:12" x14ac:dyDescent="0.2">
      <c r="A154" s="32">
        <v>41852</v>
      </c>
      <c r="B154" s="27">
        <f>'[14]Data Input'!B180</f>
        <v>33235703.416666668</v>
      </c>
      <c r="C154" s="17">
        <f t="shared" ref="C154:D154" si="141">C142</f>
        <v>7.64</v>
      </c>
      <c r="D154" s="17">
        <f t="shared" si="141"/>
        <v>92.953333333333319</v>
      </c>
      <c r="E154" s="17">
        <v>31</v>
      </c>
      <c r="F154" s="17">
        <f>'CDM Activity'!B122</f>
        <v>1186222.1359864771</v>
      </c>
      <c r="G154" s="17">
        <v>320</v>
      </c>
      <c r="H154" s="17">
        <v>0</v>
      </c>
      <c r="I154" s="34">
        <v>149.34537472335285</v>
      </c>
      <c r="J154" s="17">
        <f>'[14]Data Input'!AJ180</f>
        <v>22386</v>
      </c>
      <c r="K154" s="17">
        <f t="shared" si="119"/>
        <v>35212007.90887408</v>
      </c>
      <c r="L154" s="10"/>
    </row>
    <row r="155" spans="1:12" x14ac:dyDescent="0.2">
      <c r="A155" s="32">
        <v>41883</v>
      </c>
      <c r="B155" s="27">
        <f>'[14]Data Input'!B181</f>
        <v>28690043.416666668</v>
      </c>
      <c r="C155" s="17">
        <f t="shared" ref="C155:D155" si="142">C143</f>
        <v>57.233333333333334</v>
      </c>
      <c r="D155" s="17">
        <f t="shared" si="142"/>
        <v>34.606666666666655</v>
      </c>
      <c r="E155" s="17">
        <v>30</v>
      </c>
      <c r="F155" s="17">
        <f>'CDM Activity'!B123</f>
        <v>1192217.0697081119</v>
      </c>
      <c r="G155" s="17">
        <v>336</v>
      </c>
      <c r="H155" s="17">
        <v>1</v>
      </c>
      <c r="I155" s="34">
        <v>149.67731382949896</v>
      </c>
      <c r="J155" s="17">
        <f>'[14]Data Input'!AJ181</f>
        <v>22411</v>
      </c>
      <c r="K155" s="17">
        <f t="shared" si="119"/>
        <v>29740938.215422776</v>
      </c>
      <c r="L155" s="10"/>
    </row>
    <row r="156" spans="1:12" x14ac:dyDescent="0.2">
      <c r="A156" s="32">
        <v>41913</v>
      </c>
      <c r="B156" s="27">
        <f>'[14]Data Input'!B182</f>
        <v>29545098.416666668</v>
      </c>
      <c r="C156" s="17">
        <f t="shared" ref="C156:D156" si="143">C144</f>
        <v>233.04666666666665</v>
      </c>
      <c r="D156" s="17">
        <f t="shared" si="143"/>
        <v>3.8266666666666671</v>
      </c>
      <c r="E156" s="17">
        <v>31</v>
      </c>
      <c r="F156" s="17">
        <f>'CDM Activity'!B124</f>
        <v>1198212.0034297467</v>
      </c>
      <c r="G156" s="17">
        <v>352</v>
      </c>
      <c r="H156" s="17">
        <v>1</v>
      </c>
      <c r="I156" s="34">
        <v>150.00999071256246</v>
      </c>
      <c r="J156" s="17">
        <f>'[14]Data Input'!AJ182</f>
        <v>22460</v>
      </c>
      <c r="K156" s="17">
        <f t="shared" si="119"/>
        <v>30123557.732551239</v>
      </c>
      <c r="L156" s="10"/>
    </row>
    <row r="157" spans="1:12" x14ac:dyDescent="0.2">
      <c r="A157" s="32">
        <v>41944</v>
      </c>
      <c r="B157" s="27">
        <f>'[14]Data Input'!B183</f>
        <v>30497875.416666668</v>
      </c>
      <c r="C157" s="17">
        <f t="shared" ref="C157:D157" si="144">C145</f>
        <v>377.29333333333329</v>
      </c>
      <c r="D157" s="17">
        <f t="shared" si="144"/>
        <v>0</v>
      </c>
      <c r="E157" s="17">
        <v>30</v>
      </c>
      <c r="F157" s="17">
        <f>'CDM Activity'!B125</f>
        <v>1204206.9371513815</v>
      </c>
      <c r="G157" s="17">
        <v>304</v>
      </c>
      <c r="H157" s="17">
        <v>1</v>
      </c>
      <c r="I157" s="34">
        <v>150.34340701234646</v>
      </c>
      <c r="J157" s="17">
        <f>'[14]Data Input'!AJ183</f>
        <v>22458</v>
      </c>
      <c r="K157" s="17">
        <f t="shared" si="119"/>
        <v>29411077.428048283</v>
      </c>
      <c r="L157" s="10"/>
    </row>
    <row r="158" spans="1:12" x14ac:dyDescent="0.2">
      <c r="A158" s="32">
        <v>41974</v>
      </c>
      <c r="B158" s="27">
        <f>'[14]Data Input'!B184</f>
        <v>32693713.416666668</v>
      </c>
      <c r="C158" s="17">
        <f t="shared" ref="C158:D158" si="145">C146</f>
        <v>569.36000000000013</v>
      </c>
      <c r="D158" s="17">
        <f t="shared" si="145"/>
        <v>0</v>
      </c>
      <c r="E158" s="17">
        <v>31</v>
      </c>
      <c r="F158" s="17">
        <f>'CDM Activity'!B126</f>
        <v>1210201.8708730163</v>
      </c>
      <c r="G158" s="17">
        <v>336</v>
      </c>
      <c r="H158" s="17">
        <v>0</v>
      </c>
      <c r="I158" s="34">
        <v>150.67756437229883</v>
      </c>
      <c r="J158" s="17">
        <f>'[14]Data Input'!AJ184</f>
        <v>22470</v>
      </c>
      <c r="K158" s="17">
        <f t="shared" si="119"/>
        <v>33729306.191887617</v>
      </c>
      <c r="L158" s="10"/>
    </row>
    <row r="159" spans="1:12" x14ac:dyDescent="0.2">
      <c r="A159" s="32">
        <v>42005</v>
      </c>
      <c r="B159" s="27">
        <f>'[14]Data Input'!B187</f>
        <v>35250727.083333336</v>
      </c>
      <c r="C159" s="17">
        <f t="shared" ref="C159:D159" si="146">C147</f>
        <v>690.88666666666688</v>
      </c>
      <c r="D159" s="17">
        <f t="shared" si="146"/>
        <v>0</v>
      </c>
      <c r="E159" s="17">
        <v>31</v>
      </c>
      <c r="F159" s="17">
        <f>'CDM Activity'!B127</f>
        <v>1219601.2641728576</v>
      </c>
      <c r="G159" s="17">
        <v>336</v>
      </c>
      <c r="H159" s="17">
        <v>0</v>
      </c>
      <c r="I159" s="34">
        <v>150.98793548444445</v>
      </c>
      <c r="J159" s="17">
        <f>'[14]Data Input'!AJ187</f>
        <v>22484</v>
      </c>
      <c r="K159" s="17">
        <f t="shared" si="119"/>
        <v>34952619.917971291</v>
      </c>
      <c r="L159" s="10"/>
    </row>
    <row r="160" spans="1:12" x14ac:dyDescent="0.2">
      <c r="A160" s="32">
        <v>42036</v>
      </c>
      <c r="B160" s="27">
        <f>'[14]Data Input'!B188</f>
        <v>32507721.083333332</v>
      </c>
      <c r="C160" s="17">
        <f t="shared" ref="C160:D160" si="147">C148</f>
        <v>642.26666666666665</v>
      </c>
      <c r="D160" s="17">
        <f t="shared" si="147"/>
        <v>0</v>
      </c>
      <c r="E160" s="17">
        <v>28</v>
      </c>
      <c r="F160" s="17">
        <f>'CDM Activity'!B128</f>
        <v>1229000.6574726989</v>
      </c>
      <c r="G160" s="17">
        <v>304</v>
      </c>
      <c r="H160" s="17">
        <v>0</v>
      </c>
      <c r="I160" s="34">
        <v>151.298945910264</v>
      </c>
      <c r="J160" s="17">
        <f>'[14]Data Input'!AJ188</f>
        <v>22480</v>
      </c>
      <c r="K160" s="17">
        <f t="shared" si="119"/>
        <v>31461971.741720404</v>
      </c>
      <c r="L160" s="10"/>
    </row>
    <row r="161" spans="1:12" x14ac:dyDescent="0.2">
      <c r="A161" s="32">
        <v>42064</v>
      </c>
      <c r="B161" s="27">
        <f>'[14]Data Input'!B189</f>
        <v>32200533.083333332</v>
      </c>
      <c r="C161" s="17">
        <f t="shared" ref="C161:D161" si="148">C149</f>
        <v>532.14</v>
      </c>
      <c r="D161" s="17">
        <f t="shared" si="148"/>
        <v>0</v>
      </c>
      <c r="E161" s="17">
        <v>31</v>
      </c>
      <c r="F161" s="17">
        <f>'CDM Activity'!B129</f>
        <v>1238400.0507725403</v>
      </c>
      <c r="G161" s="17">
        <v>352</v>
      </c>
      <c r="H161" s="17">
        <v>1</v>
      </c>
      <c r="I161" s="34">
        <v>151.61059696663892</v>
      </c>
      <c r="J161" s="17">
        <f>'[14]Data Input'!AJ189</f>
        <v>22502</v>
      </c>
      <c r="K161" s="17">
        <f t="shared" si="119"/>
        <v>32685424.791830197</v>
      </c>
      <c r="L161" s="10"/>
    </row>
    <row r="162" spans="1:12" x14ac:dyDescent="0.2">
      <c r="A162" s="32">
        <v>42095</v>
      </c>
      <c r="B162" s="27">
        <f>'[14]Data Input'!B190</f>
        <v>27396995.083333332</v>
      </c>
      <c r="C162" s="17">
        <f t="shared" ref="C162:D162" si="149">C150</f>
        <v>317.23333333333335</v>
      </c>
      <c r="D162" s="17">
        <f t="shared" si="149"/>
        <v>0.55333333333333323</v>
      </c>
      <c r="E162" s="17">
        <v>30</v>
      </c>
      <c r="F162" s="17">
        <f>'CDM Activity'!B130</f>
        <v>1247799.4440723816</v>
      </c>
      <c r="G162" s="17">
        <v>336</v>
      </c>
      <c r="H162" s="17">
        <v>1</v>
      </c>
      <c r="I162" s="34">
        <v>151.92288997316331</v>
      </c>
      <c r="J162" s="17">
        <f>'[14]Data Input'!AJ190</f>
        <v>22537</v>
      </c>
      <c r="K162" s="17">
        <f t="shared" si="119"/>
        <v>29267590.124266077</v>
      </c>
      <c r="L162" s="10"/>
    </row>
    <row r="163" spans="1:12" x14ac:dyDescent="0.2">
      <c r="A163" s="32">
        <v>42125</v>
      </c>
      <c r="B163" s="27">
        <f>'[14]Data Input'!B191</f>
        <v>28717672.083333332</v>
      </c>
      <c r="C163" s="17">
        <f t="shared" ref="C163:D163" si="150">C151</f>
        <v>143.73999999999998</v>
      </c>
      <c r="D163" s="17">
        <f t="shared" si="150"/>
        <v>15.093333333333334</v>
      </c>
      <c r="E163" s="17">
        <v>31</v>
      </c>
      <c r="F163" s="17">
        <f>'CDM Activity'!B131</f>
        <v>1257198.8373722229</v>
      </c>
      <c r="G163" s="17">
        <v>320</v>
      </c>
      <c r="H163" s="17">
        <v>1</v>
      </c>
      <c r="I163" s="34">
        <v>152.23582625214937</v>
      </c>
      <c r="J163" s="17">
        <f>'[14]Data Input'!AJ191</f>
        <v>22526</v>
      </c>
      <c r="K163" s="17">
        <f t="shared" si="119"/>
        <v>28853444.494564455</v>
      </c>
      <c r="L163" s="10"/>
    </row>
    <row r="164" spans="1:12" x14ac:dyDescent="0.2">
      <c r="A164" s="32">
        <v>42156</v>
      </c>
      <c r="B164" s="27">
        <f>'[14]Data Input'!B192</f>
        <v>29735254.083333332</v>
      </c>
      <c r="C164" s="17">
        <f t="shared" ref="C164:D164" si="151">C152</f>
        <v>28.673333333333332</v>
      </c>
      <c r="D164" s="17">
        <f t="shared" si="151"/>
        <v>58.74</v>
      </c>
      <c r="E164" s="17">
        <v>30</v>
      </c>
      <c r="F164" s="17">
        <f>'CDM Activity'!B132</f>
        <v>1266598.2306720642</v>
      </c>
      <c r="G164" s="17">
        <v>352</v>
      </c>
      <c r="H164" s="17">
        <v>0</v>
      </c>
      <c r="I164" s="34">
        <v>152.54940712863302</v>
      </c>
      <c r="J164" s="17">
        <f>'[14]Data Input'!AJ192</f>
        <v>22535</v>
      </c>
      <c r="K164" s="17">
        <f t="shared" si="119"/>
        <v>32070968.214896135</v>
      </c>
      <c r="L164" s="10"/>
    </row>
    <row r="165" spans="1:12" x14ac:dyDescent="0.2">
      <c r="A165" s="32">
        <v>42186</v>
      </c>
      <c r="B165" s="27">
        <f>'[14]Data Input'!B193</f>
        <v>35302271.083333336</v>
      </c>
      <c r="C165" s="17">
        <f t="shared" ref="C165:D165" si="152">C153</f>
        <v>4.4733333333333336</v>
      </c>
      <c r="D165" s="17">
        <f t="shared" si="152"/>
        <v>114.79333333333332</v>
      </c>
      <c r="E165" s="17">
        <v>31</v>
      </c>
      <c r="F165" s="17">
        <f>'CDM Activity'!B133</f>
        <v>1275997.6239719056</v>
      </c>
      <c r="G165" s="17">
        <v>352</v>
      </c>
      <c r="H165" s="17">
        <v>0</v>
      </c>
      <c r="I165" s="34">
        <v>152.86363393037959</v>
      </c>
      <c r="J165" s="17">
        <f>'[14]Data Input'!AJ193</f>
        <v>22560</v>
      </c>
      <c r="K165" s="17">
        <f t="shared" si="119"/>
        <v>37076026.36691764</v>
      </c>
      <c r="L165" s="10"/>
    </row>
    <row r="166" spans="1:12" x14ac:dyDescent="0.2">
      <c r="A166" s="32">
        <v>42217</v>
      </c>
      <c r="B166" s="27">
        <f>'[14]Data Input'!B194</f>
        <v>33761714.083333336</v>
      </c>
      <c r="C166" s="17">
        <f t="shared" ref="C166:D166" si="153">C154</f>
        <v>7.64</v>
      </c>
      <c r="D166" s="17">
        <f t="shared" si="153"/>
        <v>92.953333333333319</v>
      </c>
      <c r="E166" s="17">
        <v>31</v>
      </c>
      <c r="F166" s="17">
        <f>'CDM Activity'!B134</f>
        <v>1285397.0172717469</v>
      </c>
      <c r="G166" s="17">
        <v>320</v>
      </c>
      <c r="H166" s="17">
        <v>0</v>
      </c>
      <c r="I166" s="34">
        <v>153.17850798788936</v>
      </c>
      <c r="J166" s="17">
        <f>'[14]Data Input'!AJ194</f>
        <v>22588</v>
      </c>
      <c r="K166" s="17">
        <f t="shared" si="119"/>
        <v>34441175.351046443</v>
      </c>
      <c r="L166" s="10"/>
    </row>
    <row r="167" spans="1:12" x14ac:dyDescent="0.2">
      <c r="A167" s="32">
        <v>42248</v>
      </c>
      <c r="B167" s="27">
        <f>'[14]Data Input'!B195</f>
        <v>32384101.083333332</v>
      </c>
      <c r="C167" s="17">
        <f t="shared" ref="C167:D167" si="154">C155</f>
        <v>57.233333333333334</v>
      </c>
      <c r="D167" s="17">
        <f t="shared" si="154"/>
        <v>34.606666666666655</v>
      </c>
      <c r="E167" s="17">
        <v>30</v>
      </c>
      <c r="F167" s="17">
        <f>'CDM Activity'!B135</f>
        <v>1294796.4105715882</v>
      </c>
      <c r="G167" s="17">
        <v>336</v>
      </c>
      <c r="H167" s="17">
        <v>1</v>
      </c>
      <c r="I167" s="34">
        <v>153.4940306344032</v>
      </c>
      <c r="J167" s="17">
        <f>'[14]Data Input'!AJ195</f>
        <v>22606</v>
      </c>
      <c r="K167" s="17">
        <f t="shared" si="119"/>
        <v>28943644.639939461</v>
      </c>
      <c r="L167" s="10"/>
    </row>
    <row r="168" spans="1:12" x14ac:dyDescent="0.2">
      <c r="A168" s="32">
        <v>42278</v>
      </c>
      <c r="B168" s="27">
        <f>'[14]Data Input'!B196</f>
        <v>27193803.083333332</v>
      </c>
      <c r="C168" s="17">
        <f t="shared" ref="C168:D168" si="155">C156</f>
        <v>233.04666666666665</v>
      </c>
      <c r="D168" s="17">
        <f t="shared" si="155"/>
        <v>3.8266666666666671</v>
      </c>
      <c r="E168" s="17">
        <v>31</v>
      </c>
      <c r="F168" s="17">
        <f>'CDM Activity'!B136</f>
        <v>1304195.8038714295</v>
      </c>
      <c r="G168" s="17">
        <v>336</v>
      </c>
      <c r="H168" s="17">
        <v>1</v>
      </c>
      <c r="I168" s="34">
        <v>153.81020320590829</v>
      </c>
      <c r="J168" s="17">
        <f>'[14]Data Input'!AJ196</f>
        <v>22626</v>
      </c>
      <c r="K168" s="17">
        <f t="shared" si="119"/>
        <v>28904664.470364254</v>
      </c>
      <c r="L168" s="10"/>
    </row>
    <row r="169" spans="1:12" x14ac:dyDescent="0.2">
      <c r="A169" s="32">
        <v>42309</v>
      </c>
      <c r="B169" s="27">
        <f>'[14]Data Input'!B197</f>
        <v>27893759.083333332</v>
      </c>
      <c r="C169" s="17">
        <f t="shared" ref="C169:D169" si="156">C157</f>
        <v>377.29333333333329</v>
      </c>
      <c r="D169" s="17">
        <f t="shared" si="156"/>
        <v>0</v>
      </c>
      <c r="E169" s="17">
        <v>30</v>
      </c>
      <c r="F169" s="17">
        <f>'CDM Activity'!B137</f>
        <v>1313595.1971712708</v>
      </c>
      <c r="G169" s="17">
        <v>320</v>
      </c>
      <c r="H169" s="17">
        <v>1</v>
      </c>
      <c r="I169" s="34">
        <v>154.12702704114372</v>
      </c>
      <c r="J169" s="17">
        <f>'[14]Data Input'!AJ197</f>
        <v>22650</v>
      </c>
      <c r="K169" s="17">
        <f t="shared" si="119"/>
        <v>28956000.486301582</v>
      </c>
      <c r="L169" s="10"/>
    </row>
    <row r="170" spans="1:12" x14ac:dyDescent="0.2">
      <c r="A170" s="32">
        <v>42339</v>
      </c>
      <c r="B170" s="27">
        <f>'[14]Data Input'!B198</f>
        <v>30136379.083333332</v>
      </c>
      <c r="C170" s="17">
        <f t="shared" ref="C170:D170" si="157">C158</f>
        <v>569.36000000000013</v>
      </c>
      <c r="D170" s="17">
        <f t="shared" si="157"/>
        <v>0</v>
      </c>
      <c r="E170" s="17">
        <v>31</v>
      </c>
      <c r="F170" s="17">
        <f>'CDM Activity'!B138</f>
        <v>1322994.5904711122</v>
      </c>
      <c r="G170" s="17">
        <v>352</v>
      </c>
      <c r="H170" s="17">
        <v>0</v>
      </c>
      <c r="I170" s="34">
        <v>154.44450348160629</v>
      </c>
      <c r="J170" s="17">
        <f>'[14]Data Input'!AJ198</f>
        <v>22667</v>
      </c>
      <c r="K170" s="17">
        <f t="shared" si="119"/>
        <v>33247768.232485231</v>
      </c>
      <c r="L170" s="10"/>
    </row>
    <row r="171" spans="1:12" x14ac:dyDescent="0.2">
      <c r="A171" s="32">
        <v>42370</v>
      </c>
      <c r="B171" s="27">
        <f>'[15]Data Input'!B203</f>
        <v>33086719.186999999</v>
      </c>
      <c r="C171" s="17">
        <f>C159</f>
        <v>690.88666666666688</v>
      </c>
      <c r="D171" s="17">
        <f>D159</f>
        <v>0</v>
      </c>
      <c r="E171" s="17">
        <v>31</v>
      </c>
      <c r="F171" s="17">
        <f>'CDM Activity'!B139</f>
        <v>1331917.0626345554</v>
      </c>
      <c r="G171" s="17">
        <v>320</v>
      </c>
      <c r="H171" s="17">
        <v>0</v>
      </c>
      <c r="I171" s="34">
        <v>154.72483615659849</v>
      </c>
      <c r="J171" s="17"/>
      <c r="K171" s="17">
        <f t="shared" si="119"/>
        <v>33684511.469774775</v>
      </c>
      <c r="L171" s="10"/>
    </row>
    <row r="172" spans="1:12" x14ac:dyDescent="0.2">
      <c r="A172" s="32">
        <v>42401</v>
      </c>
      <c r="B172" s="27">
        <f>'[15]Data Input'!B204</f>
        <v>30387692.328999996</v>
      </c>
      <c r="C172" s="17">
        <f t="shared" ref="C172:D182" si="158">C160</f>
        <v>642.26666666666665</v>
      </c>
      <c r="D172" s="17">
        <f t="shared" si="158"/>
        <v>0</v>
      </c>
      <c r="E172" s="17">
        <v>29</v>
      </c>
      <c r="F172" s="17">
        <f>'CDM Activity'!B140</f>
        <v>1340839.5347979986</v>
      </c>
      <c r="G172" s="17">
        <v>320</v>
      </c>
      <c r="H172" s="17">
        <v>0</v>
      </c>
      <c r="I172" s="34">
        <v>155.00567766425806</v>
      </c>
      <c r="J172" s="17"/>
      <c r="K172" s="17">
        <f t="shared" si="119"/>
        <v>31690736.429455258</v>
      </c>
      <c r="L172" s="10"/>
    </row>
    <row r="173" spans="1:12" x14ac:dyDescent="0.2">
      <c r="A173" s="32">
        <v>42430</v>
      </c>
      <c r="B173" s="27">
        <f>'[15]Data Input'!B205</f>
        <v>29517635.518999998</v>
      </c>
      <c r="C173" s="17">
        <f t="shared" si="158"/>
        <v>532.14</v>
      </c>
      <c r="D173" s="17">
        <f t="shared" si="158"/>
        <v>0</v>
      </c>
      <c r="E173" s="17">
        <v>31</v>
      </c>
      <c r="F173" s="17">
        <f>'CDM Activity'!B141</f>
        <v>1349762.0069614418</v>
      </c>
      <c r="G173" s="17">
        <v>352</v>
      </c>
      <c r="H173" s="17">
        <v>1</v>
      </c>
      <c r="I173" s="34">
        <v>155.2870289281687</v>
      </c>
      <c r="J173" s="17"/>
      <c r="K173" s="17">
        <f t="shared" si="119"/>
        <v>31819868.71128533</v>
      </c>
      <c r="L173" s="10"/>
    </row>
    <row r="174" spans="1:12" x14ac:dyDescent="0.2">
      <c r="A174" s="32">
        <v>42461</v>
      </c>
      <c r="B174" s="27">
        <f>'[15]Data Input'!B206</f>
        <v>27543104.184</v>
      </c>
      <c r="C174" s="17">
        <f t="shared" si="158"/>
        <v>317.23333333333335</v>
      </c>
      <c r="D174" s="17">
        <f t="shared" si="158"/>
        <v>0.55333333333333323</v>
      </c>
      <c r="E174" s="17">
        <v>30</v>
      </c>
      <c r="F174" s="17">
        <f>'CDM Activity'!B142</f>
        <v>1358684.4791248851</v>
      </c>
      <c r="G174" s="17">
        <v>336</v>
      </c>
      <c r="H174" s="17">
        <v>1</v>
      </c>
      <c r="I174" s="34">
        <v>155.56889087359048</v>
      </c>
      <c r="J174" s="17"/>
      <c r="K174" s="17">
        <f t="shared" si="119"/>
        <v>28405740.893023048</v>
      </c>
      <c r="L174" s="10"/>
    </row>
    <row r="175" spans="1:12" x14ac:dyDescent="0.2">
      <c r="A175" s="32">
        <v>42491</v>
      </c>
      <c r="B175" s="27">
        <f>'[15]Data Input'!B207</f>
        <v>28092238.999499999</v>
      </c>
      <c r="C175" s="17">
        <f t="shared" si="158"/>
        <v>143.73999999999998</v>
      </c>
      <c r="D175" s="17">
        <f t="shared" si="158"/>
        <v>15.093333333333334</v>
      </c>
      <c r="E175" s="17">
        <v>31</v>
      </c>
      <c r="F175" s="17">
        <f>'CDM Activity'!B143</f>
        <v>1367606.9512883283</v>
      </c>
      <c r="G175" s="17">
        <v>336</v>
      </c>
      <c r="H175" s="17">
        <v>1</v>
      </c>
      <c r="I175" s="34">
        <v>155.85126442746289</v>
      </c>
      <c r="J175" s="17"/>
      <c r="K175" s="17">
        <f t="shared" si="119"/>
        <v>28390440.781671245</v>
      </c>
      <c r="L175" s="10"/>
    </row>
    <row r="176" spans="1:12" x14ac:dyDescent="0.2">
      <c r="A176" s="32">
        <v>42522</v>
      </c>
      <c r="B176" s="27">
        <f>'[15]Data Input'!B208</f>
        <v>32022793.425000001</v>
      </c>
      <c r="C176" s="17">
        <f t="shared" si="158"/>
        <v>28.673333333333332</v>
      </c>
      <c r="D176" s="17">
        <f t="shared" si="158"/>
        <v>58.74</v>
      </c>
      <c r="E176" s="17">
        <v>30</v>
      </c>
      <c r="F176" s="17">
        <f>'CDM Activity'!B144</f>
        <v>1376529.4234517715</v>
      </c>
      <c r="G176" s="17">
        <v>352</v>
      </c>
      <c r="H176" s="17">
        <v>0</v>
      </c>
      <c r="I176" s="34">
        <v>156.13415051840798</v>
      </c>
      <c r="J176" s="17"/>
      <c r="K176" s="17">
        <f t="shared" si="119"/>
        <v>31216532.682256777</v>
      </c>
      <c r="L176" s="10"/>
    </row>
    <row r="177" spans="1:12" x14ac:dyDescent="0.2">
      <c r="A177" s="32">
        <v>42552</v>
      </c>
      <c r="B177" s="27">
        <f>'[15]Data Input'!B209</f>
        <v>38626683.784999996</v>
      </c>
      <c r="C177" s="17">
        <f t="shared" si="158"/>
        <v>4.4733333333333336</v>
      </c>
      <c r="D177" s="17">
        <f t="shared" si="158"/>
        <v>114.79333333333332</v>
      </c>
      <c r="E177" s="17">
        <v>31</v>
      </c>
      <c r="F177" s="17">
        <f>'CDM Activity'!B145</f>
        <v>1385451.8956152147</v>
      </c>
      <c r="G177" s="17">
        <v>320</v>
      </c>
      <c r="H177" s="17">
        <v>0</v>
      </c>
      <c r="I177" s="34">
        <v>156.41755007673331</v>
      </c>
      <c r="J177" s="17"/>
      <c r="K177" s="17">
        <f t="shared" si="119"/>
        <v>35435020.345484145</v>
      </c>
      <c r="L177" s="10"/>
    </row>
    <row r="178" spans="1:12" x14ac:dyDescent="0.2">
      <c r="A178" s="32">
        <v>42583</v>
      </c>
      <c r="B178" s="27">
        <f>'[15]Data Input'!B210</f>
        <v>41485016.7535</v>
      </c>
      <c r="C178" s="17">
        <f t="shared" si="158"/>
        <v>7.64</v>
      </c>
      <c r="D178" s="17">
        <f t="shared" si="158"/>
        <v>92.953333333333319</v>
      </c>
      <c r="E178" s="17">
        <v>31</v>
      </c>
      <c r="F178" s="17">
        <f>'CDM Activity'!B146</f>
        <v>1394374.3677786579</v>
      </c>
      <c r="G178" s="17">
        <v>352</v>
      </c>
      <c r="H178" s="17">
        <v>0</v>
      </c>
      <c r="I178" s="34">
        <v>156.70146403443502</v>
      </c>
      <c r="J178" s="17"/>
      <c r="K178" s="17">
        <f t="shared" si="119"/>
        <v>34384430.855106726</v>
      </c>
      <c r="L178" s="10"/>
    </row>
    <row r="179" spans="1:12" x14ac:dyDescent="0.2">
      <c r="A179" s="32">
        <v>42614</v>
      </c>
      <c r="B179" s="27">
        <f>'[15]Data Input'!B211</f>
        <v>31934436.811499998</v>
      </c>
      <c r="C179" s="17">
        <f t="shared" si="158"/>
        <v>57.233333333333334</v>
      </c>
      <c r="D179" s="17">
        <f t="shared" si="158"/>
        <v>34.606666666666655</v>
      </c>
      <c r="E179" s="17">
        <v>30</v>
      </c>
      <c r="F179" s="17">
        <f>'CDM Activity'!B147</f>
        <v>1403296.8399421012</v>
      </c>
      <c r="G179" s="17">
        <v>336</v>
      </c>
      <c r="H179" s="17">
        <v>1</v>
      </c>
      <c r="I179" s="34">
        <v>156.98589332520095</v>
      </c>
      <c r="J179" s="17"/>
      <c r="K179" s="17">
        <f t="shared" si="119"/>
        <v>28100329.655205604</v>
      </c>
      <c r="L179" s="10"/>
    </row>
    <row r="180" spans="1:12" x14ac:dyDescent="0.2">
      <c r="A180" s="32">
        <v>42644</v>
      </c>
      <c r="B180" s="27">
        <f>'[15]Data Input'!B212</f>
        <v>27675719.695999999</v>
      </c>
      <c r="C180" s="17">
        <f t="shared" si="158"/>
        <v>233.04666666666665</v>
      </c>
      <c r="D180" s="17">
        <f t="shared" si="158"/>
        <v>3.8266666666666671</v>
      </c>
      <c r="E180" s="17">
        <v>31</v>
      </c>
      <c r="F180" s="17">
        <f>'CDM Activity'!B148</f>
        <v>1412219.3121055444</v>
      </c>
      <c r="G180" s="17">
        <v>320</v>
      </c>
      <c r="H180" s="17">
        <v>1</v>
      </c>
      <c r="I180" s="34">
        <v>157.27083888441365</v>
      </c>
      <c r="J180" s="17"/>
      <c r="K180" s="17">
        <f t="shared" si="119"/>
        <v>27669917.665884245</v>
      </c>
      <c r="L180" s="10"/>
    </row>
    <row r="181" spans="1:12" x14ac:dyDescent="0.2">
      <c r="A181" s="32">
        <v>42675</v>
      </c>
      <c r="B181" s="27">
        <f>'[15]Data Input'!B213</f>
        <v>28120165.884500001</v>
      </c>
      <c r="C181" s="17">
        <f t="shared" si="158"/>
        <v>377.29333333333329</v>
      </c>
      <c r="D181" s="17">
        <f t="shared" si="158"/>
        <v>0</v>
      </c>
      <c r="E181" s="17">
        <v>30</v>
      </c>
      <c r="F181" s="17">
        <f>'CDM Activity'!B149</f>
        <v>1421141.7842689876</v>
      </c>
      <c r="G181" s="17">
        <v>336</v>
      </c>
      <c r="H181" s="17">
        <v>1</v>
      </c>
      <c r="I181" s="34">
        <v>157.55630164915351</v>
      </c>
      <c r="J181" s="17"/>
      <c r="K181" s="17">
        <f t="shared" si="119"/>
        <v>28515237.869219374</v>
      </c>
      <c r="L181" s="10"/>
    </row>
    <row r="182" spans="1:12" x14ac:dyDescent="0.2">
      <c r="A182" s="32">
        <v>42705</v>
      </c>
      <c r="B182" s="27">
        <f>'[15]Data Input'!B214</f>
        <v>32088231.274499997</v>
      </c>
      <c r="C182" s="17">
        <f t="shared" si="158"/>
        <v>569.36000000000013</v>
      </c>
      <c r="D182" s="17">
        <f t="shared" si="158"/>
        <v>0</v>
      </c>
      <c r="E182" s="17">
        <v>31</v>
      </c>
      <c r="F182" s="17">
        <f>'CDM Activity'!B150</f>
        <v>1430064.2564324308</v>
      </c>
      <c r="G182" s="17">
        <v>336</v>
      </c>
      <c r="H182" s="17">
        <v>0</v>
      </c>
      <c r="I182" s="34">
        <v>157.84228255820162</v>
      </c>
      <c r="J182" s="17"/>
      <c r="K182" s="17">
        <f t="shared" si="119"/>
        <v>32020435.126608893</v>
      </c>
      <c r="L182" s="10"/>
    </row>
    <row r="183" spans="1:12" x14ac:dyDescent="0.2">
      <c r="A183" s="32">
        <v>42736</v>
      </c>
      <c r="C183" s="109">
        <f>(C3+C15+C27+C39+C51+C63+C75+C87+C99+C111+C123+C135+C147+C159+C171)/15</f>
        <v>690.88666666666711</v>
      </c>
      <c r="D183" s="109">
        <f>(D3+D15+D27+D39+D51+D63+D75+D87+D99+D111+D123+D135+D147+D159+D171)/15</f>
        <v>0</v>
      </c>
      <c r="E183" s="17">
        <v>31</v>
      </c>
      <c r="F183" s="17">
        <f>'CDM Activity'!B151</f>
        <v>1419876.7628810203</v>
      </c>
      <c r="G183" s="17">
        <v>336</v>
      </c>
      <c r="H183" s="17">
        <v>0</v>
      </c>
      <c r="I183" s="34">
        <v>158.15454692394951</v>
      </c>
      <c r="J183" s="17"/>
      <c r="K183" s="17">
        <f t="shared" si="119"/>
        <v>33395987.099875361</v>
      </c>
      <c r="L183" s="10"/>
    </row>
    <row r="184" spans="1:12" x14ac:dyDescent="0.2">
      <c r="A184" s="32">
        <v>42767</v>
      </c>
      <c r="C184" s="109">
        <f t="shared" ref="C184:D194" si="159">(C4+C16+C28+C40+C52+C64+C76+C88+C100+C112+C124+C136+C148+C160+C172)/15</f>
        <v>642.26666666666654</v>
      </c>
      <c r="D184" s="109">
        <f t="shared" si="159"/>
        <v>0</v>
      </c>
      <c r="E184" s="17">
        <v>28</v>
      </c>
      <c r="F184" s="17">
        <f>'CDM Activity'!B152</f>
        <v>1409689.2693296098</v>
      </c>
      <c r="G184" s="17">
        <v>304</v>
      </c>
      <c r="H184" s="17">
        <v>0</v>
      </c>
      <c r="I184" s="34">
        <v>158.46742905214063</v>
      </c>
      <c r="J184" s="17"/>
      <c r="K184" s="17">
        <f t="shared" si="119"/>
        <v>30057577.170807265</v>
      </c>
      <c r="L184" s="10"/>
    </row>
    <row r="185" spans="1:12" x14ac:dyDescent="0.2">
      <c r="A185" s="32">
        <v>42795</v>
      </c>
      <c r="C185" s="109">
        <f t="shared" si="159"/>
        <v>532.1400000000001</v>
      </c>
      <c r="D185" s="109">
        <f t="shared" si="159"/>
        <v>0</v>
      </c>
      <c r="E185" s="17">
        <v>31</v>
      </c>
      <c r="F185" s="17">
        <f>'CDM Activity'!B153</f>
        <v>1399501.7757781993</v>
      </c>
      <c r="G185" s="17">
        <v>368</v>
      </c>
      <c r="H185" s="17">
        <v>1</v>
      </c>
      <c r="I185" s="34">
        <v>158.78093016491388</v>
      </c>
      <c r="J185" s="17"/>
      <c r="K185" s="17">
        <f t="shared" si="119"/>
        <v>31828407.137147833</v>
      </c>
      <c r="L185" s="10"/>
    </row>
    <row r="186" spans="1:12" x14ac:dyDescent="0.2">
      <c r="A186" s="32">
        <v>42826</v>
      </c>
      <c r="C186" s="109">
        <f t="shared" si="159"/>
        <v>317.23333333333346</v>
      </c>
      <c r="D186" s="109">
        <f t="shared" si="159"/>
        <v>0.55333333333333301</v>
      </c>
      <c r="E186" s="17">
        <v>30</v>
      </c>
      <c r="F186" s="17">
        <f>'CDM Activity'!B154</f>
        <v>1389314.2822267888</v>
      </c>
      <c r="G186" s="17">
        <v>304</v>
      </c>
      <c r="H186" s="17">
        <v>1</v>
      </c>
      <c r="I186" s="34">
        <v>159.09505148682601</v>
      </c>
      <c r="J186" s="17"/>
      <c r="K186" s="17">
        <f t="shared" si="119"/>
        <v>27377394.709622554</v>
      </c>
      <c r="L186" s="10"/>
    </row>
    <row r="187" spans="1:12" x14ac:dyDescent="0.2">
      <c r="A187" s="32">
        <v>42856</v>
      </c>
      <c r="C187" s="109">
        <f t="shared" si="159"/>
        <v>143.73999999999998</v>
      </c>
      <c r="D187" s="109">
        <f t="shared" si="159"/>
        <v>15.093333333333334</v>
      </c>
      <c r="E187" s="17">
        <v>31</v>
      </c>
      <c r="F187" s="17">
        <f>'CDM Activity'!B155</f>
        <v>1379126.7886753783</v>
      </c>
      <c r="G187" s="17">
        <v>352</v>
      </c>
      <c r="H187" s="17">
        <v>1</v>
      </c>
      <c r="I187" s="34">
        <v>159.4097942448563</v>
      </c>
      <c r="J187" s="17"/>
      <c r="K187" s="17">
        <f t="shared" si="119"/>
        <v>28696042.003295667</v>
      </c>
      <c r="L187" s="10"/>
    </row>
    <row r="188" spans="1:12" x14ac:dyDescent="0.2">
      <c r="A188" s="32">
        <v>42887</v>
      </c>
      <c r="C188" s="109">
        <f t="shared" si="159"/>
        <v>28.673333333333343</v>
      </c>
      <c r="D188" s="109">
        <f t="shared" si="159"/>
        <v>58.74</v>
      </c>
      <c r="E188" s="17">
        <v>30</v>
      </c>
      <c r="F188" s="17">
        <f>'CDM Activity'!B156</f>
        <v>1368939.2951239678</v>
      </c>
      <c r="G188" s="17">
        <v>352</v>
      </c>
      <c r="H188" s="17">
        <v>0</v>
      </c>
      <c r="I188" s="34">
        <v>159.72515966841141</v>
      </c>
      <c r="J188" s="17"/>
      <c r="K188" s="17">
        <f t="shared" si="119"/>
        <v>31275526.632714167</v>
      </c>
      <c r="L188" s="10"/>
    </row>
    <row r="189" spans="1:12" x14ac:dyDescent="0.2">
      <c r="A189" s="32">
        <v>42917</v>
      </c>
      <c r="C189" s="109">
        <f t="shared" si="159"/>
        <v>4.4733333333333345</v>
      </c>
      <c r="D189" s="109">
        <f t="shared" si="159"/>
        <v>114.79333333333331</v>
      </c>
      <c r="E189" s="17">
        <v>31</v>
      </c>
      <c r="F189" s="17">
        <f>'CDM Activity'!B157</f>
        <v>1358751.8015725573</v>
      </c>
      <c r="G189" s="17">
        <v>320</v>
      </c>
      <c r="H189" s="17">
        <v>0</v>
      </c>
      <c r="I189" s="34">
        <v>160.0411489893302</v>
      </c>
      <c r="J189" s="17"/>
      <c r="K189" s="17">
        <f t="shared" si="119"/>
        <v>35642545.693822496</v>
      </c>
      <c r="L189" s="10"/>
    </row>
    <row r="190" spans="1:12" x14ac:dyDescent="0.2">
      <c r="A190" s="32">
        <v>42948</v>
      </c>
      <c r="C190" s="109">
        <f t="shared" si="159"/>
        <v>7.64</v>
      </c>
      <c r="D190" s="109">
        <f t="shared" si="159"/>
        <v>92.953333333333347</v>
      </c>
      <c r="E190" s="17">
        <v>31</v>
      </c>
      <c r="F190" s="17">
        <f>'CDM Activity'!B158</f>
        <v>1348564.3080211468</v>
      </c>
      <c r="G190" s="17">
        <v>352</v>
      </c>
      <c r="H190" s="17">
        <v>0</v>
      </c>
      <c r="I190" s="34">
        <v>160.35776344188849</v>
      </c>
      <c r="J190" s="17"/>
      <c r="K190" s="17">
        <f t="shared" si="119"/>
        <v>34740487.601326033</v>
      </c>
      <c r="L190" s="10"/>
    </row>
    <row r="191" spans="1:12" x14ac:dyDescent="0.2">
      <c r="A191" s="32">
        <v>42979</v>
      </c>
      <c r="C191" s="109">
        <f t="shared" si="159"/>
        <v>57.233333333333341</v>
      </c>
      <c r="D191" s="109">
        <f t="shared" si="159"/>
        <v>34.606666666666669</v>
      </c>
      <c r="E191" s="17">
        <v>30</v>
      </c>
      <c r="F191" s="17">
        <f>'CDM Activity'!B159</f>
        <v>1338376.8144697363</v>
      </c>
      <c r="G191" s="17">
        <v>320</v>
      </c>
      <c r="H191" s="17">
        <v>1</v>
      </c>
      <c r="I191" s="34">
        <v>160.67500426280395</v>
      </c>
      <c r="J191" s="17"/>
      <c r="K191" s="17">
        <f t="shared" si="119"/>
        <v>28209779.130257878</v>
      </c>
      <c r="L191" s="10"/>
    </row>
    <row r="192" spans="1:12" x14ac:dyDescent="0.2">
      <c r="A192" s="32">
        <v>43009</v>
      </c>
      <c r="C192" s="109">
        <f t="shared" si="159"/>
        <v>233.04666666666665</v>
      </c>
      <c r="D192" s="109">
        <f t="shared" si="159"/>
        <v>3.8266666666666675</v>
      </c>
      <c r="E192" s="17">
        <v>31</v>
      </c>
      <c r="F192" s="17">
        <f>'CDM Activity'!B160</f>
        <v>1328189.3209183258</v>
      </c>
      <c r="G192" s="17">
        <v>336</v>
      </c>
      <c r="H192" s="17">
        <v>1</v>
      </c>
      <c r="I192" s="34">
        <v>160.99287269124085</v>
      </c>
      <c r="J192" s="17"/>
      <c r="K192" s="17">
        <f t="shared" si="119"/>
        <v>28718175.876913447</v>
      </c>
      <c r="L192" s="10"/>
    </row>
    <row r="193" spans="1:13" x14ac:dyDescent="0.2">
      <c r="A193" s="32">
        <v>43040</v>
      </c>
      <c r="C193" s="109">
        <f t="shared" si="159"/>
        <v>377.29333333333318</v>
      </c>
      <c r="D193" s="109">
        <f t="shared" si="159"/>
        <v>0</v>
      </c>
      <c r="E193" s="17">
        <v>30</v>
      </c>
      <c r="F193" s="17">
        <f>'CDM Activity'!B161</f>
        <v>1318001.8273669153</v>
      </c>
      <c r="G193" s="17">
        <v>352</v>
      </c>
      <c r="H193" s="17">
        <v>1</v>
      </c>
      <c r="I193" s="34">
        <v>161.31136996881492</v>
      </c>
      <c r="J193" s="17"/>
      <c r="K193" s="17">
        <f t="shared" si="119"/>
        <v>29712027.478129536</v>
      </c>
      <c r="L193" s="10"/>
    </row>
    <row r="194" spans="1:13" x14ac:dyDescent="0.2">
      <c r="A194" s="32">
        <v>43070</v>
      </c>
      <c r="C194" s="109">
        <f t="shared" si="159"/>
        <v>569.36000000000035</v>
      </c>
      <c r="D194" s="109">
        <f t="shared" si="159"/>
        <v>0</v>
      </c>
      <c r="E194" s="17">
        <v>31</v>
      </c>
      <c r="F194" s="17">
        <f>'CDM Activity'!B162</f>
        <v>1307814.3338155048</v>
      </c>
      <c r="G194" s="17">
        <v>304</v>
      </c>
      <c r="H194" s="17">
        <v>0</v>
      </c>
      <c r="I194" s="34">
        <v>161.63049733959846</v>
      </c>
      <c r="J194" s="17"/>
      <c r="K194" s="17">
        <f t="shared" si="119"/>
        <v>32180340.126256075</v>
      </c>
      <c r="L194" s="10"/>
    </row>
    <row r="195" spans="1:13" x14ac:dyDescent="0.2">
      <c r="A195" s="32"/>
      <c r="F195" s="17"/>
    </row>
    <row r="196" spans="1:13" x14ac:dyDescent="0.2">
      <c r="A196" s="32"/>
      <c r="D196" s="123" t="s">
        <v>67</v>
      </c>
      <c r="K196" s="108">
        <f>SUM(K3:K195)</f>
        <v>7179031149.9850931</v>
      </c>
    </row>
    <row r="197" spans="1:13" x14ac:dyDescent="0.2">
      <c r="A197" s="32"/>
    </row>
    <row r="198" spans="1:13" x14ac:dyDescent="0.2">
      <c r="A198" s="33">
        <v>2002</v>
      </c>
      <c r="B198" s="27">
        <f>SUM(B3:B14)</f>
        <v>522661540</v>
      </c>
      <c r="K198" s="27">
        <f>SUM(K3:K14)</f>
        <v>499813152.22266603</v>
      </c>
      <c r="L198" s="37">
        <f t="shared" ref="L198:L211" si="160">K198-B198</f>
        <v>-22848387.777333975</v>
      </c>
      <c r="M198" s="5">
        <f t="shared" ref="M198:M211" si="161">L198/B198</f>
        <v>-4.3715456425842958E-2</v>
      </c>
    </row>
    <row r="199" spans="1:13" x14ac:dyDescent="0.2">
      <c r="A199" s="110">
        <v>2003</v>
      </c>
      <c r="B199" s="27">
        <f>SUM(B15:B26)</f>
        <v>497113270</v>
      </c>
      <c r="K199" s="27">
        <f>SUM(K15:K26)</f>
        <v>499849307.4108839</v>
      </c>
      <c r="L199" s="37">
        <f t="shared" si="160"/>
        <v>2736037.4108839035</v>
      </c>
      <c r="M199" s="5">
        <f t="shared" si="161"/>
        <v>5.5038510858579645E-3</v>
      </c>
    </row>
    <row r="200" spans="1:13" x14ac:dyDescent="0.2">
      <c r="A200" s="33">
        <v>2004</v>
      </c>
      <c r="B200" s="27">
        <f>SUM(B27:B38)</f>
        <v>501185430</v>
      </c>
      <c r="K200" s="27">
        <f>SUM(K27:K38)</f>
        <v>500978946.12198931</v>
      </c>
      <c r="L200" s="37">
        <f t="shared" si="160"/>
        <v>-206483.87801069021</v>
      </c>
      <c r="M200" s="5">
        <f t="shared" si="161"/>
        <v>-4.119909830792372E-4</v>
      </c>
    </row>
    <row r="201" spans="1:13" x14ac:dyDescent="0.2">
      <c r="A201" s="110">
        <v>2005</v>
      </c>
      <c r="B201" s="27">
        <f>SUM(B39:B50)</f>
        <v>520774860</v>
      </c>
      <c r="K201" s="27">
        <f>SUM(K39:K50)</f>
        <v>499442117.01242995</v>
      </c>
      <c r="L201" s="37">
        <f t="shared" si="160"/>
        <v>-21332742.987570047</v>
      </c>
      <c r="M201" s="5">
        <f t="shared" si="161"/>
        <v>-4.0963465455244992E-2</v>
      </c>
    </row>
    <row r="202" spans="1:13" x14ac:dyDescent="0.2">
      <c r="A202" s="33">
        <v>2006</v>
      </c>
      <c r="B202" s="27">
        <f>SUM(B51:B62)</f>
        <v>488381990</v>
      </c>
      <c r="K202" s="27">
        <f>SUM(K51:K62)</f>
        <v>493256274.94481349</v>
      </c>
      <c r="L202" s="37">
        <f t="shared" si="160"/>
        <v>4874284.9448134899</v>
      </c>
      <c r="M202" s="5">
        <f t="shared" si="161"/>
        <v>9.9804764397915038E-3</v>
      </c>
    </row>
    <row r="203" spans="1:13" x14ac:dyDescent="0.2">
      <c r="A203" s="110">
        <v>2007</v>
      </c>
      <c r="B203" s="27">
        <f>SUM(B63:B74)</f>
        <v>493927030</v>
      </c>
      <c r="K203" s="27">
        <f>SUM(K63:K74)</f>
        <v>484513602.95484209</v>
      </c>
      <c r="L203" s="37">
        <f t="shared" si="160"/>
        <v>-9413427.0451579094</v>
      </c>
      <c r="M203" s="5">
        <f t="shared" si="161"/>
        <v>-1.9058335489673259E-2</v>
      </c>
    </row>
    <row r="204" spans="1:13" x14ac:dyDescent="0.2">
      <c r="A204" s="33">
        <v>2008</v>
      </c>
      <c r="B204" s="27">
        <f>SUM(B75:B86)</f>
        <v>487062910</v>
      </c>
      <c r="K204" s="27">
        <f>SUM(K75:K86)</f>
        <v>474942592.06438279</v>
      </c>
      <c r="L204" s="37">
        <f t="shared" si="160"/>
        <v>-12120317.935617208</v>
      </c>
      <c r="M204" s="5">
        <f t="shared" si="161"/>
        <v>-2.4884501954002634E-2</v>
      </c>
    </row>
    <row r="205" spans="1:13" x14ac:dyDescent="0.2">
      <c r="A205" s="110">
        <v>2009</v>
      </c>
      <c r="B205" s="27">
        <f>SUM(B87:B98)</f>
        <v>419617213.07692301</v>
      </c>
      <c r="K205" s="27">
        <f>SUM(K87:K98)</f>
        <v>462915649.22783113</v>
      </c>
      <c r="L205" s="37">
        <f t="shared" si="160"/>
        <v>43298436.150908113</v>
      </c>
      <c r="M205" s="5">
        <f t="shared" si="161"/>
        <v>0.10318555769772669</v>
      </c>
    </row>
    <row r="206" spans="1:13" x14ac:dyDescent="0.2">
      <c r="A206" s="33">
        <v>2010</v>
      </c>
      <c r="B206" s="27">
        <f>SUM(B99:B110)</f>
        <v>443594623.07692289</v>
      </c>
      <c r="K206" s="27">
        <f>SUM(K99:K110)</f>
        <v>459712976.10902995</v>
      </c>
      <c r="L206" s="37">
        <f t="shared" si="160"/>
        <v>16118353.032107055</v>
      </c>
      <c r="M206" s="5">
        <f t="shared" si="161"/>
        <v>3.6335771881779555E-2</v>
      </c>
    </row>
    <row r="207" spans="1:13" x14ac:dyDescent="0.2">
      <c r="A207" s="33">
        <v>2011</v>
      </c>
      <c r="B207" s="27">
        <f>SUM(B111:B122)</f>
        <v>451220848.00000006</v>
      </c>
      <c r="K207" s="27">
        <f>SUM(K111:K122)</f>
        <v>445963918.12533844</v>
      </c>
      <c r="L207" s="37">
        <f t="shared" si="160"/>
        <v>-5256929.8746616244</v>
      </c>
      <c r="M207" s="5">
        <f t="shared" si="161"/>
        <v>-1.1650458745340649E-2</v>
      </c>
    </row>
    <row r="208" spans="1:13" x14ac:dyDescent="0.2">
      <c r="A208" s="33">
        <v>2012</v>
      </c>
      <c r="B208" s="27">
        <f>SUM(B123:B134)</f>
        <v>421671164.32258064</v>
      </c>
      <c r="K208" s="27">
        <f>SUM(K123:K134)</f>
        <v>433372835.95120609</v>
      </c>
      <c r="L208" s="37">
        <f t="shared" si="160"/>
        <v>11701671.628625453</v>
      </c>
      <c r="M208" s="5">
        <f t="shared" si="161"/>
        <v>2.77507039102954E-2</v>
      </c>
    </row>
    <row r="209" spans="1:13" x14ac:dyDescent="0.2">
      <c r="A209" s="33">
        <v>2013</v>
      </c>
      <c r="B209" s="27">
        <f>SUM(B135:B146)</f>
        <v>415369616</v>
      </c>
      <c r="K209" s="27">
        <f>SUM(K135:K146)</f>
        <v>411396271.99190009</v>
      </c>
      <c r="L209" s="37">
        <f t="shared" si="160"/>
        <v>-3973344.0080999136</v>
      </c>
      <c r="M209" s="5">
        <f t="shared" si="161"/>
        <v>-9.5658032148887694E-3</v>
      </c>
    </row>
    <row r="210" spans="1:13" x14ac:dyDescent="0.2">
      <c r="A210" s="33">
        <v>2014</v>
      </c>
      <c r="B210" s="27">
        <f>SUM(B147:B158)</f>
        <v>391554997.00000006</v>
      </c>
      <c r="K210" s="27">
        <f>SUM(K147:K158)</f>
        <v>388844713.87033653</v>
      </c>
      <c r="L210" s="37">
        <f t="shared" si="160"/>
        <v>-2710283.129663527</v>
      </c>
      <c r="M210" s="5">
        <f t="shared" si="161"/>
        <v>-6.921845335723111E-3</v>
      </c>
    </row>
    <row r="211" spans="1:13" x14ac:dyDescent="0.2">
      <c r="A211" s="110">
        <v>2015</v>
      </c>
      <c r="B211" s="27">
        <f>SUM(B159:B170)</f>
        <v>372480929.99999994</v>
      </c>
      <c r="K211" s="27">
        <f>SUM(K159:K170)</f>
        <v>380861298.83230323</v>
      </c>
      <c r="L211" s="37">
        <f t="shared" si="160"/>
        <v>8380368.8323032856</v>
      </c>
      <c r="M211" s="5">
        <f t="shared" si="161"/>
        <v>2.2498786266194316E-2</v>
      </c>
    </row>
    <row r="212" spans="1:13" x14ac:dyDescent="0.2">
      <c r="A212" s="33">
        <v>2016</v>
      </c>
      <c r="B212" s="27">
        <f>SUM(B171:B182)</f>
        <v>380580437.84850001</v>
      </c>
      <c r="K212" s="27">
        <f>SUM(K171:K182)</f>
        <v>371333202.48497546</v>
      </c>
      <c r="L212" s="37">
        <f t="shared" ref="L212" si="162">K212-B212</f>
        <v>-9247235.3635245562</v>
      </c>
      <c r="M212" s="5">
        <f t="shared" ref="M212" si="163">L212/B212</f>
        <v>-2.4297715919927708E-2</v>
      </c>
    </row>
    <row r="213" spans="1:13" x14ac:dyDescent="0.2">
      <c r="A213" s="110">
        <v>2017</v>
      </c>
      <c r="K213" s="27">
        <f>SUM(K183:K194)</f>
        <v>371834290.66016835</v>
      </c>
    </row>
    <row r="214" spans="1:13" x14ac:dyDescent="0.2">
      <c r="K214" s="27"/>
    </row>
    <row r="215" spans="1:13" x14ac:dyDescent="0.2">
      <c r="A215" s="51" t="s">
        <v>165</v>
      </c>
      <c r="B215" s="27">
        <f>SUM(B198:B212)</f>
        <v>6807196859.3249264</v>
      </c>
      <c r="K215" s="27">
        <f>SUM(K198:K212)</f>
        <v>6807196859.3249292</v>
      </c>
      <c r="L215" s="6">
        <f>K215-B215</f>
        <v>0</v>
      </c>
    </row>
    <row r="217" spans="1:13" x14ac:dyDescent="0.2">
      <c r="K217" s="27">
        <f>SUM(K198:K213)</f>
        <v>7179031149.9850979</v>
      </c>
      <c r="L217" s="49">
        <f>K196-K217</f>
        <v>0</v>
      </c>
    </row>
    <row r="218" spans="1:13" x14ac:dyDescent="0.2">
      <c r="K218" s="18"/>
      <c r="L218" s="18" t="s">
        <v>64</v>
      </c>
      <c r="M218" s="18"/>
    </row>
    <row r="221" spans="1:13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</row>
  </sheetData>
  <mergeCells count="1">
    <mergeCell ref="I1:J1"/>
  </mergeCells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2:W88"/>
  <sheetViews>
    <sheetView workbookViewId="0">
      <pane xSplit="1" ySplit="2" topLeftCell="B68" activePane="bottomRight" state="frozen"/>
      <selection pane="topRight" activeCell="B1" sqref="B1"/>
      <selection pane="bottomLeft" activeCell="A3" sqref="A3"/>
      <selection pane="bottomRight" activeCell="G82" sqref="G82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140625" style="6" customWidth="1"/>
    <col min="12" max="12" width="14.7109375" style="6" customWidth="1"/>
    <col min="13" max="14" width="13.85546875" style="6" bestFit="1" customWidth="1"/>
    <col min="15" max="16" width="12.7109375" style="6" bestFit="1" customWidth="1"/>
    <col min="17" max="17" width="11.140625" style="6" bestFit="1" customWidth="1"/>
    <col min="18" max="18" width="12.7109375" style="6" bestFit="1" customWidth="1"/>
    <col min="19" max="19" width="11.140625" style="6" bestFit="1" customWidth="1"/>
    <col min="20" max="20" width="10.140625" bestFit="1" customWidth="1"/>
    <col min="22" max="22" width="10.140625" bestFit="1" customWidth="1"/>
  </cols>
  <sheetData>
    <row r="2" spans="1:19" ht="42" customHeight="1" x14ac:dyDescent="0.2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6" t="s">
        <v>93</v>
      </c>
      <c r="I2" s="236" t="s">
        <v>261</v>
      </c>
      <c r="J2" s="236" t="s">
        <v>262</v>
      </c>
      <c r="K2" s="47" t="s">
        <v>73</v>
      </c>
      <c r="L2" s="236" t="s">
        <v>253</v>
      </c>
      <c r="M2" s="48" t="s">
        <v>94</v>
      </c>
      <c r="N2" s="48" t="s">
        <v>254</v>
      </c>
    </row>
    <row r="4" spans="1:19" x14ac:dyDescent="0.2">
      <c r="A4" s="18"/>
      <c r="B4" s="40" t="s">
        <v>42</v>
      </c>
    </row>
    <row r="5" spans="1:19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x14ac:dyDescent="0.2">
      <c r="A6">
        <f>'Purchased Power Model '!A198</f>
        <v>2002</v>
      </c>
      <c r="B6" s="6">
        <f>'Purchased Power Model '!B198</f>
        <v>522661540</v>
      </c>
      <c r="C6" s="6">
        <f>'Purchased Power Model '!K198</f>
        <v>512039645.79947102</v>
      </c>
      <c r="D6" s="37">
        <f t="shared" ref="D6:D20" si="0">C6-B6</f>
        <v>-10621894.200528979</v>
      </c>
      <c r="E6" s="5">
        <f t="shared" ref="E6:E20" si="1">D6/B6</f>
        <v>-2.0322700997913449E-2</v>
      </c>
      <c r="F6" s="52">
        <f>1 +(B6-G6)/G6</f>
        <v>1.0397563997052681</v>
      </c>
      <c r="G6" s="65">
        <f t="shared" ref="G6:G20" si="2">SUM(H6:N6)</f>
        <v>502676915.61999995</v>
      </c>
      <c r="H6" s="116">
        <f>'[14]Data Input'!$D$17</f>
        <v>163758007.56999999</v>
      </c>
      <c r="I6" s="116">
        <f>'[14]Data Input'!$H$17</f>
        <v>47941435.170000002</v>
      </c>
      <c r="J6" s="116">
        <f>'[14]Data Input'!$L$17</f>
        <v>220590237.66</v>
      </c>
      <c r="K6" s="116">
        <f>'[14]Data Input'!$AF$17</f>
        <v>64185900.630000003</v>
      </c>
      <c r="L6" s="116">
        <f>'[14]Data Input'!$Q$17</f>
        <v>4578874</v>
      </c>
      <c r="M6" s="116">
        <f>'[14]Data Input'!$V$17</f>
        <v>608624.5</v>
      </c>
      <c r="N6" s="116">
        <f>'[14]Data Input'!$AA$17</f>
        <v>1013836.09</v>
      </c>
    </row>
    <row r="7" spans="1:19" x14ac:dyDescent="0.2">
      <c r="A7">
        <f>'Purchased Power Model '!A199</f>
        <v>2003</v>
      </c>
      <c r="B7" s="6">
        <f>'Purchased Power Model '!B199</f>
        <v>497113270</v>
      </c>
      <c r="C7" s="6">
        <f>'Purchased Power Model '!K199</f>
        <v>499473509.33795565</v>
      </c>
      <c r="D7" s="37">
        <f t="shared" si="0"/>
        <v>2360239.3379556537</v>
      </c>
      <c r="E7" s="5">
        <f t="shared" si="1"/>
        <v>4.7478904314013862E-3</v>
      </c>
      <c r="F7" s="52">
        <f t="shared" ref="F7:F20" si="3">1 +(B7-G7)/G7</f>
        <v>1.0402845231187099</v>
      </c>
      <c r="G7" s="65">
        <f t="shared" si="2"/>
        <v>477862795.18000001</v>
      </c>
      <c r="H7" s="116">
        <f>'[14]Data Input'!$D$31</f>
        <v>157611433.94999999</v>
      </c>
      <c r="I7" s="116">
        <f>'[14]Data Input'!$H$31</f>
        <v>46463108.060000002</v>
      </c>
      <c r="J7" s="116">
        <f>'[14]Data Input'!$L$31</f>
        <v>148754541.44</v>
      </c>
      <c r="K7" s="116">
        <f>'[14]Data Input'!$AF$31</f>
        <v>118136694</v>
      </c>
      <c r="L7" s="116">
        <f>'[14]Data Input'!$Q$31</f>
        <v>4648825</v>
      </c>
      <c r="M7" s="116">
        <f>'[14]Data Input'!$V$31</f>
        <v>1025570.6699999999</v>
      </c>
      <c r="N7" s="116">
        <f>'[14]Data Input'!$AA$31</f>
        <v>1222622.06</v>
      </c>
    </row>
    <row r="8" spans="1:19" x14ac:dyDescent="0.2">
      <c r="A8">
        <f>'Purchased Power Model '!A200</f>
        <v>2004</v>
      </c>
      <c r="B8" s="6">
        <f>'Purchased Power Model '!B200</f>
        <v>501185430</v>
      </c>
      <c r="C8" s="6">
        <f>'Purchased Power Model '!K200</f>
        <v>495773140.59486818</v>
      </c>
      <c r="D8" s="37">
        <f t="shared" si="0"/>
        <v>-5412289.4051318169</v>
      </c>
      <c r="E8" s="5">
        <f t="shared" si="1"/>
        <v>-1.0798975950142479E-2</v>
      </c>
      <c r="F8" s="52">
        <f t="shared" si="3"/>
        <v>1.0352038200747795</v>
      </c>
      <c r="G8" s="65">
        <f t="shared" si="2"/>
        <v>484141789.55000001</v>
      </c>
      <c r="H8" s="116">
        <f>'[14]Data Input'!$D$45</f>
        <v>158198542.48000002</v>
      </c>
      <c r="I8" s="116">
        <f>'[14]Data Input'!$H$45</f>
        <v>49935622.290000007</v>
      </c>
      <c r="J8" s="116">
        <f>'[14]Data Input'!$L$45</f>
        <v>145858310.61000001</v>
      </c>
      <c r="K8" s="116">
        <f>'[14]Data Input'!$AF$45</f>
        <v>123252607</v>
      </c>
      <c r="L8" s="116">
        <f>'[14]Data Input'!$Q$45</f>
        <v>4671053</v>
      </c>
      <c r="M8" s="116">
        <f>'[14]Data Input'!$V$45</f>
        <v>1029431.6400000001</v>
      </c>
      <c r="N8" s="116">
        <f>'[14]Data Input'!$AA$45</f>
        <v>1196222.5299999998</v>
      </c>
    </row>
    <row r="9" spans="1:19" x14ac:dyDescent="0.2">
      <c r="A9">
        <f>'Purchased Power Model '!A201</f>
        <v>2005</v>
      </c>
      <c r="B9" s="6">
        <f>'Purchased Power Model '!B201</f>
        <v>520774860</v>
      </c>
      <c r="C9" s="6">
        <f>'Purchased Power Model '!K201</f>
        <v>517472706.58177626</v>
      </c>
      <c r="D9" s="37">
        <f t="shared" si="0"/>
        <v>-3302153.4182237387</v>
      </c>
      <c r="E9" s="5">
        <f t="shared" si="1"/>
        <v>-6.3408464422106299E-3</v>
      </c>
      <c r="F9" s="52">
        <f t="shared" si="3"/>
        <v>1.037675044869047</v>
      </c>
      <c r="G9" s="65">
        <f t="shared" si="2"/>
        <v>501866998.31999999</v>
      </c>
      <c r="H9" s="116">
        <f>'[14]Data Input'!$D$59</f>
        <v>170925878.90000001</v>
      </c>
      <c r="I9" s="116">
        <f>'[14]Data Input'!$H$59</f>
        <v>52581299.459999993</v>
      </c>
      <c r="J9" s="116">
        <f>'[14]Data Input'!$L$59</f>
        <v>147125296.04999998</v>
      </c>
      <c r="K9" s="116">
        <f>'[14]Data Input'!$AF$59</f>
        <v>124361165</v>
      </c>
      <c r="L9" s="116">
        <f>'[14]Data Input'!$Q$59</f>
        <v>4673771</v>
      </c>
      <c r="M9" s="116">
        <f>'[14]Data Input'!$V$59</f>
        <v>999999.72</v>
      </c>
      <c r="N9" s="116">
        <f>'[14]Data Input'!$AA$59</f>
        <v>1199588.1900000002</v>
      </c>
    </row>
    <row r="10" spans="1:19" x14ac:dyDescent="0.2">
      <c r="A10">
        <f>'Purchased Power Model '!A202</f>
        <v>2006</v>
      </c>
      <c r="B10" s="6">
        <f>'Purchased Power Model '!B202</f>
        <v>488381990</v>
      </c>
      <c r="C10" s="6">
        <f>'Purchased Power Model '!K202</f>
        <v>493240677.22552299</v>
      </c>
      <c r="D10" s="37">
        <f t="shared" si="0"/>
        <v>4858687.225522995</v>
      </c>
      <c r="E10" s="5">
        <f t="shared" si="1"/>
        <v>9.9485388998947211E-3</v>
      </c>
      <c r="F10" s="52">
        <f t="shared" si="3"/>
        <v>1.0243111284272413</v>
      </c>
      <c r="G10" s="65">
        <f t="shared" si="2"/>
        <v>476790670.77000004</v>
      </c>
      <c r="H10" s="116">
        <f>'[14]Data Input'!$D$73</f>
        <v>160694398.38</v>
      </c>
      <c r="I10" s="116">
        <f>'[14]Data Input'!$H$73</f>
        <v>50343291.240000002</v>
      </c>
      <c r="J10" s="116">
        <f>'[14]Data Input'!$L$73</f>
        <v>146968682.79000002</v>
      </c>
      <c r="K10" s="116">
        <f>'[14]Data Input'!$AF$73</f>
        <v>111878086</v>
      </c>
      <c r="L10" s="116">
        <f>'[14]Data Input'!$Q$73</f>
        <v>4688652</v>
      </c>
      <c r="M10" s="116">
        <f>'[14]Data Input'!$V$73</f>
        <v>1010962.7199999999</v>
      </c>
      <c r="N10" s="116">
        <f>'[14]Data Input'!$AA$73</f>
        <v>1206597.6399999999</v>
      </c>
    </row>
    <row r="11" spans="1:19" x14ac:dyDescent="0.2">
      <c r="A11">
        <f>'Purchased Power Model '!A203</f>
        <v>2007</v>
      </c>
      <c r="B11" s="6">
        <f>'Purchased Power Model '!B203</f>
        <v>493927030</v>
      </c>
      <c r="C11" s="6">
        <f>'Purchased Power Model '!K203</f>
        <v>487518264.45096147</v>
      </c>
      <c r="D11" s="37">
        <f t="shared" si="0"/>
        <v>-6408765.5490385294</v>
      </c>
      <c r="E11" s="5">
        <f t="shared" si="1"/>
        <v>-1.297512620242413E-2</v>
      </c>
      <c r="F11" s="52">
        <f t="shared" si="3"/>
        <v>1.0535212809291725</v>
      </c>
      <c r="G11" s="65">
        <f t="shared" si="2"/>
        <v>468834411.74000007</v>
      </c>
      <c r="H11" s="116">
        <f>'[14]Data Input'!$D$87</f>
        <v>162856079.99000001</v>
      </c>
      <c r="I11" s="116">
        <f>'[14]Data Input'!$H$87</f>
        <v>53416948.359999999</v>
      </c>
      <c r="J11" s="116">
        <f>'[14]Data Input'!$L$87</f>
        <v>163224573.41000003</v>
      </c>
      <c r="K11" s="116">
        <f>'[14]Data Input'!$AF$87</f>
        <v>82520777</v>
      </c>
      <c r="L11" s="116">
        <f>'[14]Data Input'!$Q$87</f>
        <v>4691239</v>
      </c>
      <c r="M11" s="116">
        <f>'[14]Data Input'!$V$87</f>
        <v>980631.10999999975</v>
      </c>
      <c r="N11" s="116">
        <f>'[14]Data Input'!$AA$87</f>
        <v>1144162.8699999999</v>
      </c>
    </row>
    <row r="12" spans="1:19" x14ac:dyDescent="0.2">
      <c r="A12">
        <f>'Purchased Power Model '!A204</f>
        <v>2008</v>
      </c>
      <c r="B12" s="6">
        <f>'Purchased Power Model '!B204</f>
        <v>487062910</v>
      </c>
      <c r="C12" s="6">
        <f>'Purchased Power Model '!K204</f>
        <v>468975372.19405693</v>
      </c>
      <c r="D12" s="37">
        <f t="shared" si="0"/>
        <v>-18087537.805943072</v>
      </c>
      <c r="E12" s="5">
        <f t="shared" si="1"/>
        <v>-3.7135937544378141E-2</v>
      </c>
      <c r="F12" s="52">
        <f t="shared" si="3"/>
        <v>1.0415219824384814</v>
      </c>
      <c r="G12" s="65">
        <f t="shared" si="2"/>
        <v>467645348.06999999</v>
      </c>
      <c r="H12" s="116">
        <f>'[14]Data Input'!$D$101</f>
        <v>157944948.05999997</v>
      </c>
      <c r="I12" s="116">
        <f>'[14]Data Input'!$H$101</f>
        <v>55072082.170000002</v>
      </c>
      <c r="J12" s="116">
        <f>'[14]Data Input'!$L$101</f>
        <v>145113726.81</v>
      </c>
      <c r="K12" s="116">
        <f>'[14]Data Input'!$AF$101</f>
        <v>102682486</v>
      </c>
      <c r="L12" s="116">
        <f>'[14]Data Input'!$Q$101</f>
        <v>4724654</v>
      </c>
      <c r="M12" s="116">
        <f>'[14]Data Input'!$V$101</f>
        <v>949655.42</v>
      </c>
      <c r="N12" s="116">
        <f>'[14]Data Input'!$AA$101</f>
        <v>1157795.6099999999</v>
      </c>
    </row>
    <row r="13" spans="1:19" x14ac:dyDescent="0.2">
      <c r="A13">
        <f>'Purchased Power Model '!A205</f>
        <v>2009</v>
      </c>
      <c r="B13" s="6">
        <f>'Purchased Power Model '!B205</f>
        <v>419617213.07692301</v>
      </c>
      <c r="C13" s="6">
        <f>'Purchased Power Model '!K205</f>
        <v>451430463.66173619</v>
      </c>
      <c r="D13" s="37">
        <f t="shared" si="0"/>
        <v>31813250.584813178</v>
      </c>
      <c r="E13" s="5">
        <f t="shared" si="1"/>
        <v>7.5814932260610729E-2</v>
      </c>
      <c r="F13" s="52">
        <f t="shared" si="3"/>
        <v>1.055629297348927</v>
      </c>
      <c r="G13" s="65">
        <f t="shared" si="2"/>
        <v>397504326.69</v>
      </c>
      <c r="H13" s="116">
        <f>'[14]Data Input'!$D$115</f>
        <v>152428517.84</v>
      </c>
      <c r="I13" s="116">
        <f>'[14]Data Input'!$H$115</f>
        <v>54644526.329999998</v>
      </c>
      <c r="J13" s="116">
        <f>'[14]Data Input'!$L$115</f>
        <v>135381160.95000002</v>
      </c>
      <c r="K13" s="116">
        <f>'[14]Data Input'!$AF$115</f>
        <v>48153613</v>
      </c>
      <c r="L13" s="116">
        <f>'[14]Data Input'!$Q$115</f>
        <v>4691957</v>
      </c>
      <c r="M13" s="116">
        <f>'[14]Data Input'!$V$115</f>
        <v>1052725.24</v>
      </c>
      <c r="N13" s="116">
        <f>'[14]Data Input'!$AA$115</f>
        <v>1151826.33</v>
      </c>
    </row>
    <row r="14" spans="1:19" x14ac:dyDescent="0.2">
      <c r="A14">
        <f>'Purchased Power Model '!A206</f>
        <v>2010</v>
      </c>
      <c r="B14" s="6">
        <f>'Purchased Power Model '!B206</f>
        <v>443594623.07692289</v>
      </c>
      <c r="C14" s="6">
        <f>'Purchased Power Model '!K206</f>
        <v>457976030.17038697</v>
      </c>
      <c r="D14" s="37">
        <f t="shared" si="0"/>
        <v>14381407.093464077</v>
      </c>
      <c r="E14" s="5">
        <f t="shared" si="1"/>
        <v>3.2420156479151516E-2</v>
      </c>
      <c r="F14" s="52">
        <f t="shared" si="3"/>
        <v>1.0413559874036153</v>
      </c>
      <c r="G14" s="65">
        <f t="shared" si="2"/>
        <v>425977886.94999999</v>
      </c>
      <c r="H14" s="116">
        <f>'[14]Data Input'!$D$129</f>
        <v>159733337.50999999</v>
      </c>
      <c r="I14" s="116">
        <f>'[14]Data Input'!$H$129</f>
        <v>54184999.660000004</v>
      </c>
      <c r="J14" s="116">
        <f>'[14]Data Input'!$L$129</f>
        <v>144932476.47</v>
      </c>
      <c r="K14" s="116">
        <f>'[14]Data Input'!$AF$129</f>
        <v>60389409</v>
      </c>
      <c r="L14" s="116">
        <f>'[14]Data Input'!$Q$129</f>
        <v>4700576</v>
      </c>
      <c r="M14" s="116">
        <f>'[14]Data Input'!$V$129</f>
        <v>908961.79999999993</v>
      </c>
      <c r="N14" s="116">
        <f>'[14]Data Input'!$AA$129</f>
        <v>1128126.51</v>
      </c>
    </row>
    <row r="15" spans="1:19" x14ac:dyDescent="0.2">
      <c r="A15">
        <f>'Purchased Power Model '!A207</f>
        <v>2011</v>
      </c>
      <c r="B15" s="6">
        <f>'Purchased Power Model '!B207</f>
        <v>451220848.00000006</v>
      </c>
      <c r="C15" s="6">
        <f>'Purchased Power Model '!K207</f>
        <v>446307047.26310718</v>
      </c>
      <c r="D15" s="37">
        <f t="shared" si="0"/>
        <v>-4913800.736892879</v>
      </c>
      <c r="E15" s="5">
        <f t="shared" si="1"/>
        <v>-1.0890012637210589E-2</v>
      </c>
      <c r="F15" s="52">
        <f t="shared" si="3"/>
        <v>1.0494172374134541</v>
      </c>
      <c r="G15" s="65">
        <f t="shared" si="2"/>
        <v>429972781</v>
      </c>
      <c r="H15" s="116">
        <f>'[14]Data Input'!$D$143</f>
        <v>158621921</v>
      </c>
      <c r="I15" s="116">
        <f>'[14]Data Input'!$H$143</f>
        <v>54435719</v>
      </c>
      <c r="J15" s="116">
        <f>'[14]Data Input'!$L$143</f>
        <v>150174158</v>
      </c>
      <c r="K15" s="116">
        <f>'[14]Data Input'!$AF$143</f>
        <v>59993492</v>
      </c>
      <c r="L15" s="116">
        <f>'[14]Data Input'!$Q$143</f>
        <v>4730347</v>
      </c>
      <c r="M15" s="116">
        <f>'[14]Data Input'!$V$143</f>
        <v>894240</v>
      </c>
      <c r="N15" s="116">
        <f>'[14]Data Input'!$AA$143</f>
        <v>1122904</v>
      </c>
    </row>
    <row r="16" spans="1:19" x14ac:dyDescent="0.2">
      <c r="A16">
        <f>'Purchased Power Model '!A208</f>
        <v>2012</v>
      </c>
      <c r="B16" s="6">
        <f>'Purchased Power Model '!B208</f>
        <v>421671164.32258064</v>
      </c>
      <c r="C16" s="6">
        <f>'Purchased Power Model '!K208</f>
        <v>428913787.08059371</v>
      </c>
      <c r="D16" s="37">
        <f t="shared" si="0"/>
        <v>7242622.7580130696</v>
      </c>
      <c r="E16" s="5">
        <f t="shared" si="1"/>
        <v>1.7175997248112574E-2</v>
      </c>
      <c r="F16" s="52">
        <f t="shared" si="3"/>
        <v>1.0399277667805098</v>
      </c>
      <c r="G16" s="65">
        <f t="shared" si="2"/>
        <v>405481205.32258064</v>
      </c>
      <c r="H16" s="116">
        <f>'[14]Data Input'!$D$157</f>
        <v>159179968</v>
      </c>
      <c r="I16" s="116">
        <f>'[14]Data Input'!$H$157</f>
        <v>50022065</v>
      </c>
      <c r="J16" s="116">
        <f>'[14]Data Input'!$L$157</f>
        <v>141440866.32258064</v>
      </c>
      <c r="K16" s="116">
        <f>'[14]Data Input'!$AF$157</f>
        <v>48424320</v>
      </c>
      <c r="L16" s="116">
        <f>'[14]Data Input'!$Q$157</f>
        <v>4479319</v>
      </c>
      <c r="M16" s="116">
        <f>'[14]Data Input'!$V$157</f>
        <v>849278</v>
      </c>
      <c r="N16" s="116">
        <f>'[14]Data Input'!$AA$157</f>
        <v>1085389</v>
      </c>
    </row>
    <row r="17" spans="1:19" x14ac:dyDescent="0.2">
      <c r="A17">
        <f>'Purchased Power Model '!A209</f>
        <v>2013</v>
      </c>
      <c r="B17" s="6">
        <f>'Purchased Power Model '!B209</f>
        <v>415369616</v>
      </c>
      <c r="C17" s="6">
        <f>'Purchased Power Model '!K209</f>
        <v>408477732.4401511</v>
      </c>
      <c r="D17" s="37">
        <f t="shared" si="0"/>
        <v>-6891883.5598489046</v>
      </c>
      <c r="E17" s="5">
        <f t="shared" si="1"/>
        <v>-1.6592170670107233E-2</v>
      </c>
      <c r="F17" s="52">
        <f t="shared" si="3"/>
        <v>1.0410205456372743</v>
      </c>
      <c r="G17" s="65">
        <f t="shared" si="2"/>
        <v>399002323</v>
      </c>
      <c r="H17" s="116">
        <f>'[14]Data Input'!$D$171</f>
        <v>158724607</v>
      </c>
      <c r="I17" s="116">
        <f>'[14]Data Input'!$H$171</f>
        <v>52726527</v>
      </c>
      <c r="J17" s="116">
        <f>'[14]Data Input'!$L$171</f>
        <v>138149957</v>
      </c>
      <c r="K17" s="116">
        <f>'[14]Data Input'!$AF$171</f>
        <v>44784691</v>
      </c>
      <c r="L17" s="116">
        <f>'[14]Data Input'!$Q$171</f>
        <v>2844301</v>
      </c>
      <c r="M17" s="116">
        <f>'[14]Data Input'!$V$171</f>
        <v>782990</v>
      </c>
      <c r="N17" s="116">
        <f>'[14]Data Input'!$AA$171</f>
        <v>989250</v>
      </c>
    </row>
    <row r="18" spans="1:19" x14ac:dyDescent="0.2">
      <c r="A18">
        <f>'Purchased Power Model '!A210</f>
        <v>2014</v>
      </c>
      <c r="B18" s="6">
        <f>'Purchased Power Model '!B210</f>
        <v>391554997.00000006</v>
      </c>
      <c r="C18" s="6">
        <f>'Purchased Power Model '!K210</f>
        <v>384614257.26620692</v>
      </c>
      <c r="D18" s="37">
        <f t="shared" si="0"/>
        <v>-6940739.7337931395</v>
      </c>
      <c r="E18" s="5">
        <f t="shared" si="1"/>
        <v>-1.7726091575823097E-2</v>
      </c>
      <c r="F18" s="52">
        <f t="shared" si="3"/>
        <v>1.0280119993710763</v>
      </c>
      <c r="G18" s="65">
        <f t="shared" si="2"/>
        <v>380885629</v>
      </c>
      <c r="H18" s="116">
        <f>'[14]Data Input'!$D$185</f>
        <v>158185053</v>
      </c>
      <c r="I18" s="116">
        <f>'[14]Data Input'!$H$185</f>
        <v>53903009</v>
      </c>
      <c r="J18" s="116">
        <f>'[14]Data Input'!$L$185</f>
        <v>144192534</v>
      </c>
      <c r="K18" s="116">
        <f>'[14]Data Input'!$AF$185</f>
        <v>20367511</v>
      </c>
      <c r="L18" s="116">
        <f>'[14]Data Input'!$Q$185</f>
        <v>2503378</v>
      </c>
      <c r="M18" s="116">
        <f>'[14]Data Input'!$V$185</f>
        <v>767199</v>
      </c>
      <c r="N18" s="116">
        <f>'[14]Data Input'!$AA$185</f>
        <v>966945</v>
      </c>
    </row>
    <row r="19" spans="1:19" x14ac:dyDescent="0.2">
      <c r="A19">
        <f>'Purchased Power Model '!A211</f>
        <v>2015</v>
      </c>
      <c r="B19" s="6">
        <f>'Purchased Power Model '!B211</f>
        <v>372480929.99999994</v>
      </c>
      <c r="C19" s="6">
        <f>'Purchased Power Model '!K211</f>
        <v>377299933.41984731</v>
      </c>
      <c r="D19" s="37">
        <f t="shared" si="0"/>
        <v>4819003.4198473692</v>
      </c>
      <c r="E19" s="5">
        <f t="shared" si="1"/>
        <v>1.2937584267327109E-2</v>
      </c>
      <c r="F19" s="52">
        <f t="shared" si="3"/>
        <v>1.0452112037471624</v>
      </c>
      <c r="G19" s="65">
        <f t="shared" si="2"/>
        <v>356369056</v>
      </c>
      <c r="H19" s="116">
        <f>'[14]Data Input'!$D$199</f>
        <v>157973719</v>
      </c>
      <c r="I19" s="116">
        <f>'[14]Data Input'!$H$199</f>
        <v>54312604</v>
      </c>
      <c r="J19" s="116">
        <f>'[14]Data Input'!$L$199</f>
        <v>139796962</v>
      </c>
      <c r="K19" s="116">
        <f>'[14]Data Input'!$AF$199</f>
        <v>277079</v>
      </c>
      <c r="L19" s="116">
        <f>'[14]Data Input'!$Q$199</f>
        <v>2284687</v>
      </c>
      <c r="M19" s="116">
        <f>'[14]Data Input'!$V$199</f>
        <v>753964</v>
      </c>
      <c r="N19" s="116">
        <f>'[14]Data Input'!$AA$199</f>
        <v>970041</v>
      </c>
    </row>
    <row r="20" spans="1:19" x14ac:dyDescent="0.2">
      <c r="A20">
        <f>'Purchased Power Model '!A212</f>
        <v>2016</v>
      </c>
      <c r="B20" s="6">
        <f>'Purchased Power Model '!B212</f>
        <v>380580437.84850001</v>
      </c>
      <c r="C20" s="6">
        <f>'Purchased Power Model '!K212</f>
        <v>377684291.83828664</v>
      </c>
      <c r="D20" s="37">
        <f t="shared" si="0"/>
        <v>-2896146.0102133751</v>
      </c>
      <c r="E20" s="5">
        <f t="shared" si="1"/>
        <v>-7.6098131227813181E-3</v>
      </c>
      <c r="F20" s="52">
        <f t="shared" si="3"/>
        <v>1.0473100047628086</v>
      </c>
      <c r="G20" s="65">
        <f t="shared" si="2"/>
        <v>363388525</v>
      </c>
      <c r="H20" s="116">
        <f>'[15]Data Input'!$D$215</f>
        <v>163109690</v>
      </c>
      <c r="I20" s="116">
        <f>'[15]Data Input'!$H$215</f>
        <v>53545593</v>
      </c>
      <c r="J20" s="116">
        <f>'[15]Data Input'!$L$215</f>
        <v>143431671</v>
      </c>
      <c r="K20" s="116">
        <f>'[15]Data Input'!$AF$215</f>
        <v>0</v>
      </c>
      <c r="L20" s="116">
        <f>'[15]Data Input'!$Q$215</f>
        <v>1575426</v>
      </c>
      <c r="M20" s="116">
        <f>'[15]Data Input'!$V$215</f>
        <v>749437</v>
      </c>
      <c r="N20" s="116">
        <f>'[15]Data Input'!$AA$215</f>
        <v>976708</v>
      </c>
      <c r="P20"/>
      <c r="Q20"/>
      <c r="R20"/>
      <c r="S20"/>
    </row>
    <row r="21" spans="1:19" x14ac:dyDescent="0.2">
      <c r="A21">
        <f>'Purchased Power Model '!A213</f>
        <v>2017</v>
      </c>
      <c r="B21" s="6"/>
      <c r="C21" s="6">
        <f>'Purchased Power Model '!K213</f>
        <v>377669392.21158886</v>
      </c>
      <c r="G21" s="21">
        <f>C21/$F$24</f>
        <v>362675000</v>
      </c>
      <c r="P21"/>
      <c r="Q21"/>
      <c r="R21"/>
      <c r="S21"/>
    </row>
    <row r="22" spans="1:19" x14ac:dyDescent="0.2">
      <c r="B22" s="6"/>
      <c r="C22" s="6"/>
      <c r="G22" s="27"/>
      <c r="P22"/>
      <c r="Q22"/>
      <c r="R22"/>
      <c r="S22"/>
    </row>
    <row r="23" spans="1:19" x14ac:dyDescent="0.2">
      <c r="P23"/>
      <c r="Q23"/>
      <c r="R23"/>
      <c r="S23"/>
    </row>
    <row r="24" spans="1:19" x14ac:dyDescent="0.2">
      <c r="A24" s="19" t="s">
        <v>13</v>
      </c>
      <c r="F24" s="259">
        <f>AVERAGE(F6:F20)</f>
        <v>1.0413438814685017</v>
      </c>
    </row>
    <row r="25" spans="1:19" x14ac:dyDescent="0.2">
      <c r="E25" s="23"/>
      <c r="F25" s="23"/>
      <c r="G25" s="27"/>
    </row>
    <row r="26" spans="1:19" x14ac:dyDescent="0.2">
      <c r="E26" s="23"/>
      <c r="F26" s="23"/>
      <c r="G26" s="27"/>
    </row>
    <row r="27" spans="1:19" x14ac:dyDescent="0.2">
      <c r="A27" s="22" t="s">
        <v>15</v>
      </c>
      <c r="B27" s="13"/>
      <c r="H27" s="27"/>
      <c r="I27" s="27"/>
      <c r="J27" s="27"/>
      <c r="K27" s="27"/>
      <c r="L27" s="27"/>
      <c r="M27" s="27"/>
    </row>
    <row r="28" spans="1:19" x14ac:dyDescent="0.2">
      <c r="H28" s="27"/>
      <c r="I28" s="27"/>
      <c r="J28" s="27"/>
      <c r="K28" s="27"/>
      <c r="L28" s="27"/>
      <c r="M28" s="27"/>
    </row>
    <row r="29" spans="1:19" x14ac:dyDescent="0.2">
      <c r="A29">
        <f t="shared" ref="A29:A44" si="4">A6</f>
        <v>2002</v>
      </c>
      <c r="D29" s="6"/>
      <c r="H29" s="27">
        <f>H6/'Rate Class Customer Model'!B3</f>
        <v>9008.5822186159094</v>
      </c>
      <c r="I29" s="27">
        <f>I6/'Rate Class Customer Model'!C3</f>
        <v>28545.064108365586</v>
      </c>
      <c r="J29" s="27">
        <f>J6/'Rate Class Customer Model'!D3</f>
        <v>921365.4200904977</v>
      </c>
      <c r="K29" s="27">
        <f>K6/'Rate Class Customer Model'!E3</f>
        <v>48139425.472500004</v>
      </c>
      <c r="L29" s="27">
        <f>L6/'Rate Class Customer Model'!F3</f>
        <v>714.13794985768311</v>
      </c>
      <c r="M29" s="27">
        <f>M6/'Rate Class Customer Model'!G3</f>
        <v>795.5875816993464</v>
      </c>
      <c r="N29" s="27">
        <f>N6/'Rate Class Customer Model'!H3</f>
        <v>4500.9371365149836</v>
      </c>
    </row>
    <row r="30" spans="1:19" x14ac:dyDescent="0.2">
      <c r="A30">
        <f t="shared" si="4"/>
        <v>2003</v>
      </c>
      <c r="H30" s="27">
        <f>H7/'Rate Class Customer Model'!B4</f>
        <v>8613.6664969440826</v>
      </c>
      <c r="I30" s="27">
        <f>I7/'Rate Class Customer Model'!C4</f>
        <v>27585.458970908374</v>
      </c>
      <c r="J30" s="27">
        <f>J7/'Rate Class Customer Model'!D4</f>
        <v>630984.26909862144</v>
      </c>
      <c r="K30" s="27">
        <f>K7/'Rate Class Customer Model'!E4</f>
        <v>42958797.81818182</v>
      </c>
      <c r="L30" s="27">
        <f>L7/'Rate Class Customer Model'!F4</f>
        <v>719.91095625241962</v>
      </c>
      <c r="M30" s="27">
        <f>M7/'Rate Class Customer Model'!G4</f>
        <v>1352.846876992415</v>
      </c>
      <c r="N30" s="27">
        <f>N7/'Rate Class Customer Model'!H4</f>
        <v>5348.6929347429823</v>
      </c>
    </row>
    <row r="31" spans="1:19" x14ac:dyDescent="0.2">
      <c r="A31">
        <f t="shared" si="4"/>
        <v>2004</v>
      </c>
      <c r="H31" s="27">
        <f>H8/'Rate Class Customer Model'!B5</f>
        <v>8552.2741841837342</v>
      </c>
      <c r="I31" s="27">
        <f>I8/'Rate Class Customer Model'!C5</f>
        <v>29672.070684822978</v>
      </c>
      <c r="J31" s="27">
        <f>J8/'Rate Class Customer Model'!D5</f>
        <v>673710.4416166282</v>
      </c>
      <c r="K31" s="27">
        <f>K8/'Rate Class Customer Model'!E5</f>
        <v>43500920.117647059</v>
      </c>
      <c r="L31" s="27">
        <f>L8/'Rate Class Customer Model'!F5</f>
        <v>721.80689193365617</v>
      </c>
      <c r="M31" s="27">
        <f>M8/'Rate Class Customer Model'!G5</f>
        <v>1371.8134014436428</v>
      </c>
      <c r="N31" s="27">
        <f>N8/'Rate Class Customer Model'!H5</f>
        <v>5146.8879024740045</v>
      </c>
    </row>
    <row r="32" spans="1:19" x14ac:dyDescent="0.2">
      <c r="A32">
        <f t="shared" si="4"/>
        <v>2005</v>
      </c>
      <c r="H32" s="27">
        <f>H9/'Rate Class Customer Model'!B6</f>
        <v>9113.0496938784581</v>
      </c>
      <c r="I32" s="27">
        <f>I9/'Rate Class Customer Model'!C6</f>
        <v>31097.860695909312</v>
      </c>
      <c r="J32" s="27">
        <f>J9/'Rate Class Customer Model'!D6</f>
        <v>707333.15408653836</v>
      </c>
      <c r="K32" s="27">
        <f>K9/'Rate Class Customer Model'!E6</f>
        <v>43892175.882352941</v>
      </c>
      <c r="L32" s="27">
        <f>L9/'Rate Class Customer Model'!F6</f>
        <v>716.81771938345128</v>
      </c>
      <c r="M32" s="27">
        <f>M9/'Rate Class Customer Model'!G6</f>
        <v>1352.7219749746364</v>
      </c>
      <c r="N32" s="27">
        <f>N9/'Rate Class Customer Model'!H6</f>
        <v>5126.4452564102576</v>
      </c>
    </row>
    <row r="33" spans="1:23" x14ac:dyDescent="0.2">
      <c r="A33">
        <f t="shared" si="4"/>
        <v>2006</v>
      </c>
      <c r="H33" s="27">
        <f>H10/'Rate Class Customer Model'!B7</f>
        <v>8495.6814341478039</v>
      </c>
      <c r="I33" s="27">
        <f>I10/'Rate Class Customer Model'!C7</f>
        <v>30181.829280575541</v>
      </c>
      <c r="J33" s="27">
        <f>J10/'Rate Class Customer Model'!D7</f>
        <v>704885.76877697848</v>
      </c>
      <c r="K33" s="27">
        <f>K10/'Rate Class Customer Model'!E7</f>
        <v>37292695.333333336</v>
      </c>
      <c r="L33" s="27">
        <f>L10/'Rate Class Customer Model'!F7</f>
        <v>714.97876558270752</v>
      </c>
      <c r="M33" s="27">
        <f>M10/'Rate Class Customer Model'!G7</f>
        <v>1380.3109159176242</v>
      </c>
      <c r="N33" s="27">
        <f>N10/'Rate Class Customer Model'!H7</f>
        <v>5187.807839484055</v>
      </c>
    </row>
    <row r="34" spans="1:23" x14ac:dyDescent="0.2">
      <c r="A34">
        <f t="shared" si="4"/>
        <v>2007</v>
      </c>
      <c r="H34" s="27">
        <f>H11/'Rate Class Customer Model'!B8</f>
        <v>8573.1022920413761</v>
      </c>
      <c r="I34" s="27">
        <f>I11/'Rate Class Customer Model'!C8</f>
        <v>32246.87495321461</v>
      </c>
      <c r="J34" s="27">
        <f>J11/'Rate Class Customer Model'!D8</f>
        <v>840641.57979399164</v>
      </c>
      <c r="K34" s="27">
        <f>K11/'Rate Class Customer Model'!E8</f>
        <v>34146528.413793102</v>
      </c>
      <c r="L34" s="27">
        <f>L11/'Rate Class Customer Model'!F8</f>
        <v>709.68266854924116</v>
      </c>
      <c r="M34" s="27">
        <f>M11/'Rate Class Customer Model'!G8</f>
        <v>1392.1179841476396</v>
      </c>
      <c r="N34" s="27">
        <f>N11/'Rate Class Customer Model'!H8</f>
        <v>4938.8325323741001</v>
      </c>
    </row>
    <row r="35" spans="1:23" x14ac:dyDescent="0.2">
      <c r="A35">
        <f t="shared" si="4"/>
        <v>2008</v>
      </c>
      <c r="H35" s="27">
        <f>H12/'Rate Class Customer Model'!B9</f>
        <v>8253.5964288140458</v>
      </c>
      <c r="I35" s="27">
        <f>I12/'Rate Class Customer Model'!C9</f>
        <v>32854.336865026104</v>
      </c>
      <c r="J35" s="27">
        <f>J12/'Rate Class Customer Model'!D9</f>
        <v>823340.29395744682</v>
      </c>
      <c r="K35" s="27">
        <f>K12/'Rate Class Customer Model'!E9</f>
        <v>41072994.399999999</v>
      </c>
      <c r="L35" s="27">
        <f>L12/'Rate Class Customer Model'!F9</f>
        <v>708.28198433420368</v>
      </c>
      <c r="M35" s="27">
        <f>M12/'Rate Class Customer Model'!G9</f>
        <v>1378.3097532656025</v>
      </c>
      <c r="N35" s="27">
        <f>N12/'Rate Class Customer Model'!H9</f>
        <v>4990.4983189655168</v>
      </c>
    </row>
    <row r="36" spans="1:23" x14ac:dyDescent="0.2">
      <c r="A36">
        <f t="shared" si="4"/>
        <v>2009</v>
      </c>
      <c r="H36" s="27">
        <f>H13/'Rate Class Customer Model'!B10</f>
        <v>7907.2396588349729</v>
      </c>
      <c r="I36" s="27">
        <f>I13/'Rate Class Customer Model'!C10</f>
        <v>32330.850801696084</v>
      </c>
      <c r="J36" s="27">
        <f>J13/'Rate Class Customer Model'!D10</f>
        <v>792861.85036603233</v>
      </c>
      <c r="K36" s="27">
        <f>K13/'Rate Class Customer Model'!E10</f>
        <v>19261445.199999999</v>
      </c>
      <c r="L36" s="27">
        <f>L13/'Rate Class Customer Model'!F10</f>
        <v>699.30922956541178</v>
      </c>
      <c r="M36" s="27">
        <f>M13/'Rate Class Customer Model'!G10</f>
        <v>1548.8846101029917</v>
      </c>
      <c r="N36" s="27">
        <f>N13/'Rate Class Customer Model'!H10</f>
        <v>4997.0773535791759</v>
      </c>
    </row>
    <row r="37" spans="1:23" x14ac:dyDescent="0.2">
      <c r="A37">
        <f t="shared" si="4"/>
        <v>2010</v>
      </c>
      <c r="H37" s="27">
        <f>H14/'Rate Class Customer Model'!B11</f>
        <v>8219.1313059362292</v>
      </c>
      <c r="I37" s="27">
        <f>I14/'Rate Class Customer Model'!C11</f>
        <v>32049.487180599372</v>
      </c>
      <c r="J37" s="27">
        <f>J14/'Rate Class Customer Model'!D11</f>
        <v>841000.83058027073</v>
      </c>
      <c r="K37" s="27">
        <f>K14/'Rate Class Customer Model'!E11</f>
        <v>45292056.75</v>
      </c>
      <c r="L37" s="27">
        <f>L14/'Rate Class Customer Model'!F11</f>
        <v>697.65635976846579</v>
      </c>
      <c r="M37" s="27">
        <f>M14/'Rate Class Customer Model'!G11</f>
        <v>1338.348662576687</v>
      </c>
      <c r="N37" s="27">
        <f>N14/'Rate Class Customer Model'!H11</f>
        <v>4964.2530693069311</v>
      </c>
    </row>
    <row r="38" spans="1:23" x14ac:dyDescent="0.2">
      <c r="A38">
        <f t="shared" si="4"/>
        <v>2011</v>
      </c>
      <c r="H38" s="27">
        <f>H15/'Rate Class Customer Model'!B12</f>
        <v>8044.9715042860125</v>
      </c>
      <c r="I38" s="27">
        <f>I15/'Rate Class Customer Model'!C12</f>
        <v>32195.13847771443</v>
      </c>
      <c r="J38" s="27">
        <f>J15/'Rate Class Customer Model'!D12</f>
        <v>884750.78766058455</v>
      </c>
      <c r="K38" s="27">
        <f>K15/'Rate Class Customer Model'!E12</f>
        <v>59993492</v>
      </c>
      <c r="L38" s="27">
        <f>L15/'Rate Class Customer Model'!F12</f>
        <v>701.93604392343082</v>
      </c>
      <c r="M38" s="27">
        <f>M15/'Rate Class Customer Model'!G12</f>
        <v>1348.1993027127201</v>
      </c>
      <c r="N38" s="27">
        <f>N15/'Rate Class Customer Model'!H12</f>
        <v>4961.5125880241167</v>
      </c>
    </row>
    <row r="39" spans="1:23" x14ac:dyDescent="0.2">
      <c r="A39">
        <f t="shared" si="4"/>
        <v>2012</v>
      </c>
      <c r="B39" s="117"/>
      <c r="C39" s="117"/>
      <c r="D39" s="117"/>
      <c r="E39" s="117"/>
      <c r="F39" s="117"/>
      <c r="H39" s="27">
        <f>H16/'Rate Class Customer Model'!B13</f>
        <v>7915.5289534970461</v>
      </c>
      <c r="I39" s="27">
        <f>I16/'Rate Class Customer Model'!C13</f>
        <v>29444.951437260868</v>
      </c>
      <c r="J39" s="27">
        <f>J16/'Rate Class Customer Model'!D13</f>
        <v>816397.49681143218</v>
      </c>
      <c r="K39" s="27">
        <f>K16/'Rate Class Customer Model'!E13</f>
        <v>48424320</v>
      </c>
      <c r="L39" s="27">
        <f>L16/'Rate Class Customer Model'!F13</f>
        <v>663.68475120385233</v>
      </c>
      <c r="M39" s="27">
        <f>M16/'Rate Class Customer Model'!G13</f>
        <v>1354.8436206222457</v>
      </c>
      <c r="N39" s="27">
        <f>N16/'Rate Class Customer Model'!H13</f>
        <v>4917.9364435695261</v>
      </c>
    </row>
    <row r="40" spans="1:23" x14ac:dyDescent="0.2">
      <c r="A40">
        <f t="shared" si="4"/>
        <v>2013</v>
      </c>
      <c r="B40" s="117"/>
      <c r="C40" s="117"/>
      <c r="D40" s="117"/>
      <c r="E40" s="117"/>
      <c r="F40" s="117"/>
      <c r="H40" s="27">
        <f>H17/'Rate Class Customer Model'!B14</f>
        <v>7832.1605171286528</v>
      </c>
      <c r="I40" s="27">
        <f>I17/'Rate Class Customer Model'!C14</f>
        <v>31042.99499558434</v>
      </c>
      <c r="J40" s="27">
        <f>J17/'Rate Class Customer Model'!D14</f>
        <v>800096.27606177609</v>
      </c>
      <c r="K40" s="27">
        <f>K17/'Rate Class Customer Model'!E14</f>
        <v>44784691</v>
      </c>
      <c r="L40" s="27">
        <f>L17/'Rate Class Customer Model'!F14</f>
        <v>419.58046393843654</v>
      </c>
      <c r="M40" s="27">
        <f>M17/'Rate Class Customer Model'!G14</f>
        <v>1349.4011202068075</v>
      </c>
      <c r="N40" s="27">
        <f>N17/'Rate Class Customer Model'!H14</f>
        <v>4200.6369426751589</v>
      </c>
    </row>
    <row r="41" spans="1:23" x14ac:dyDescent="0.2">
      <c r="A41">
        <f t="shared" si="4"/>
        <v>2014</v>
      </c>
      <c r="B41" s="117"/>
      <c r="C41" s="117"/>
      <c r="D41" s="117"/>
      <c r="E41" s="117"/>
      <c r="F41" s="117"/>
      <c r="H41" s="27">
        <f>H18/'Rate Class Customer Model'!B15</f>
        <v>7726.8349547759963</v>
      </c>
      <c r="I41" s="27">
        <f>I18/'Rate Class Customer Model'!C15</f>
        <v>30928.378502438558</v>
      </c>
      <c r="J41" s="27">
        <f>J18/'Rate Class Customer Model'!D15</f>
        <v>871692.90075566759</v>
      </c>
      <c r="K41" s="27">
        <f>K18/'Rate Class Customer Model'!E15</f>
        <v>20367511</v>
      </c>
      <c r="L41" s="27">
        <f>L18/'Rate Class Customer Model'!F15</f>
        <v>368.99395666486515</v>
      </c>
      <c r="M41" s="27">
        <f>M18/'Rate Class Customer Model'!G15</f>
        <v>1477.7508828250402</v>
      </c>
      <c r="N41" s="27">
        <f>N18/'Rate Class Customer Model'!H15</f>
        <v>3728.5796915167098</v>
      </c>
    </row>
    <row r="42" spans="1:23" x14ac:dyDescent="0.2">
      <c r="A42">
        <f t="shared" si="4"/>
        <v>2015</v>
      </c>
      <c r="B42" s="117"/>
      <c r="C42" s="117"/>
      <c r="D42" s="117"/>
      <c r="E42" s="117"/>
      <c r="F42" s="117"/>
      <c r="H42" s="27">
        <f>H19/'Rate Class Customer Model'!B16</f>
        <v>7655.434518184682</v>
      </c>
      <c r="I42" s="27">
        <f>I19/'Rate Class Customer Model'!C16</f>
        <v>30700.986763389705</v>
      </c>
      <c r="J42" s="27">
        <f>J19/'Rate Class Customer Model'!D16</f>
        <v>880148.76390346268</v>
      </c>
      <c r="K42" s="27">
        <f>K19/'Rate Class Customer Model'!E16</f>
        <v>277079</v>
      </c>
      <c r="L42" s="27">
        <f>L19/'Rate Class Customer Model'!F16</f>
        <v>336.35023493761582</v>
      </c>
      <c r="M42" s="27">
        <f>M19/'Rate Class Customer Model'!G16</f>
        <v>1463.7709108558486</v>
      </c>
      <c r="N42" s="27">
        <f>N19/'Rate Class Customer Model'!H16</f>
        <v>3779.3805194805191</v>
      </c>
    </row>
    <row r="43" spans="1:23" x14ac:dyDescent="0.2">
      <c r="A43">
        <f t="shared" si="4"/>
        <v>2016</v>
      </c>
      <c r="H43" s="27">
        <f>H20/'Rate Class Customer Model'!B17</f>
        <v>7833.3384559971182</v>
      </c>
      <c r="I43" s="27">
        <f>I20/'Rate Class Customer Model'!C17</f>
        <v>30241.78076904975</v>
      </c>
      <c r="J43" s="27">
        <f>J20/'Rate Class Customer Model'!D17</f>
        <v>902085.98113207542</v>
      </c>
      <c r="K43" s="27">
        <v>0</v>
      </c>
      <c r="L43" s="27">
        <f>L20/'Rate Class Customer Model'!F17</f>
        <v>230.83164835164834</v>
      </c>
      <c r="M43" s="27">
        <f>M20/'Rate Class Customer Model'!G17</f>
        <v>1473.0948402948402</v>
      </c>
      <c r="N43" s="27">
        <f>N20/'Rate Class Customer Model'!H17</f>
        <v>3737.4030612244901</v>
      </c>
    </row>
    <row r="44" spans="1:23" x14ac:dyDescent="0.2">
      <c r="A44">
        <f t="shared" si="4"/>
        <v>2017</v>
      </c>
      <c r="H44" s="21">
        <f>H43*H61</f>
        <v>7833.3384559971182</v>
      </c>
      <c r="I44" s="21">
        <f t="shared" ref="I44:N44" si="5">I43*I61</f>
        <v>30241.78076904975</v>
      </c>
      <c r="J44" s="21">
        <f t="shared" si="5"/>
        <v>902085.98113207542</v>
      </c>
      <c r="K44" s="21">
        <v>0</v>
      </c>
      <c r="L44" s="21">
        <f t="shared" si="5"/>
        <v>230.83164835164834</v>
      </c>
      <c r="M44" s="21">
        <f t="shared" si="5"/>
        <v>1473.0948402948402</v>
      </c>
      <c r="N44" s="21">
        <f t="shared" si="5"/>
        <v>3688.1051401592053</v>
      </c>
    </row>
    <row r="46" spans="1:23" x14ac:dyDescent="0.2">
      <c r="A46" s="38">
        <v>2003</v>
      </c>
      <c r="D46" s="6"/>
      <c r="H46" s="25">
        <f>H30/H29</f>
        <v>0.95616227813786858</v>
      </c>
      <c r="I46" s="25">
        <f t="shared" ref="I46:N46" si="6">I30/I29</f>
        <v>0.96638279970875995</v>
      </c>
      <c r="J46" s="25">
        <f t="shared" si="6"/>
        <v>0.68483606540892905</v>
      </c>
      <c r="K46" s="25">
        <f t="shared" si="6"/>
        <v>0.89238285244435134</v>
      </c>
      <c r="L46" s="25">
        <f t="shared" si="6"/>
        <v>1.0080838812667594</v>
      </c>
      <c r="M46" s="25">
        <f t="shared" si="6"/>
        <v>1.7004373976059088</v>
      </c>
      <c r="N46" s="25">
        <f t="shared" si="6"/>
        <v>1.1883509528161074</v>
      </c>
      <c r="P46"/>
      <c r="Q46"/>
      <c r="R46"/>
      <c r="S46"/>
      <c r="W46" s="91"/>
    </row>
    <row r="47" spans="1:23" x14ac:dyDescent="0.2">
      <c r="A47" s="38">
        <v>2004</v>
      </c>
      <c r="D47" s="6"/>
      <c r="H47" s="25">
        <f t="shared" ref="H47:N57" si="7">H31/H30</f>
        <v>0.99287268519368277</v>
      </c>
      <c r="I47" s="25">
        <f t="shared" si="7"/>
        <v>1.0756417254509032</v>
      </c>
      <c r="J47" s="25">
        <f t="shared" si="7"/>
        <v>1.0677135304482983</v>
      </c>
      <c r="K47" s="25">
        <f t="shared" si="7"/>
        <v>1.0126195873022263</v>
      </c>
      <c r="L47" s="25">
        <f t="shared" si="7"/>
        <v>1.0026335697002113</v>
      </c>
      <c r="M47" s="25">
        <f t="shared" si="7"/>
        <v>1.0140197126325141</v>
      </c>
      <c r="N47" s="25">
        <f t="shared" si="7"/>
        <v>0.96227021540942603</v>
      </c>
      <c r="P47"/>
      <c r="Q47"/>
      <c r="R47"/>
      <c r="S47"/>
    </row>
    <row r="48" spans="1:23" x14ac:dyDescent="0.2">
      <c r="A48" s="38">
        <v>2005</v>
      </c>
      <c r="D48" s="6"/>
      <c r="H48" s="25">
        <f t="shared" si="7"/>
        <v>1.065570338089932</v>
      </c>
      <c r="I48" s="25">
        <f t="shared" si="7"/>
        <v>1.0480515844758895</v>
      </c>
      <c r="J48" s="25">
        <f t="shared" si="7"/>
        <v>1.0499067706138403</v>
      </c>
      <c r="K48" s="25">
        <f t="shared" si="7"/>
        <v>1.0089941951491541</v>
      </c>
      <c r="L48" s="25">
        <f t="shared" si="7"/>
        <v>0.99308793999342493</v>
      </c>
      <c r="M48" s="25">
        <f t="shared" si="7"/>
        <v>0.98608307336193446</v>
      </c>
      <c r="N48" s="25">
        <f t="shared" si="7"/>
        <v>0.99602815401246247</v>
      </c>
      <c r="P48"/>
      <c r="Q48"/>
      <c r="R48"/>
      <c r="S48"/>
    </row>
    <row r="49" spans="1:19" x14ac:dyDescent="0.2">
      <c r="A49" s="38">
        <v>2006</v>
      </c>
      <c r="D49" s="6"/>
      <c r="H49" s="25">
        <f t="shared" si="7"/>
        <v>0.93225448335419903</v>
      </c>
      <c r="I49" s="25">
        <f t="shared" si="7"/>
        <v>0.97054358740971958</v>
      </c>
      <c r="J49" s="25">
        <f t="shared" si="7"/>
        <v>0.9965399821916725</v>
      </c>
      <c r="K49" s="25">
        <f t="shared" si="7"/>
        <v>0.84964334949562259</v>
      </c>
      <c r="L49" s="25">
        <f t="shared" si="7"/>
        <v>0.99743455867368136</v>
      </c>
      <c r="M49" s="25">
        <f t="shared" si="7"/>
        <v>1.0203951303027403</v>
      </c>
      <c r="N49" s="25">
        <f t="shared" si="7"/>
        <v>1.0119698114394313</v>
      </c>
      <c r="P49"/>
      <c r="Q49"/>
      <c r="R49"/>
      <c r="S49"/>
    </row>
    <row r="50" spans="1:19" x14ac:dyDescent="0.2">
      <c r="A50" s="38">
        <v>2007</v>
      </c>
      <c r="D50" s="6"/>
      <c r="H50" s="25">
        <f t="shared" si="7"/>
        <v>1.009112966216269</v>
      </c>
      <c r="I50" s="25">
        <f t="shared" si="7"/>
        <v>1.0684201627887444</v>
      </c>
      <c r="J50" s="25">
        <f t="shared" si="7"/>
        <v>1.1925926398720719</v>
      </c>
      <c r="K50" s="25">
        <f t="shared" si="7"/>
        <v>0.91563583990326125</v>
      </c>
      <c r="L50" s="25">
        <f t="shared" si="7"/>
        <v>0.99259265129482543</v>
      </c>
      <c r="M50" s="25">
        <f t="shared" si="7"/>
        <v>1.0085539193335771</v>
      </c>
      <c r="N50" s="25">
        <f t="shared" si="7"/>
        <v>0.95200760806616225</v>
      </c>
      <c r="P50"/>
      <c r="Q50"/>
      <c r="R50"/>
      <c r="S50"/>
    </row>
    <row r="51" spans="1:19" x14ac:dyDescent="0.2">
      <c r="A51" s="38">
        <v>2008</v>
      </c>
      <c r="D51" s="6"/>
      <c r="H51" s="25">
        <f t="shared" si="7"/>
        <v>0.96273159326187729</v>
      </c>
      <c r="I51" s="25">
        <f t="shared" si="7"/>
        <v>1.0188378536739708</v>
      </c>
      <c r="J51" s="25">
        <f t="shared" si="7"/>
        <v>0.9794189506533989</v>
      </c>
      <c r="K51" s="25">
        <f t="shared" si="7"/>
        <v>1.2028453933082413</v>
      </c>
      <c r="L51" s="25">
        <f t="shared" si="7"/>
        <v>0.99802632320456575</v>
      </c>
      <c r="M51" s="25">
        <f t="shared" si="7"/>
        <v>0.99008113461698322</v>
      </c>
      <c r="N51" s="25">
        <f t="shared" si="7"/>
        <v>1.0104611335275588</v>
      </c>
      <c r="P51"/>
      <c r="Q51"/>
      <c r="R51"/>
      <c r="S51"/>
    </row>
    <row r="52" spans="1:19" x14ac:dyDescent="0.2">
      <c r="A52" s="38">
        <v>2009</v>
      </c>
      <c r="D52" s="6"/>
      <c r="H52" s="25">
        <f t="shared" si="7"/>
        <v>0.9580356547637936</v>
      </c>
      <c r="I52" s="25">
        <f t="shared" si="7"/>
        <v>0.98406645474292687</v>
      </c>
      <c r="J52" s="25">
        <f t="shared" si="7"/>
        <v>0.96298196041770578</v>
      </c>
      <c r="K52" s="25">
        <f t="shared" si="7"/>
        <v>0.46895643917308349</v>
      </c>
      <c r="L52" s="25">
        <f t="shared" si="7"/>
        <v>0.98733166314087961</v>
      </c>
      <c r="M52" s="25">
        <f t="shared" si="7"/>
        <v>1.1237565477812586</v>
      </c>
      <c r="N52" s="25">
        <f t="shared" si="7"/>
        <v>1.0013183121590596</v>
      </c>
      <c r="P52"/>
      <c r="Q52"/>
      <c r="R52"/>
      <c r="S52"/>
    </row>
    <row r="53" spans="1:19" x14ac:dyDescent="0.2">
      <c r="A53" s="38">
        <v>2010</v>
      </c>
      <c r="D53" s="6"/>
      <c r="H53" s="25">
        <f t="shared" si="7"/>
        <v>1.0394438085296644</v>
      </c>
      <c r="I53" s="25">
        <f t="shared" si="7"/>
        <v>0.99129736415467451</v>
      </c>
      <c r="J53" s="25">
        <f t="shared" si="7"/>
        <v>1.0607154704088924</v>
      </c>
      <c r="K53" s="25">
        <f t="shared" si="7"/>
        <v>2.3514360568333679</v>
      </c>
      <c r="L53" s="25">
        <f t="shared" si="7"/>
        <v>0.99763642502191319</v>
      </c>
      <c r="M53" s="25">
        <f t="shared" si="7"/>
        <v>0.86407254216806684</v>
      </c>
      <c r="N53" s="25">
        <f t="shared" si="7"/>
        <v>0.99343130355011733</v>
      </c>
      <c r="P53"/>
      <c r="Q53"/>
      <c r="R53"/>
      <c r="S53"/>
    </row>
    <row r="54" spans="1:19" x14ac:dyDescent="0.2">
      <c r="A54" s="38">
        <v>2011</v>
      </c>
      <c r="D54" s="6"/>
      <c r="H54" s="25">
        <f t="shared" si="7"/>
        <v>0.97881043687373259</v>
      </c>
      <c r="I54" s="25">
        <f t="shared" si="7"/>
        <v>1.0045445749660302</v>
      </c>
      <c r="J54" s="25">
        <f t="shared" si="7"/>
        <v>1.0520213006806751</v>
      </c>
      <c r="K54" s="25">
        <f t="shared" si="7"/>
        <v>1.3245919109204507</v>
      </c>
      <c r="L54" s="25">
        <f t="shared" si="7"/>
        <v>1.0061343727395897</v>
      </c>
      <c r="M54" s="25">
        <f t="shared" si="7"/>
        <v>1.0073602943773021</v>
      </c>
      <c r="N54" s="25">
        <f t="shared" si="7"/>
        <v>0.99944795697468403</v>
      </c>
      <c r="P54"/>
      <c r="Q54"/>
      <c r="R54"/>
      <c r="S54"/>
    </row>
    <row r="55" spans="1:19" x14ac:dyDescent="0.2">
      <c r="A55" s="38">
        <v>2012</v>
      </c>
      <c r="B55" s="117"/>
      <c r="C55" s="117"/>
      <c r="D55" s="6"/>
      <c r="E55" s="117"/>
      <c r="F55" s="117"/>
      <c r="H55" s="25">
        <f t="shared" si="7"/>
        <v>0.98391012936217304</v>
      </c>
      <c r="I55" s="25">
        <f t="shared" si="7"/>
        <v>0.91457756759278264</v>
      </c>
      <c r="J55" s="25">
        <f t="shared" si="7"/>
        <v>0.92274288782506897</v>
      </c>
      <c r="K55" s="25">
        <f t="shared" si="7"/>
        <v>0.80715954990584649</v>
      </c>
      <c r="L55" s="25">
        <f t="shared" si="7"/>
        <v>0.94550601432891934</v>
      </c>
      <c r="M55" s="25">
        <f t="shared" si="7"/>
        <v>1.0049282905696186</v>
      </c>
      <c r="N55" s="25">
        <f t="shared" si="7"/>
        <v>0.99121716539432492</v>
      </c>
      <c r="P55"/>
      <c r="Q55"/>
      <c r="R55"/>
      <c r="S55"/>
    </row>
    <row r="56" spans="1:19" x14ac:dyDescent="0.2">
      <c r="A56" s="38">
        <v>2013</v>
      </c>
      <c r="B56" s="117"/>
      <c r="C56" s="117"/>
      <c r="D56" s="6"/>
      <c r="E56" s="117"/>
      <c r="F56" s="117"/>
      <c r="H56" s="25">
        <f t="shared" si="7"/>
        <v>0.98946773653938047</v>
      </c>
      <c r="I56" s="25">
        <f t="shared" si="7"/>
        <v>1.0542722429591527</v>
      </c>
      <c r="J56" s="25">
        <f t="shared" si="7"/>
        <v>0.98003274040731014</v>
      </c>
      <c r="K56" s="25">
        <f t="shared" si="7"/>
        <v>0.92483882065871037</v>
      </c>
      <c r="L56" s="25">
        <f t="shared" si="7"/>
        <v>0.63219843936049902</v>
      </c>
      <c r="M56" s="25">
        <f t="shared" si="7"/>
        <v>0.99598293092088475</v>
      </c>
      <c r="N56" s="25">
        <f t="shared" si="7"/>
        <v>0.85414624423780916</v>
      </c>
      <c r="P56"/>
      <c r="Q56"/>
      <c r="R56"/>
      <c r="S56"/>
    </row>
    <row r="57" spans="1:19" x14ac:dyDescent="0.2">
      <c r="A57" s="38">
        <v>2014</v>
      </c>
      <c r="B57" s="117"/>
      <c r="C57" s="117"/>
      <c r="D57" s="6"/>
      <c r="E57" s="117"/>
      <c r="F57" s="117"/>
      <c r="H57" s="25">
        <f t="shared" si="7"/>
        <v>0.98655217010398177</v>
      </c>
      <c r="I57" s="25">
        <f t="shared" si="7"/>
        <v>0.99630781459192042</v>
      </c>
      <c r="J57" s="25">
        <f t="shared" si="7"/>
        <v>1.0894850117867108</v>
      </c>
      <c r="K57" s="25">
        <f t="shared" si="7"/>
        <v>0.45478735132949782</v>
      </c>
      <c r="L57" s="25">
        <f t="shared" si="7"/>
        <v>0.87943550374405954</v>
      </c>
      <c r="M57" s="25">
        <f t="shared" si="7"/>
        <v>1.0951160931291966</v>
      </c>
      <c r="N57" s="25">
        <f t="shared" si="7"/>
        <v>0.8876224587841145</v>
      </c>
      <c r="P57"/>
      <c r="Q57"/>
      <c r="R57"/>
      <c r="S57"/>
    </row>
    <row r="58" spans="1:19" x14ac:dyDescent="0.2">
      <c r="A58" s="38">
        <v>2015</v>
      </c>
      <c r="B58" s="117"/>
      <c r="C58" s="117"/>
      <c r="D58" s="6"/>
      <c r="E58" s="117"/>
      <c r="F58" s="117"/>
      <c r="H58" s="25">
        <f>H42/H41</f>
        <v>0.99075941999418771</v>
      </c>
      <c r="I58" s="25">
        <f t="shared" ref="I58:N59" si="8">I42/I41</f>
        <v>0.9926477962939142</v>
      </c>
      <c r="J58" s="25">
        <f t="shared" si="8"/>
        <v>1.0097005070713145</v>
      </c>
      <c r="K58" s="25">
        <f t="shared" si="8"/>
        <v>1.3603969576842257E-2</v>
      </c>
      <c r="L58" s="25">
        <f t="shared" si="8"/>
        <v>0.91153318059109123</v>
      </c>
      <c r="M58" s="25">
        <f t="shared" si="8"/>
        <v>0.99053969641861017</v>
      </c>
      <c r="N58" s="25">
        <f t="shared" si="8"/>
        <v>1.0136247129381173</v>
      </c>
      <c r="P58"/>
      <c r="Q58"/>
      <c r="R58"/>
      <c r="S58"/>
    </row>
    <row r="59" spans="1:19" x14ac:dyDescent="0.2">
      <c r="A59" s="38">
        <v>2016</v>
      </c>
      <c r="B59" s="258"/>
      <c r="C59" s="258"/>
      <c r="D59" s="6"/>
      <c r="E59" s="258"/>
      <c r="F59" s="258"/>
      <c r="H59" s="25">
        <f>H43/H42</f>
        <v>1.0232389079143507</v>
      </c>
      <c r="I59" s="25">
        <f t="shared" si="8"/>
        <v>0.98504263078320509</v>
      </c>
      <c r="J59" s="25">
        <f t="shared" si="8"/>
        <v>1.0249244424673405</v>
      </c>
      <c r="K59" s="25">
        <f t="shared" si="8"/>
        <v>0</v>
      </c>
      <c r="L59" s="25">
        <f t="shared" si="8"/>
        <v>0.68628359482032641</v>
      </c>
      <c r="M59" s="25">
        <f t="shared" si="8"/>
        <v>1.0063698010186171</v>
      </c>
      <c r="N59" s="25">
        <f t="shared" si="8"/>
        <v>0.9888930320618261</v>
      </c>
      <c r="P59"/>
      <c r="Q59"/>
      <c r="R59"/>
      <c r="S59"/>
    </row>
    <row r="60" spans="1:19" x14ac:dyDescent="0.2">
      <c r="A60" s="3"/>
      <c r="D60" s="6"/>
      <c r="E60" s="6"/>
      <c r="F60" s="6"/>
      <c r="P60"/>
      <c r="Q60"/>
      <c r="R60"/>
      <c r="S60"/>
    </row>
    <row r="61" spans="1:19" x14ac:dyDescent="0.2">
      <c r="A61" t="s">
        <v>17</v>
      </c>
      <c r="D61" s="6"/>
      <c r="H61" s="25">
        <v>1</v>
      </c>
      <c r="I61" s="25">
        <v>1</v>
      </c>
      <c r="J61" s="25">
        <v>1</v>
      </c>
      <c r="K61" s="25">
        <v>1</v>
      </c>
      <c r="L61" s="25">
        <v>1</v>
      </c>
      <c r="M61" s="25">
        <v>1</v>
      </c>
      <c r="N61" s="25">
        <f>N63</f>
        <v>0.98680957866793917</v>
      </c>
      <c r="P61"/>
      <c r="Q61"/>
      <c r="R61"/>
      <c r="S61"/>
    </row>
    <row r="62" spans="1:19" x14ac:dyDescent="0.2">
      <c r="A62" s="3"/>
      <c r="D62" s="6"/>
      <c r="H62" s="13"/>
      <c r="I62" s="13"/>
      <c r="L62" s="11"/>
      <c r="M62" s="11"/>
      <c r="N62" s="11"/>
      <c r="P62"/>
      <c r="Q62"/>
      <c r="R62"/>
      <c r="S62"/>
    </row>
    <row r="63" spans="1:19" x14ac:dyDescent="0.2">
      <c r="A63" t="s">
        <v>14</v>
      </c>
      <c r="D63" s="6"/>
      <c r="H63" s="25">
        <f>GEOMEAN(H46:H59)</f>
        <v>0.99006476124082388</v>
      </c>
      <c r="I63" s="25">
        <f t="shared" ref="I63:N63" si="9">GEOMEAN(I46:I59)</f>
        <v>1.0041328311292035</v>
      </c>
      <c r="J63" s="25">
        <f t="shared" si="9"/>
        <v>0.99849064852074687</v>
      </c>
      <c r="K63" s="25"/>
      <c r="L63" s="25">
        <f t="shared" si="9"/>
        <v>0.92249757132363408</v>
      </c>
      <c r="M63" s="25">
        <f t="shared" si="9"/>
        <v>1.0449853302607515</v>
      </c>
      <c r="N63" s="25">
        <f t="shared" si="9"/>
        <v>0.98680957866793917</v>
      </c>
      <c r="P63"/>
      <c r="Q63"/>
      <c r="R63"/>
      <c r="S63"/>
    </row>
    <row r="64" spans="1:19" x14ac:dyDescent="0.2">
      <c r="D64" s="6"/>
      <c r="H64" s="25"/>
      <c r="I64" s="25"/>
      <c r="J64" s="25"/>
      <c r="K64" s="25"/>
      <c r="L64" s="25"/>
      <c r="M64" s="25"/>
      <c r="N64" s="25"/>
      <c r="P64"/>
      <c r="Q64"/>
      <c r="R64"/>
      <c r="S64"/>
    </row>
    <row r="65" spans="1:20" x14ac:dyDescent="0.2">
      <c r="A65" s="19" t="s">
        <v>44</v>
      </c>
    </row>
    <row r="66" spans="1:20" x14ac:dyDescent="0.2">
      <c r="A66">
        <v>2017</v>
      </c>
      <c r="G66" s="37">
        <f>SUM(H66:N66)</f>
        <v>361042547.44911665</v>
      </c>
      <c r="H66" s="37">
        <f>H44*'Rate Class Customer Model'!B18</f>
        <v>164699811.89256266</v>
      </c>
      <c r="I66" s="37">
        <f>I44*'Rate Class Customer Model'!C18</f>
        <v>53747967.302524664</v>
      </c>
      <c r="J66" s="37">
        <f>J44*'Rate Class Customer Model'!D18</f>
        <v>139299036.08033976</v>
      </c>
      <c r="K66" s="37">
        <f>K44*'Rate Class Customer Model'!E18</f>
        <v>0</v>
      </c>
      <c r="L66" s="37">
        <f>L44*'Rate Class Customer Model'!F18</f>
        <v>1582470.3637279498</v>
      </c>
      <c r="M66" s="37">
        <f>M44*'Rate Class Customer Model'!G18</f>
        <v>749437</v>
      </c>
      <c r="N66" s="37">
        <f>N44*'Rate Class Customer Model'!H18</f>
        <v>963824.80996160558</v>
      </c>
    </row>
    <row r="67" spans="1:20" x14ac:dyDescent="0.2">
      <c r="G67" s="37"/>
      <c r="H67" s="37"/>
      <c r="I67" s="37"/>
      <c r="J67" s="37"/>
      <c r="K67" s="37"/>
      <c r="L67" s="37"/>
      <c r="M67" s="37"/>
      <c r="N67" s="37"/>
    </row>
    <row r="68" spans="1:20" x14ac:dyDescent="0.2">
      <c r="A68" s="19" t="s">
        <v>43</v>
      </c>
      <c r="G68" s="37"/>
      <c r="H68" s="37"/>
      <c r="I68" s="37"/>
      <c r="J68" s="37"/>
      <c r="K68" s="37"/>
      <c r="L68" s="37"/>
      <c r="M68" s="37"/>
      <c r="O68" s="37" t="s">
        <v>16</v>
      </c>
    </row>
    <row r="69" spans="1:20" x14ac:dyDescent="0.2">
      <c r="A69">
        <v>2017</v>
      </c>
      <c r="G69" s="56">
        <f>G21</f>
        <v>362675000</v>
      </c>
      <c r="H69" s="37">
        <f t="shared" ref="H69:N69" si="10">H66+H75+H82</f>
        <v>165521772.36384144</v>
      </c>
      <c r="I69" s="37">
        <f t="shared" si="10"/>
        <v>54016205.037750974</v>
      </c>
      <c r="J69" s="37">
        <f t="shared" si="10"/>
        <v>139841290.42471802</v>
      </c>
      <c r="K69" s="37">
        <f t="shared" si="10"/>
        <v>0</v>
      </c>
      <c r="L69" s="37">
        <f t="shared" si="10"/>
        <v>1582470.3637279498</v>
      </c>
      <c r="M69" s="37">
        <f t="shared" si="10"/>
        <v>749437</v>
      </c>
      <c r="N69" s="37">
        <f t="shared" si="10"/>
        <v>963824.80996160558</v>
      </c>
      <c r="O69" s="37">
        <f>SUM(H69:N69)</f>
        <v>362675000</v>
      </c>
      <c r="P69" s="6">
        <f>O69-G69</f>
        <v>0</v>
      </c>
      <c r="R69" s="6">
        <v>360500000</v>
      </c>
      <c r="S69" s="6">
        <f>R69-P69</f>
        <v>360500000</v>
      </c>
      <c r="T69">
        <f>S69*F24</f>
        <v>375404469.26939487</v>
      </c>
    </row>
    <row r="70" spans="1:20" x14ac:dyDescent="0.2">
      <c r="G70" s="37"/>
      <c r="H70" s="37"/>
      <c r="I70" s="37"/>
      <c r="J70" s="37"/>
      <c r="K70" s="37"/>
      <c r="L70" s="37"/>
      <c r="M70" s="37"/>
      <c r="O70" s="37"/>
    </row>
    <row r="71" spans="1:20" x14ac:dyDescent="0.2">
      <c r="A71" s="51" t="s">
        <v>45</v>
      </c>
      <c r="G71" s="37"/>
      <c r="H71" s="57">
        <v>0.81967514412601028</v>
      </c>
      <c r="I71" s="57">
        <v>0.81967514412601028</v>
      </c>
      <c r="J71" s="57">
        <v>0.63935028825202056</v>
      </c>
      <c r="K71" s="57"/>
      <c r="L71" s="57"/>
      <c r="M71" s="57"/>
      <c r="N71" s="57"/>
      <c r="O71" s="37" t="s">
        <v>16</v>
      </c>
    </row>
    <row r="72" spans="1:20" x14ac:dyDescent="0.2">
      <c r="A72">
        <v>2017</v>
      </c>
      <c r="G72" s="37">
        <f>G69-G66</f>
        <v>1632452.5508833528</v>
      </c>
      <c r="H72" s="37">
        <f t="shared" ref="H72:N72" si="11">H66*H71</f>
        <v>135000342.05056307</v>
      </c>
      <c r="I72" s="37">
        <f t="shared" si="11"/>
        <v>44055872.845176995</v>
      </c>
      <c r="J72" s="37">
        <f t="shared" si="11"/>
        <v>89060878.871193841</v>
      </c>
      <c r="K72" s="37">
        <f t="shared" si="11"/>
        <v>0</v>
      </c>
      <c r="L72" s="37">
        <f t="shared" si="11"/>
        <v>0</v>
      </c>
      <c r="M72" s="37">
        <f t="shared" si="11"/>
        <v>0</v>
      </c>
      <c r="N72" s="37">
        <f t="shared" si="11"/>
        <v>0</v>
      </c>
      <c r="O72" s="37">
        <f>SUM(H72:N72)</f>
        <v>268117093.76693392</v>
      </c>
    </row>
    <row r="73" spans="1:20" ht="12" customHeight="1" x14ac:dyDescent="0.2">
      <c r="G73" s="37"/>
      <c r="H73" s="37"/>
      <c r="I73" s="37"/>
      <c r="J73" s="37"/>
      <c r="K73" s="37"/>
      <c r="L73" s="37"/>
      <c r="M73" s="37"/>
      <c r="O73" s="37"/>
    </row>
    <row r="74" spans="1:20" x14ac:dyDescent="0.2">
      <c r="A74" t="s">
        <v>46</v>
      </c>
      <c r="G74" s="37"/>
      <c r="H74" s="37"/>
      <c r="I74" s="37"/>
      <c r="J74" s="37"/>
      <c r="K74" s="37"/>
      <c r="L74" s="37"/>
      <c r="M74" s="37"/>
      <c r="O74" s="37"/>
    </row>
    <row r="75" spans="1:20" x14ac:dyDescent="0.2">
      <c r="A75">
        <v>2017</v>
      </c>
      <c r="H75" s="37">
        <f t="shared" ref="H75:N75" si="12">H72/$O$72*$G$72</f>
        <v>821960.47127878375</v>
      </c>
      <c r="I75" s="37">
        <f t="shared" si="12"/>
        <v>268237.73522630724</v>
      </c>
      <c r="J75" s="37">
        <f t="shared" si="12"/>
        <v>542254.34437826183</v>
      </c>
      <c r="K75" s="37">
        <f t="shared" si="12"/>
        <v>0</v>
      </c>
      <c r="L75" s="37">
        <f t="shared" si="12"/>
        <v>0</v>
      </c>
      <c r="M75" s="37">
        <f t="shared" si="12"/>
        <v>0</v>
      </c>
      <c r="N75" s="37">
        <f t="shared" si="12"/>
        <v>0</v>
      </c>
      <c r="O75" s="37">
        <f>SUM(H75:N75)</f>
        <v>1632452.5508833528</v>
      </c>
    </row>
    <row r="76" spans="1:20" x14ac:dyDescent="0.2">
      <c r="J76" s="37"/>
    </row>
    <row r="78" spans="1:20" x14ac:dyDescent="0.2">
      <c r="A78" t="s">
        <v>101</v>
      </c>
    </row>
    <row r="79" spans="1:20" x14ac:dyDescent="0.2">
      <c r="A79" s="94" t="s">
        <v>172</v>
      </c>
      <c r="B79" s="117"/>
      <c r="C79" s="117"/>
      <c r="D79" s="117"/>
      <c r="E79" s="117"/>
      <c r="F79" s="117"/>
    </row>
    <row r="80" spans="1:20" x14ac:dyDescent="0.2">
      <c r="A80" s="94">
        <v>2017</v>
      </c>
      <c r="B80" s="117"/>
      <c r="C80" s="117"/>
      <c r="D80" s="117"/>
      <c r="E80" s="117"/>
      <c r="F80" s="117"/>
      <c r="H80" s="119">
        <f>(100%-$L$80)*H84</f>
        <v>0.21597271182785555</v>
      </c>
      <c r="I80" s="119">
        <f>(100%-$L$80)*I84</f>
        <v>8.6389084731142221E-2</v>
      </c>
      <c r="J80" s="119">
        <f>(100%-$L$80)*J84</f>
        <v>0.56152905075242443</v>
      </c>
      <c r="K80" s="119">
        <v>0</v>
      </c>
      <c r="L80" s="119">
        <v>0.13610915268857782</v>
      </c>
      <c r="M80" s="119">
        <v>0</v>
      </c>
      <c r="N80" s="119">
        <v>0</v>
      </c>
    </row>
    <row r="81" spans="1:15" x14ac:dyDescent="0.2">
      <c r="A81" s="94"/>
      <c r="B81" s="117"/>
      <c r="C81" s="117"/>
      <c r="D81" s="117"/>
      <c r="E81" s="117"/>
      <c r="F81" s="117"/>
    </row>
    <row r="82" spans="1:15" x14ac:dyDescent="0.2">
      <c r="A82">
        <v>2017</v>
      </c>
      <c r="G82" s="37"/>
      <c r="H82" s="37">
        <f>H80*$G$82</f>
        <v>0</v>
      </c>
      <c r="I82" s="37">
        <f t="shared" ref="I82:N82" si="13">I80*$G$82</f>
        <v>0</v>
      </c>
      <c r="J82" s="37">
        <f t="shared" si="13"/>
        <v>0</v>
      </c>
      <c r="K82" s="37">
        <f t="shared" si="13"/>
        <v>0</v>
      </c>
      <c r="L82" s="37">
        <f t="shared" si="13"/>
        <v>0</v>
      </c>
      <c r="M82" s="37">
        <f t="shared" si="13"/>
        <v>0</v>
      </c>
      <c r="N82" s="37">
        <f t="shared" si="13"/>
        <v>0</v>
      </c>
      <c r="O82" s="37">
        <f>SUM(H82:N82)</f>
        <v>0</v>
      </c>
    </row>
    <row r="84" spans="1:15" x14ac:dyDescent="0.2">
      <c r="H84" s="119">
        <v>0.25</v>
      </c>
      <c r="I84" s="119">
        <v>0.1</v>
      </c>
      <c r="J84" s="119">
        <v>0.65</v>
      </c>
    </row>
    <row r="87" spans="1:15" x14ac:dyDescent="0.2">
      <c r="E87" s="96" t="s">
        <v>216</v>
      </c>
      <c r="G87" s="6">
        <f>'[16]D. CDM Plan Milestone LDC 1'!$Q$47*1000</f>
        <v>4054000</v>
      </c>
    </row>
    <row r="88" spans="1:15" x14ac:dyDescent="0.2">
      <c r="E88" s="96" t="s">
        <v>217</v>
      </c>
      <c r="G88" s="6">
        <f>'[16]D. CDM Plan Milestone LDC 1'!$S$47*1000</f>
        <v>4350000</v>
      </c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Q93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J37" sqref="J3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7" ht="42" customHeight="1" x14ac:dyDescent="0.2">
      <c r="B2" s="9" t="str">
        <f>'Rate Class Energy Model'!H2</f>
        <v xml:space="preserve">Residential </v>
      </c>
      <c r="C2" s="9" t="str">
        <f>'Rate Class Energy Model'!I2</f>
        <v>General Service 
&lt; 50 kW</v>
      </c>
      <c r="D2" s="9" t="str">
        <f>'Rate Class Energy Model'!J2</f>
        <v>General Service 
50 to 
4,999 kW</v>
      </c>
      <c r="E2" s="9" t="str">
        <f>'Rate Class Energy Model'!K2</f>
        <v>Large User</v>
      </c>
      <c r="F2" s="9" t="str">
        <f>'Rate Class Energy Model'!L2</f>
        <v xml:space="preserve">Street Lights </v>
      </c>
      <c r="G2" s="9" t="str">
        <f>'Rate Class Energy Model'!M2</f>
        <v>Sentinel Lights</v>
      </c>
      <c r="H2" s="9" t="str">
        <f>'Rate Class Energy Model'!N2</f>
        <v xml:space="preserve">Unmetered Scattered Loads </v>
      </c>
      <c r="I2" s="6" t="s">
        <v>10</v>
      </c>
    </row>
    <row r="3" spans="1:17" x14ac:dyDescent="0.2">
      <c r="A3" s="4">
        <v>2002</v>
      </c>
      <c r="B3" s="39">
        <f>'[14]Data Input'!$F$17</f>
        <v>18178</v>
      </c>
      <c r="C3" s="39">
        <f>'[14]Data Input'!$J$17</f>
        <v>1679.5</v>
      </c>
      <c r="D3" s="39">
        <f>'[14]Data Input'!$O$17</f>
        <v>239.41666666666666</v>
      </c>
      <c r="E3" s="39">
        <f>'[14]Data Input'!$AH$17</f>
        <v>1.3333333333333333</v>
      </c>
      <c r="F3" s="39">
        <f>'[14]Data Input'!$T$17</f>
        <v>6411.75</v>
      </c>
      <c r="G3" s="39">
        <f>'[14]Data Input'!$Y$17</f>
        <v>765</v>
      </c>
      <c r="H3" s="39">
        <f>'[14]Data Input'!$AC$17</f>
        <v>225.25</v>
      </c>
      <c r="I3" s="39">
        <f>SUM(B3:H3)</f>
        <v>27500.25</v>
      </c>
      <c r="K3"/>
      <c r="L3"/>
      <c r="M3"/>
      <c r="N3"/>
    </row>
    <row r="4" spans="1:17" x14ac:dyDescent="0.2">
      <c r="A4" s="4">
        <v>2003</v>
      </c>
      <c r="B4" s="39">
        <f>'[14]Data Input'!$F$31</f>
        <v>18297.833333333332</v>
      </c>
      <c r="C4" s="39">
        <f>'[14]Data Input'!$J$31</f>
        <v>1684.3333333333333</v>
      </c>
      <c r="D4" s="39">
        <f>'[14]Data Input'!$O$31</f>
        <v>235.75</v>
      </c>
      <c r="E4" s="39">
        <f>'[14]Data Input'!$AH$31</f>
        <v>2.75</v>
      </c>
      <c r="F4" s="39">
        <f>'[14]Data Input'!$T$31</f>
        <v>6457.5</v>
      </c>
      <c r="G4" s="39">
        <f>'[14]Data Input'!$Y$31</f>
        <v>758.08333333333337</v>
      </c>
      <c r="H4" s="39">
        <f>'[14]Data Input'!$AC$31</f>
        <v>228.58333333333334</v>
      </c>
      <c r="I4" s="39">
        <f t="shared" ref="I4:I18" si="0">SUM(B4:H4)</f>
        <v>27664.833333333328</v>
      </c>
      <c r="K4"/>
      <c r="L4"/>
      <c r="M4"/>
      <c r="N4"/>
    </row>
    <row r="5" spans="1:17" x14ac:dyDescent="0.2">
      <c r="A5" s="4">
        <v>2004</v>
      </c>
      <c r="B5" s="39">
        <f>'[14]Data Input'!$F$45</f>
        <v>18497.833333333332</v>
      </c>
      <c r="C5" s="39">
        <f>'[14]Data Input'!$J$45</f>
        <v>1682.9166666666667</v>
      </c>
      <c r="D5" s="39">
        <f>'[14]Data Input'!$O$45</f>
        <v>216.5</v>
      </c>
      <c r="E5" s="39">
        <f>'[14]Data Input'!$AH$45</f>
        <v>2.8333333333333335</v>
      </c>
      <c r="F5" s="39">
        <f>'[14]Data Input'!$T$45</f>
        <v>6471.333333333333</v>
      </c>
      <c r="G5" s="39">
        <f>'[14]Data Input'!$Y$45</f>
        <v>750.41666666666663</v>
      </c>
      <c r="H5" s="39">
        <f>'[14]Data Input'!$AC$45</f>
        <v>232.41666666666666</v>
      </c>
      <c r="I5" s="39">
        <f t="shared" si="0"/>
        <v>27854.25</v>
      </c>
      <c r="K5"/>
      <c r="L5"/>
      <c r="M5"/>
      <c r="N5"/>
    </row>
    <row r="6" spans="1:17" x14ac:dyDescent="0.2">
      <c r="A6" s="4">
        <v>2005</v>
      </c>
      <c r="B6" s="39">
        <f>'[14]Data Input'!$F$59</f>
        <v>18756.166666666668</v>
      </c>
      <c r="C6" s="39">
        <f>'[14]Data Input'!$J$59</f>
        <v>1690.8333333333333</v>
      </c>
      <c r="D6" s="39">
        <f>'[14]Data Input'!$O$59</f>
        <v>208</v>
      </c>
      <c r="E6" s="39">
        <f>'[14]Data Input'!$AH$59</f>
        <v>2.8333333333333335</v>
      </c>
      <c r="F6" s="39">
        <f>'[14]Data Input'!$T$59</f>
        <v>6520.166666666667</v>
      </c>
      <c r="G6" s="39">
        <f>'[14]Data Input'!$Y$59</f>
        <v>739.25</v>
      </c>
      <c r="H6" s="39">
        <f>'[14]Data Input'!$AC$59</f>
        <v>234</v>
      </c>
      <c r="I6" s="39">
        <f t="shared" si="0"/>
        <v>28151.25</v>
      </c>
      <c r="K6"/>
      <c r="L6"/>
      <c r="M6"/>
      <c r="N6"/>
    </row>
    <row r="7" spans="1:17" x14ac:dyDescent="0.2">
      <c r="A7" s="4">
        <v>2006</v>
      </c>
      <c r="B7" s="39">
        <f>'[14]Data Input'!$F$73</f>
        <v>18914.833333333332</v>
      </c>
      <c r="C7" s="39">
        <f>'[14]Data Input'!$J$73</f>
        <v>1668</v>
      </c>
      <c r="D7" s="39">
        <f>'[14]Data Input'!$O$73</f>
        <v>208.5</v>
      </c>
      <c r="E7" s="39">
        <f>'[14]Data Input'!$AH$73</f>
        <v>3</v>
      </c>
      <c r="F7" s="39">
        <f>'[14]Data Input'!$T$73</f>
        <v>6557.75</v>
      </c>
      <c r="G7" s="39">
        <f>'[14]Data Input'!$Y$73</f>
        <v>732.41666666666663</v>
      </c>
      <c r="H7" s="39">
        <f>'[14]Data Input'!$AC$73</f>
        <v>232.58333333333334</v>
      </c>
      <c r="I7" s="39">
        <f t="shared" si="0"/>
        <v>28317.083333333332</v>
      </c>
      <c r="K7"/>
      <c r="L7"/>
      <c r="M7"/>
      <c r="N7"/>
    </row>
    <row r="8" spans="1:17" x14ac:dyDescent="0.2">
      <c r="A8" s="4">
        <v>2007</v>
      </c>
      <c r="B8" s="39">
        <f>'[14]Data Input'!$F$87</f>
        <v>18996.166666666668</v>
      </c>
      <c r="C8" s="39">
        <f>'[14]Data Input'!$J$87</f>
        <v>1656.5</v>
      </c>
      <c r="D8" s="39">
        <f>'[14]Data Input'!$O$87</f>
        <v>194.16666666666666</v>
      </c>
      <c r="E8" s="39">
        <f>'[14]Data Input'!$AH$87</f>
        <v>2.4166666666666665</v>
      </c>
      <c r="F8" s="39">
        <f>'[14]Data Input'!$T$87</f>
        <v>6610.333333333333</v>
      </c>
      <c r="G8" s="39">
        <f>'[14]Data Input'!$Y$87</f>
        <v>704.41666666666663</v>
      </c>
      <c r="H8" s="39">
        <f>'[14]Data Input'!$AC$87</f>
        <v>231.66666666666666</v>
      </c>
      <c r="I8" s="39">
        <f t="shared" si="0"/>
        <v>28395.666666666672</v>
      </c>
      <c r="K8"/>
      <c r="L8"/>
      <c r="M8"/>
      <c r="N8"/>
    </row>
    <row r="9" spans="1:17" x14ac:dyDescent="0.2">
      <c r="A9" s="4">
        <v>2008</v>
      </c>
      <c r="B9" s="39">
        <f>'[14]Data Input'!$F$101</f>
        <v>19136.5</v>
      </c>
      <c r="C9" s="39">
        <f>'[14]Data Input'!$J$101</f>
        <v>1676.25</v>
      </c>
      <c r="D9" s="39">
        <f>'[14]Data Input'!$O$101</f>
        <v>176.25</v>
      </c>
      <c r="E9" s="39">
        <f>'[14]Data Input'!$AH$101</f>
        <v>2.5</v>
      </c>
      <c r="F9" s="39">
        <f>'[14]Data Input'!$T$101</f>
        <v>6670.583333333333</v>
      </c>
      <c r="G9" s="39">
        <f>'[14]Data Input'!$Y$101</f>
        <v>689</v>
      </c>
      <c r="H9" s="39">
        <f>'[14]Data Input'!$AC$101</f>
        <v>232</v>
      </c>
      <c r="I9" s="39">
        <f t="shared" si="0"/>
        <v>28583.083333333332</v>
      </c>
      <c r="K9"/>
      <c r="L9"/>
      <c r="M9"/>
      <c r="N9"/>
    </row>
    <row r="10" spans="1:17" x14ac:dyDescent="0.2">
      <c r="A10" s="4">
        <v>2009</v>
      </c>
      <c r="B10" s="39">
        <f>'[14]Data Input'!$F$115</f>
        <v>19277.083333333332</v>
      </c>
      <c r="C10" s="39">
        <f>'[14]Data Input'!$J$115</f>
        <v>1690.1666666666667</v>
      </c>
      <c r="D10" s="39">
        <f>'[14]Data Input'!$O$115</f>
        <v>170.75</v>
      </c>
      <c r="E10" s="39">
        <f>'[14]Data Input'!$AH$115</f>
        <v>2.5</v>
      </c>
      <c r="F10" s="39">
        <f>'[14]Data Input'!$T$115</f>
        <v>6709.416666666667</v>
      </c>
      <c r="G10" s="39">
        <f>'[14]Data Input'!$Y$115</f>
        <v>679.66666666666663</v>
      </c>
      <c r="H10" s="39">
        <f>'[14]Data Input'!$AC$115</f>
        <v>230.5</v>
      </c>
      <c r="I10" s="39">
        <f t="shared" si="0"/>
        <v>28760.083333333336</v>
      </c>
      <c r="K10"/>
      <c r="L10"/>
      <c r="M10"/>
      <c r="N10"/>
    </row>
    <row r="11" spans="1:17" x14ac:dyDescent="0.2">
      <c r="A11" s="4">
        <v>2010</v>
      </c>
      <c r="B11" s="39">
        <f>'[14]Data Input'!$F$129</f>
        <v>19434.333333333332</v>
      </c>
      <c r="C11" s="39">
        <f>'[14]Data Input'!$J$129</f>
        <v>1690.6666666666667</v>
      </c>
      <c r="D11" s="39">
        <f>'[14]Data Input'!$O$129</f>
        <v>172.33333333333334</v>
      </c>
      <c r="E11" s="39">
        <f>'[14]Data Input'!$AH$129</f>
        <v>1.3333333333333333</v>
      </c>
      <c r="F11" s="39">
        <f>'[14]Data Input'!$T$129</f>
        <v>6737.666666666667</v>
      </c>
      <c r="G11" s="39">
        <f>'[14]Data Input'!$Y$129</f>
        <v>679.16666666666663</v>
      </c>
      <c r="H11" s="39">
        <f>'[14]Data Input'!$AC$129</f>
        <v>227.25</v>
      </c>
      <c r="I11" s="39">
        <f t="shared" si="0"/>
        <v>28942.75</v>
      </c>
      <c r="K11"/>
      <c r="L11"/>
      <c r="M11"/>
      <c r="N11"/>
    </row>
    <row r="12" spans="1:17" x14ac:dyDescent="0.2">
      <c r="A12" s="4">
        <v>2011</v>
      </c>
      <c r="B12" s="39">
        <f>'[14]Data Input'!$F$143</f>
        <v>19716.902777777785</v>
      </c>
      <c r="C12" s="39">
        <f>'[14]Data Input'!$J$143</f>
        <v>1690.8055555555559</v>
      </c>
      <c r="D12" s="39">
        <f>'[14]Data Input'!$O$143</f>
        <v>169.73611111111106</v>
      </c>
      <c r="E12" s="39">
        <f>'[14]Data Input'!$AH$143</f>
        <v>1</v>
      </c>
      <c r="F12" s="39">
        <f>'[14]Data Input'!$T$143</f>
        <v>6739</v>
      </c>
      <c r="G12" s="39">
        <f>'[14]Data Input'!$Y$143</f>
        <v>663.28472222222206</v>
      </c>
      <c r="H12" s="39">
        <f>'[14]Data Input'!$AC$143</f>
        <v>226.32291666666671</v>
      </c>
      <c r="I12" s="39">
        <f t="shared" si="0"/>
        <v>29207.052083333339</v>
      </c>
      <c r="O12" s="6"/>
      <c r="P12" s="6"/>
      <c r="Q12" s="6"/>
    </row>
    <row r="13" spans="1:17" x14ac:dyDescent="0.2">
      <c r="A13" s="4">
        <v>2012</v>
      </c>
      <c r="B13" s="39">
        <f>'[14]Data Input'!$F$157</f>
        <v>20109.833333333332</v>
      </c>
      <c r="C13" s="39">
        <f>'[14]Data Input'!$J$157</f>
        <v>1698.8333333333333</v>
      </c>
      <c r="D13" s="39">
        <f>'[14]Data Input'!$O$157</f>
        <v>173.25</v>
      </c>
      <c r="E13" s="39">
        <f>'[14]Data Input'!$AH$157</f>
        <v>1</v>
      </c>
      <c r="F13" s="39">
        <f>'[14]Data Input'!$T$157</f>
        <v>6749.166666666667</v>
      </c>
      <c r="G13" s="39">
        <f>'[14]Data Input'!$Y$157</f>
        <v>626.84577546296293</v>
      </c>
      <c r="H13" s="39">
        <f>'[14]Data Input'!$AC$157</f>
        <v>220.70008680555566</v>
      </c>
      <c r="I13" s="39">
        <f t="shared" si="0"/>
        <v>29579.62919560185</v>
      </c>
      <c r="O13" s="6"/>
      <c r="P13" s="6"/>
      <c r="Q13" s="6"/>
    </row>
    <row r="14" spans="1:17" x14ac:dyDescent="0.2">
      <c r="A14" s="4">
        <v>2013</v>
      </c>
      <c r="B14" s="39">
        <f>'[14]Data Input'!$F$171</f>
        <v>20265.75</v>
      </c>
      <c r="C14" s="39">
        <f>'[14]Data Input'!$J$171</f>
        <v>1698.5</v>
      </c>
      <c r="D14" s="39">
        <f>'[14]Data Input'!$O$171</f>
        <v>172.66666666666666</v>
      </c>
      <c r="E14" s="39">
        <f>'[14]Data Input'!$AH$171</f>
        <v>1</v>
      </c>
      <c r="F14" s="39">
        <f>'[14]Data Input'!$T$171</f>
        <v>6778.916666666667</v>
      </c>
      <c r="G14" s="39">
        <f>'[14]Data Input'!$Y$171</f>
        <v>580.25</v>
      </c>
      <c r="H14" s="39">
        <f>'[14]Data Input'!$AC$171</f>
        <v>235.5</v>
      </c>
      <c r="I14" s="39">
        <f t="shared" si="0"/>
        <v>29732.583333333336</v>
      </c>
      <c r="O14" s="6"/>
      <c r="P14" s="6"/>
      <c r="Q14" s="6"/>
    </row>
    <row r="15" spans="1:17" x14ac:dyDescent="0.2">
      <c r="A15" s="4">
        <v>2014</v>
      </c>
      <c r="B15" s="39">
        <f>'[14]Data Input'!$F$185</f>
        <v>20472.166666666668</v>
      </c>
      <c r="C15" s="39">
        <f>'[14]Data Input'!$J$185</f>
        <v>1742.8333333333333</v>
      </c>
      <c r="D15" s="39">
        <f>'[14]Data Input'!$O$185</f>
        <v>165.41666666666666</v>
      </c>
      <c r="E15" s="39">
        <f>'[14]Data Input'!$AH$185</f>
        <v>1</v>
      </c>
      <c r="F15" s="39">
        <f>'[14]Data Input'!$T$185</f>
        <v>6784.333333333333</v>
      </c>
      <c r="G15" s="39">
        <f>'[14]Data Input'!$Y$185</f>
        <v>519.16666666666663</v>
      </c>
      <c r="H15" s="39">
        <f>'[14]Data Input'!$AC$185</f>
        <v>259.33333333333331</v>
      </c>
      <c r="I15" s="39">
        <f t="shared" si="0"/>
        <v>29944.25</v>
      </c>
      <c r="O15" s="6"/>
      <c r="P15" s="6"/>
      <c r="Q15" s="6"/>
    </row>
    <row r="16" spans="1:17" x14ac:dyDescent="0.2">
      <c r="A16" s="4">
        <v>2015</v>
      </c>
      <c r="B16" s="39">
        <f>'[14]Data Input'!$F$199</f>
        <v>20635.5</v>
      </c>
      <c r="C16" s="39">
        <f>'[14]Data Input'!$J$199</f>
        <v>1769.0833333333333</v>
      </c>
      <c r="D16" s="39">
        <f>'[14]Data Input'!$O$199</f>
        <v>158.83333333333334</v>
      </c>
      <c r="E16" s="39">
        <v>1</v>
      </c>
      <c r="F16" s="39">
        <f>'[14]Data Input'!$T$199</f>
        <v>6792.583333333333</v>
      </c>
      <c r="G16" s="39">
        <f>'[14]Data Input'!$Y$199</f>
        <v>515.08333333333337</v>
      </c>
      <c r="H16" s="39">
        <f>'[14]Data Input'!$AC$199</f>
        <v>256.66666666666669</v>
      </c>
      <c r="I16" s="39">
        <f t="shared" si="0"/>
        <v>30128.749999999996</v>
      </c>
      <c r="O16" s="6"/>
      <c r="P16" s="6"/>
      <c r="Q16" s="6"/>
    </row>
    <row r="17" spans="1:17" x14ac:dyDescent="0.2">
      <c r="A17" s="4">
        <v>2016</v>
      </c>
      <c r="B17" s="39">
        <f>'[15]Data Input'!$F$215</f>
        <v>20822.5</v>
      </c>
      <c r="C17" s="39">
        <f>'[15]Data Input'!$J$215</f>
        <v>1770.5833333333333</v>
      </c>
      <c r="D17" s="39">
        <f>'[15]Data Input'!$O$215</f>
        <v>159</v>
      </c>
      <c r="E17" s="39">
        <v>0</v>
      </c>
      <c r="F17" s="39">
        <f>'[15]Data Input'!$T$215</f>
        <v>6825</v>
      </c>
      <c r="G17" s="39">
        <f>'[15]Data Input'!$Y$215</f>
        <v>508.75</v>
      </c>
      <c r="H17" s="39">
        <f>'[15]Data Input'!$AC$215</f>
        <v>261.33333333333331</v>
      </c>
      <c r="I17" s="39">
        <f t="shared" si="0"/>
        <v>30347.166666666664</v>
      </c>
      <c r="O17" s="6"/>
      <c r="P17" s="6"/>
      <c r="Q17" s="6"/>
    </row>
    <row r="18" spans="1:17" x14ac:dyDescent="0.2">
      <c r="A18" s="4">
        <v>2017</v>
      </c>
      <c r="B18" s="21">
        <f>B17*B36</f>
        <v>21025.494151407474</v>
      </c>
      <c r="C18" s="21">
        <f t="shared" ref="C18:D18" si="1">C17*C36</f>
        <v>1777.2752111718162</v>
      </c>
      <c r="D18" s="21">
        <f t="shared" si="1"/>
        <v>154.41880152657515</v>
      </c>
      <c r="E18" s="21">
        <v>0</v>
      </c>
      <c r="F18" s="21">
        <f>F17*F36</f>
        <v>6855.5173219454664</v>
      </c>
      <c r="G18" s="21">
        <f>G17*G36</f>
        <v>508.75</v>
      </c>
      <c r="H18" s="21">
        <f>H17*H36</f>
        <v>261.33333333333331</v>
      </c>
      <c r="I18" s="21">
        <f t="shared" si="0"/>
        <v>30582.788819384663</v>
      </c>
      <c r="O18" s="6"/>
      <c r="P18" s="6"/>
      <c r="Q18" s="6"/>
    </row>
    <row r="19" spans="1:17" x14ac:dyDescent="0.2">
      <c r="A19" s="20"/>
      <c r="K19"/>
      <c r="L19"/>
      <c r="M19"/>
      <c r="N19"/>
    </row>
    <row r="20" spans="1:17" x14ac:dyDescent="0.2">
      <c r="A20" s="19" t="s">
        <v>41</v>
      </c>
      <c r="B20" s="5"/>
      <c r="C20" s="5"/>
      <c r="D20" s="5"/>
      <c r="E20" s="5"/>
      <c r="F20" s="5"/>
      <c r="G20" s="5"/>
      <c r="H20" s="5"/>
      <c r="K20"/>
      <c r="L20"/>
      <c r="M20"/>
      <c r="N20"/>
    </row>
    <row r="21" spans="1:17" x14ac:dyDescent="0.2">
      <c r="A21" s="4">
        <v>2003</v>
      </c>
      <c r="B21" s="24">
        <f>B4/B3</f>
        <v>1.0065922176990501</v>
      </c>
      <c r="C21" s="24">
        <f t="shared" ref="C21:H21" si="2">C4/C3</f>
        <v>1.0028778406271708</v>
      </c>
      <c r="D21" s="24">
        <f t="shared" si="2"/>
        <v>0.98468499825965894</v>
      </c>
      <c r="E21" s="24">
        <f t="shared" si="2"/>
        <v>2.0625</v>
      </c>
      <c r="F21" s="24">
        <f t="shared" si="2"/>
        <v>1.0071353374663703</v>
      </c>
      <c r="G21" s="24">
        <f t="shared" si="2"/>
        <v>0.99095860566448801</v>
      </c>
      <c r="H21" s="24">
        <f t="shared" si="2"/>
        <v>1.0147983721790603</v>
      </c>
      <c r="K21"/>
      <c r="L21"/>
      <c r="M21"/>
      <c r="N21"/>
    </row>
    <row r="22" spans="1:17" x14ac:dyDescent="0.2">
      <c r="A22" s="4">
        <v>2004</v>
      </c>
      <c r="B22" s="24">
        <f t="shared" ref="B22:H34" si="3">B5/B4</f>
        <v>1.0109302558590725</v>
      </c>
      <c r="C22" s="24">
        <f t="shared" si="3"/>
        <v>0.9991589154957452</v>
      </c>
      <c r="D22" s="24">
        <f t="shared" si="3"/>
        <v>0.91834570519618242</v>
      </c>
      <c r="E22" s="24">
        <f t="shared" si="3"/>
        <v>1.0303030303030303</v>
      </c>
      <c r="F22" s="24">
        <f t="shared" si="3"/>
        <v>1.0021422118983094</v>
      </c>
      <c r="G22" s="24">
        <f t="shared" si="3"/>
        <v>0.9898867758601736</v>
      </c>
      <c r="H22" s="24">
        <f t="shared" si="3"/>
        <v>1.0167699598979218</v>
      </c>
      <c r="K22"/>
      <c r="L22"/>
      <c r="M22"/>
      <c r="N22"/>
    </row>
    <row r="23" spans="1:17" x14ac:dyDescent="0.2">
      <c r="A23" s="4">
        <v>2005</v>
      </c>
      <c r="B23" s="24">
        <f t="shared" si="3"/>
        <v>1.0139655995747252</v>
      </c>
      <c r="C23" s="24">
        <f t="shared" si="3"/>
        <v>1.0047041346868035</v>
      </c>
      <c r="D23" s="24">
        <f t="shared" si="3"/>
        <v>0.96073903002309469</v>
      </c>
      <c r="E23" s="24">
        <f t="shared" si="3"/>
        <v>1</v>
      </c>
      <c r="F23" s="24">
        <f t="shared" si="3"/>
        <v>1.0075461007520348</v>
      </c>
      <c r="G23" s="24">
        <f t="shared" si="3"/>
        <v>0.98511937812326489</v>
      </c>
      <c r="H23" s="24">
        <f t="shared" si="3"/>
        <v>1.0068124775905343</v>
      </c>
    </row>
    <row r="24" spans="1:17" x14ac:dyDescent="0.2">
      <c r="A24" s="4">
        <v>2006</v>
      </c>
      <c r="B24" s="24">
        <f t="shared" si="3"/>
        <v>1.0084594400063978</v>
      </c>
      <c r="C24" s="24">
        <f t="shared" si="3"/>
        <v>0.986495810744209</v>
      </c>
      <c r="D24" s="24">
        <f t="shared" si="3"/>
        <v>1.0024038461538463</v>
      </c>
      <c r="E24" s="24">
        <f t="shared" si="3"/>
        <v>1.0588235294117647</v>
      </c>
      <c r="F24" s="24">
        <f t="shared" si="3"/>
        <v>1.0057641675826281</v>
      </c>
      <c r="G24" s="24">
        <f t="shared" si="3"/>
        <v>0.99075639724946452</v>
      </c>
      <c r="H24" s="24">
        <f t="shared" si="3"/>
        <v>0.993945868945869</v>
      </c>
    </row>
    <row r="25" spans="1:17" x14ac:dyDescent="0.2">
      <c r="A25" s="4">
        <v>2007</v>
      </c>
      <c r="B25" s="24">
        <f t="shared" si="3"/>
        <v>1.0042999762091482</v>
      </c>
      <c r="C25" s="24">
        <f t="shared" si="3"/>
        <v>0.99310551558753002</v>
      </c>
      <c r="D25" s="24">
        <f t="shared" si="3"/>
        <v>0.93125499600319739</v>
      </c>
      <c r="E25" s="24">
        <f t="shared" si="3"/>
        <v>0.80555555555555547</v>
      </c>
      <c r="F25" s="24">
        <f t="shared" si="3"/>
        <v>1.008018502281016</v>
      </c>
      <c r="G25" s="24">
        <f t="shared" si="3"/>
        <v>0.96177039481169646</v>
      </c>
      <c r="H25" s="24">
        <f t="shared" si="3"/>
        <v>0.99605876030096729</v>
      </c>
      <c r="K25"/>
      <c r="L25"/>
      <c r="M25"/>
      <c r="N25"/>
    </row>
    <row r="26" spans="1:17" x14ac:dyDescent="0.2">
      <c r="A26" s="4">
        <v>2008</v>
      </c>
      <c r="B26" s="24">
        <f t="shared" si="3"/>
        <v>1.0073874553638014</v>
      </c>
      <c r="C26" s="24">
        <f t="shared" si="3"/>
        <v>1.0119227286447328</v>
      </c>
      <c r="D26" s="24">
        <f t="shared" si="3"/>
        <v>0.90772532188841204</v>
      </c>
      <c r="E26" s="24">
        <f t="shared" si="3"/>
        <v>1.0344827586206897</v>
      </c>
      <c r="F26" s="24">
        <f t="shared" si="3"/>
        <v>1.0091145176743483</v>
      </c>
      <c r="G26" s="24">
        <f t="shared" si="3"/>
        <v>0.97811427895421754</v>
      </c>
      <c r="H26" s="24">
        <f t="shared" si="3"/>
        <v>1.0014388489208634</v>
      </c>
      <c r="K26"/>
      <c r="L26"/>
      <c r="M26"/>
      <c r="N26"/>
    </row>
    <row r="27" spans="1:17" x14ac:dyDescent="0.2">
      <c r="A27" s="4">
        <v>2009</v>
      </c>
      <c r="B27" s="24">
        <f t="shared" si="3"/>
        <v>1.0073463451170972</v>
      </c>
      <c r="C27" s="24">
        <f t="shared" si="3"/>
        <v>1.0083022619935371</v>
      </c>
      <c r="D27" s="24">
        <f t="shared" si="3"/>
        <v>0.96879432624113471</v>
      </c>
      <c r="E27" s="24">
        <f t="shared" si="3"/>
        <v>1</v>
      </c>
      <c r="F27" s="24">
        <f t="shared" si="3"/>
        <v>1.0058215798218548</v>
      </c>
      <c r="G27" s="24">
        <f t="shared" si="3"/>
        <v>0.98645379777455244</v>
      </c>
      <c r="H27" s="24">
        <f t="shared" si="3"/>
        <v>0.99353448275862066</v>
      </c>
      <c r="K27"/>
      <c r="L27"/>
      <c r="M27"/>
      <c r="N27"/>
    </row>
    <row r="28" spans="1:17" x14ac:dyDescent="0.2">
      <c r="A28" s="4">
        <v>2010</v>
      </c>
      <c r="B28" s="24">
        <f t="shared" si="3"/>
        <v>1.0081573543715552</v>
      </c>
      <c r="C28" s="24">
        <f t="shared" si="3"/>
        <v>1.0002958288137265</v>
      </c>
      <c r="D28" s="24">
        <f t="shared" si="3"/>
        <v>1.0092728160078088</v>
      </c>
      <c r="E28" s="24">
        <f t="shared" si="3"/>
        <v>0.53333333333333333</v>
      </c>
      <c r="F28" s="24">
        <f t="shared" si="3"/>
        <v>1.0042105001676749</v>
      </c>
      <c r="G28" s="24">
        <f t="shared" si="3"/>
        <v>0.99926434526728791</v>
      </c>
      <c r="H28" s="24">
        <f t="shared" si="3"/>
        <v>0.98590021691973972</v>
      </c>
      <c r="K28"/>
      <c r="L28"/>
      <c r="M28"/>
      <c r="N28"/>
    </row>
    <row r="29" spans="1:17" x14ac:dyDescent="0.2">
      <c r="A29" s="4">
        <v>2011</v>
      </c>
      <c r="B29" s="24">
        <f t="shared" si="3"/>
        <v>1.0145397035029649</v>
      </c>
      <c r="C29" s="24">
        <f t="shared" si="3"/>
        <v>1.0000821503680337</v>
      </c>
      <c r="D29" s="24">
        <f t="shared" si="3"/>
        <v>0.98492907801418406</v>
      </c>
      <c r="E29" s="24">
        <f t="shared" si="3"/>
        <v>0.75</v>
      </c>
      <c r="F29" s="24">
        <f t="shared" si="3"/>
        <v>1.0001978924454558</v>
      </c>
      <c r="G29" s="24">
        <f t="shared" si="3"/>
        <v>0.97661554192229016</v>
      </c>
      <c r="H29" s="24">
        <f t="shared" si="3"/>
        <v>0.99592042537587111</v>
      </c>
      <c r="K29"/>
      <c r="L29"/>
      <c r="M29"/>
      <c r="N29"/>
    </row>
    <row r="30" spans="1:17" x14ac:dyDescent="0.2">
      <c r="A30" s="4">
        <v>2012</v>
      </c>
      <c r="B30" s="24">
        <f t="shared" si="3"/>
        <v>1.0199286145488533</v>
      </c>
      <c r="C30" s="24">
        <f t="shared" si="3"/>
        <v>1.0047479012305112</v>
      </c>
      <c r="D30" s="24">
        <f t="shared" si="3"/>
        <v>1.0207020702070211</v>
      </c>
      <c r="E30" s="24">
        <f t="shared" si="3"/>
        <v>1</v>
      </c>
      <c r="F30" s="24">
        <f t="shared" si="3"/>
        <v>1.001508631349854</v>
      </c>
      <c r="G30" s="24">
        <f t="shared" si="3"/>
        <v>0.94506288847242459</v>
      </c>
      <c r="H30" s="24">
        <f t="shared" si="3"/>
        <v>0.97515572022521924</v>
      </c>
      <c r="K30"/>
      <c r="L30"/>
      <c r="M30"/>
      <c r="N30"/>
    </row>
    <row r="31" spans="1:17" x14ac:dyDescent="0.2">
      <c r="A31" s="4">
        <v>2013</v>
      </c>
      <c r="B31" s="24">
        <f t="shared" si="3"/>
        <v>1.0077532550410662</v>
      </c>
      <c r="C31" s="24">
        <f t="shared" si="3"/>
        <v>0.99980378691258709</v>
      </c>
      <c r="D31" s="24">
        <f t="shared" si="3"/>
        <v>0.99663299663299654</v>
      </c>
      <c r="E31" s="24">
        <f t="shared" si="3"/>
        <v>1</v>
      </c>
      <c r="F31" s="24">
        <f t="shared" si="3"/>
        <v>1.0044079515989628</v>
      </c>
      <c r="G31" s="24">
        <f t="shared" si="3"/>
        <v>0.92566628461594214</v>
      </c>
      <c r="H31" s="24">
        <f t="shared" si="3"/>
        <v>1.0670589368978525</v>
      </c>
      <c r="K31"/>
      <c r="L31"/>
      <c r="M31"/>
      <c r="N31"/>
    </row>
    <row r="32" spans="1:17" x14ac:dyDescent="0.2">
      <c r="A32" s="4">
        <v>2014</v>
      </c>
      <c r="B32" s="24">
        <f t="shared" si="3"/>
        <v>1.0101854935872923</v>
      </c>
      <c r="C32" s="24">
        <f t="shared" si="3"/>
        <v>1.0261014620743794</v>
      </c>
      <c r="D32" s="24">
        <f t="shared" si="3"/>
        <v>0.95801158301158296</v>
      </c>
      <c r="E32" s="24">
        <f t="shared" si="3"/>
        <v>1</v>
      </c>
      <c r="F32" s="24">
        <f t="shared" si="3"/>
        <v>1.000799046061932</v>
      </c>
      <c r="G32" s="24">
        <f t="shared" si="3"/>
        <v>0.89472928335487567</v>
      </c>
      <c r="H32" s="24">
        <f t="shared" si="3"/>
        <v>1.1012031139419673</v>
      </c>
      <c r="K32"/>
      <c r="L32"/>
      <c r="M32"/>
      <c r="N32"/>
    </row>
    <row r="33" spans="1:14" x14ac:dyDescent="0.2">
      <c r="A33" s="4">
        <v>2015</v>
      </c>
      <c r="B33" s="24">
        <f t="shared" si="3"/>
        <v>1.0079783120171288</v>
      </c>
      <c r="C33" s="24">
        <f t="shared" si="3"/>
        <v>1.0150616811705078</v>
      </c>
      <c r="D33" s="24">
        <f t="shared" si="3"/>
        <v>0.96020151133501275</v>
      </c>
      <c r="E33" s="24">
        <f t="shared" si="3"/>
        <v>1</v>
      </c>
      <c r="F33" s="24">
        <f t="shared" si="3"/>
        <v>1.0012160369478702</v>
      </c>
      <c r="G33" s="24">
        <f t="shared" si="3"/>
        <v>0.99213483146067427</v>
      </c>
      <c r="H33" s="24">
        <f t="shared" si="3"/>
        <v>0.98971722365038572</v>
      </c>
      <c r="K33"/>
      <c r="L33"/>
      <c r="M33"/>
      <c r="N33"/>
    </row>
    <row r="34" spans="1:14" x14ac:dyDescent="0.2">
      <c r="A34" s="4">
        <v>2016</v>
      </c>
      <c r="B34" s="24">
        <f t="shared" si="3"/>
        <v>1.0090620532577355</v>
      </c>
      <c r="C34" s="24">
        <f t="shared" si="3"/>
        <v>1.0008478967450185</v>
      </c>
      <c r="D34" s="24">
        <f t="shared" si="3"/>
        <v>1.0010493179433368</v>
      </c>
      <c r="E34" s="24">
        <f t="shared" si="3"/>
        <v>0</v>
      </c>
      <c r="F34" s="24">
        <f t="shared" si="3"/>
        <v>1.0047723620124891</v>
      </c>
      <c r="G34" s="24">
        <f t="shared" si="3"/>
        <v>0.98770425497492309</v>
      </c>
      <c r="H34" s="24">
        <f t="shared" si="3"/>
        <v>1.0181818181818181</v>
      </c>
      <c r="K34"/>
      <c r="L34"/>
      <c r="M34"/>
      <c r="N34"/>
    </row>
    <row r="35" spans="1:14" x14ac:dyDescent="0.2">
      <c r="K35"/>
      <c r="L35"/>
      <c r="M35"/>
      <c r="N35"/>
    </row>
    <row r="36" spans="1:14" x14ac:dyDescent="0.2">
      <c r="A36" t="s">
        <v>62</v>
      </c>
      <c r="B36" s="25">
        <f>B38</f>
        <v>1.0097487886376504</v>
      </c>
      <c r="C36" s="25">
        <f t="shared" ref="C36:D36" si="4">C38</f>
        <v>1.0037794763525107</v>
      </c>
      <c r="D36" s="25">
        <f t="shared" si="4"/>
        <v>0.97118743098474936</v>
      </c>
      <c r="E36" s="78"/>
      <c r="F36" s="25">
        <f>F38</f>
        <v>1.0044714024828523</v>
      </c>
      <c r="G36" s="25">
        <v>1</v>
      </c>
      <c r="H36" s="25">
        <v>1</v>
      </c>
      <c r="K36"/>
      <c r="L36"/>
      <c r="M36"/>
      <c r="N36"/>
    </row>
    <row r="37" spans="1:14" x14ac:dyDescent="0.2">
      <c r="B37" s="25"/>
      <c r="C37" s="25"/>
      <c r="D37" s="25"/>
      <c r="E37" s="25"/>
      <c r="F37" s="25"/>
      <c r="G37" s="25"/>
      <c r="H37" s="25"/>
      <c r="K37"/>
      <c r="L37"/>
      <c r="M37"/>
      <c r="N37"/>
    </row>
    <row r="38" spans="1:14" x14ac:dyDescent="0.2">
      <c r="A38" t="s">
        <v>14</v>
      </c>
      <c r="B38" s="25">
        <f>GEOMEAN(B21:B34)</f>
        <v>1.0097487886376504</v>
      </c>
      <c r="C38" s="25">
        <f t="shared" ref="C38:D38" si="5">GEOMEAN(C21:C34)</f>
        <v>1.0037794763525107</v>
      </c>
      <c r="D38" s="25">
        <f t="shared" si="5"/>
        <v>0.97118743098474936</v>
      </c>
      <c r="E38" s="25"/>
      <c r="F38" s="25">
        <f>GEOMEAN(F21:F34)</f>
        <v>1.0044714024828523</v>
      </c>
      <c r="G38" s="25">
        <f t="shared" ref="G38:H38" si="6">GEOMEAN(G21:G34)</f>
        <v>0.9712833134149883</v>
      </c>
      <c r="H38" s="25">
        <f t="shared" si="6"/>
        <v>1.0106697945134333</v>
      </c>
      <c r="K38"/>
      <c r="L38"/>
      <c r="M38"/>
      <c r="N38"/>
    </row>
    <row r="39" spans="1:14" x14ac:dyDescent="0.2">
      <c r="A39" s="4"/>
      <c r="B39" s="25"/>
      <c r="C39" s="25"/>
      <c r="D39" s="25"/>
      <c r="E39" s="25"/>
      <c r="F39" s="25"/>
      <c r="G39" s="25"/>
      <c r="H39" s="25"/>
    </row>
    <row r="40" spans="1:14" x14ac:dyDescent="0.2">
      <c r="A40" s="4"/>
      <c r="B40" s="25"/>
      <c r="C40" s="25"/>
      <c r="D40" s="25"/>
      <c r="E40" s="25"/>
      <c r="F40" s="25"/>
      <c r="G40" s="25"/>
      <c r="H40" s="25"/>
    </row>
    <row r="41" spans="1:14" x14ac:dyDescent="0.2">
      <c r="A41" s="4"/>
      <c r="B41" s="25"/>
      <c r="C41" s="25"/>
      <c r="D41" s="25"/>
      <c r="E41" s="25"/>
      <c r="F41" s="25"/>
      <c r="G41" s="25"/>
      <c r="H41" s="25"/>
    </row>
    <row r="42" spans="1:14" x14ac:dyDescent="0.2">
      <c r="A42" s="4"/>
      <c r="B42" s="25"/>
      <c r="C42" s="25"/>
      <c r="D42" s="25"/>
      <c r="E42" s="25"/>
      <c r="F42" s="25"/>
      <c r="G42" s="25"/>
      <c r="H42" s="25"/>
    </row>
    <row r="43" spans="1:14" x14ac:dyDescent="0.2">
      <c r="A43" s="4"/>
      <c r="B43" s="25"/>
      <c r="C43" s="25"/>
      <c r="D43" s="25"/>
      <c r="E43" s="25"/>
      <c r="F43" s="25"/>
      <c r="G43" s="25"/>
      <c r="H43" s="25"/>
    </row>
    <row r="44" spans="1:14" x14ac:dyDescent="0.2">
      <c r="A44" s="4"/>
      <c r="B44" s="25"/>
      <c r="C44" s="25"/>
      <c r="D44" s="25"/>
      <c r="E44" s="25"/>
      <c r="F44" s="25"/>
      <c r="G44" s="25"/>
      <c r="H44" s="25"/>
    </row>
    <row r="45" spans="1:14" x14ac:dyDescent="0.2">
      <c r="A45" s="4"/>
      <c r="B45" s="25"/>
      <c r="C45" s="25"/>
      <c r="D45" s="25"/>
      <c r="E45" s="25"/>
      <c r="F45" s="25"/>
      <c r="G45" s="25"/>
      <c r="H45" s="25"/>
    </row>
    <row r="46" spans="1:14" x14ac:dyDescent="0.2">
      <c r="A46" s="4"/>
      <c r="B46" s="25"/>
      <c r="C46" s="25"/>
      <c r="D46" s="25"/>
      <c r="E46" s="25"/>
      <c r="F46" s="25"/>
      <c r="G46" s="25"/>
      <c r="H46" s="25"/>
    </row>
    <row r="47" spans="1:14" x14ac:dyDescent="0.2">
      <c r="B47" s="25"/>
      <c r="C47" s="25"/>
      <c r="D47" s="25"/>
      <c r="E47" s="25"/>
      <c r="F47" s="25"/>
      <c r="G47" s="25"/>
      <c r="H47" s="25"/>
    </row>
    <row r="48" spans="1:14" x14ac:dyDescent="0.2">
      <c r="B48" s="25"/>
      <c r="C48" s="25"/>
      <c r="D48" s="25"/>
      <c r="E48" s="25"/>
      <c r="F48" s="25"/>
      <c r="G48" s="25"/>
      <c r="H48" s="25"/>
    </row>
    <row r="49" spans="2:8" x14ac:dyDescent="0.2">
      <c r="B49" s="25"/>
      <c r="C49" s="25"/>
      <c r="D49" s="25"/>
      <c r="E49" s="25"/>
      <c r="F49" s="25"/>
      <c r="G49" s="25"/>
      <c r="H49" s="25"/>
    </row>
    <row r="50" spans="2:8" x14ac:dyDescent="0.2">
      <c r="B50" s="25"/>
      <c r="C50" s="25"/>
      <c r="D50" s="25"/>
      <c r="E50" s="25"/>
      <c r="F50" s="25"/>
      <c r="G50" s="25"/>
      <c r="H50" s="25"/>
    </row>
    <row r="51" spans="2:8" x14ac:dyDescent="0.2">
      <c r="B51" s="25"/>
      <c r="C51" s="25"/>
      <c r="D51" s="25"/>
      <c r="E51" s="25"/>
      <c r="F51" s="25"/>
      <c r="G51" s="25"/>
      <c r="H51" s="25"/>
    </row>
    <row r="52" spans="2:8" x14ac:dyDescent="0.2">
      <c r="B52" s="25"/>
      <c r="C52" s="25"/>
      <c r="D52" s="25"/>
      <c r="E52" s="25"/>
      <c r="F52" s="25"/>
      <c r="G52" s="25"/>
      <c r="H52" s="25"/>
    </row>
    <row r="53" spans="2:8" x14ac:dyDescent="0.2">
      <c r="B53" s="25"/>
      <c r="C53" s="25"/>
      <c r="D53" s="25"/>
      <c r="E53" s="25"/>
      <c r="F53" s="25"/>
      <c r="G53" s="25"/>
      <c r="H53" s="25"/>
    </row>
    <row r="54" spans="2:8" x14ac:dyDescent="0.2">
      <c r="B54" s="25"/>
      <c r="C54" s="25"/>
      <c r="D54" s="25"/>
      <c r="E54" s="25"/>
      <c r="F54" s="25"/>
      <c r="G54" s="25"/>
      <c r="H54" s="25"/>
    </row>
    <row r="55" spans="2:8" x14ac:dyDescent="0.2">
      <c r="B55" s="25"/>
      <c r="C55" s="25"/>
      <c r="D55" s="25"/>
      <c r="E55" s="25"/>
      <c r="F55" s="25"/>
      <c r="G55" s="25"/>
      <c r="H55" s="25"/>
    </row>
    <row r="56" spans="2:8" x14ac:dyDescent="0.2">
      <c r="B56" s="25"/>
      <c r="C56" s="25"/>
      <c r="D56" s="25"/>
      <c r="E56" s="25"/>
      <c r="F56" s="25"/>
      <c r="G56" s="25"/>
      <c r="H56" s="25"/>
    </row>
    <row r="57" spans="2:8" x14ac:dyDescent="0.2">
      <c r="B57" s="25"/>
      <c r="C57" s="25"/>
      <c r="D57" s="25"/>
      <c r="E57" s="25"/>
      <c r="F57" s="25"/>
      <c r="G57" s="25"/>
      <c r="H57" s="25"/>
    </row>
    <row r="58" spans="2:8" x14ac:dyDescent="0.2">
      <c r="B58" s="25"/>
      <c r="C58" s="25"/>
      <c r="D58" s="25"/>
      <c r="E58" s="25"/>
      <c r="F58" s="25"/>
      <c r="G58" s="25"/>
      <c r="H58" s="25"/>
    </row>
    <row r="59" spans="2:8" x14ac:dyDescent="0.2">
      <c r="B59" s="25"/>
      <c r="C59" s="25"/>
      <c r="D59" s="25"/>
      <c r="E59" s="25"/>
      <c r="F59" s="25"/>
      <c r="G59" s="25"/>
      <c r="H59" s="25"/>
    </row>
    <row r="60" spans="2:8" x14ac:dyDescent="0.2">
      <c r="B60" s="25"/>
      <c r="C60" s="25"/>
      <c r="D60" s="25"/>
      <c r="E60" s="25"/>
      <c r="F60" s="25"/>
      <c r="G60" s="25"/>
      <c r="H60" s="25"/>
    </row>
    <row r="61" spans="2:8" x14ac:dyDescent="0.2">
      <c r="B61" s="25"/>
      <c r="C61" s="25"/>
      <c r="D61" s="25"/>
      <c r="E61" s="25"/>
      <c r="F61" s="25"/>
      <c r="G61" s="25"/>
      <c r="H61" s="25"/>
    </row>
    <row r="62" spans="2:8" x14ac:dyDescent="0.2">
      <c r="B62" s="25"/>
      <c r="C62" s="25"/>
      <c r="D62" s="25"/>
      <c r="E62" s="25"/>
      <c r="F62" s="25"/>
      <c r="G62" s="25"/>
      <c r="H62" s="25"/>
    </row>
    <row r="63" spans="2:8" x14ac:dyDescent="0.2">
      <c r="B63" s="25"/>
      <c r="C63" s="25"/>
      <c r="D63" s="25"/>
      <c r="E63" s="25"/>
      <c r="F63" s="25"/>
      <c r="G63" s="25"/>
      <c r="H63" s="25"/>
    </row>
    <row r="64" spans="2:8" x14ac:dyDescent="0.2">
      <c r="B64" s="25"/>
      <c r="C64" s="25"/>
      <c r="D64" s="25"/>
      <c r="E64" s="25"/>
      <c r="F64" s="25"/>
      <c r="G64" s="25"/>
      <c r="H64" s="25"/>
    </row>
    <row r="65" spans="2:8" x14ac:dyDescent="0.2">
      <c r="B65" s="25"/>
      <c r="C65" s="25"/>
      <c r="F65" s="25"/>
      <c r="G65" s="25"/>
      <c r="H65" s="25"/>
    </row>
    <row r="71" spans="2:8" x14ac:dyDescent="0.2">
      <c r="D71" s="26"/>
      <c r="E71" s="26"/>
    </row>
    <row r="72" spans="2:8" x14ac:dyDescent="0.2">
      <c r="B72" s="26"/>
      <c r="C72" s="26"/>
      <c r="D72" s="26"/>
      <c r="E72" s="26"/>
      <c r="F72" s="26"/>
      <c r="G72" s="26"/>
      <c r="H72" s="26"/>
    </row>
    <row r="73" spans="2:8" x14ac:dyDescent="0.2">
      <c r="B73" s="26"/>
      <c r="C73" s="26"/>
      <c r="F73" s="26"/>
      <c r="G73" s="26"/>
      <c r="H73" s="26"/>
    </row>
    <row r="91" spans="2:8" x14ac:dyDescent="0.2">
      <c r="D91" s="16"/>
      <c r="E91" s="16"/>
    </row>
    <row r="92" spans="2:8" x14ac:dyDescent="0.2">
      <c r="B92" s="16"/>
      <c r="C92" s="16"/>
      <c r="D92" s="16"/>
      <c r="E92" s="16"/>
      <c r="F92" s="16"/>
      <c r="G92" s="16"/>
      <c r="H92" s="16"/>
    </row>
    <row r="93" spans="2:8" x14ac:dyDescent="0.2">
      <c r="B93" s="16"/>
      <c r="C93" s="16"/>
      <c r="F93" s="16"/>
      <c r="G93" s="16"/>
      <c r="H93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64"/>
  <sheetViews>
    <sheetView workbookViewId="0">
      <pane xSplit="1" ySplit="1" topLeftCell="B12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11" ht="42" customHeight="1" x14ac:dyDescent="0.2">
      <c r="B1" s="8" t="str">
        <f>'Rate Class Customer Model'!D2</f>
        <v>General Service 
50 to 
4,999 kW</v>
      </c>
      <c r="C1" s="8" t="str">
        <f>'Rate Class Customer Model'!E2</f>
        <v>Large User</v>
      </c>
      <c r="D1" s="8" t="str">
        <f>'Rate Class Customer Model'!F2</f>
        <v xml:space="preserve">Street Lights </v>
      </c>
      <c r="E1" s="8" t="str">
        <f>'Rate Class Customer Model'!G2</f>
        <v>Sentinel Lights</v>
      </c>
      <c r="F1" s="6" t="s">
        <v>10</v>
      </c>
    </row>
    <row r="2" spans="1:11" x14ac:dyDescent="0.2">
      <c r="A2" s="30">
        <v>2002</v>
      </c>
      <c r="B2" s="79">
        <f>'[14]Data Input'!$N$17</f>
        <v>551945.62</v>
      </c>
      <c r="C2" s="79">
        <f>'[14]Data Input'!$AG$17</f>
        <v>193768.13</v>
      </c>
      <c r="D2" s="79">
        <f>'[14]Data Input'!$S$17</f>
        <v>11856.554</v>
      </c>
      <c r="E2" s="79">
        <f>'[14]Data Input'!$X$17</f>
        <v>2536</v>
      </c>
      <c r="F2" s="6">
        <f t="shared" ref="F2:F17" si="0">SUM(B2:E2)</f>
        <v>760106.304</v>
      </c>
    </row>
    <row r="3" spans="1:11" x14ac:dyDescent="0.2">
      <c r="A3" s="30">
        <v>2003</v>
      </c>
      <c r="B3" s="79">
        <f>'[14]Data Input'!$N$31</f>
        <v>449454.27000000008</v>
      </c>
      <c r="C3" s="79">
        <f>'[14]Data Input'!$AG$31</f>
        <v>293338</v>
      </c>
      <c r="D3" s="79">
        <f>'[14]Data Input'!$S$31</f>
        <v>12974.98</v>
      </c>
      <c r="E3" s="79">
        <f>'[14]Data Input'!$X$31</f>
        <v>2928.96</v>
      </c>
      <c r="F3" s="6">
        <f t="shared" si="0"/>
        <v>758696.21</v>
      </c>
    </row>
    <row r="4" spans="1:11" x14ac:dyDescent="0.2">
      <c r="A4" s="30">
        <v>2004</v>
      </c>
      <c r="B4" s="79">
        <f>'[14]Data Input'!$N$45</f>
        <v>418532.51999999996</v>
      </c>
      <c r="C4" s="79">
        <f>'[14]Data Input'!$AG$45</f>
        <v>287801.01</v>
      </c>
      <c r="D4" s="79">
        <f>'[14]Data Input'!$S$45</f>
        <v>13023.570000000002</v>
      </c>
      <c r="E4" s="79">
        <f>'[14]Data Input'!$X$45</f>
        <v>3192.2000000000003</v>
      </c>
      <c r="F4" s="6">
        <f t="shared" si="0"/>
        <v>722549.29999999993</v>
      </c>
    </row>
    <row r="5" spans="1:11" x14ac:dyDescent="0.2">
      <c r="A5" s="30">
        <v>2005</v>
      </c>
      <c r="B5" s="79">
        <f>'[14]Data Input'!$N$59</f>
        <v>415116.47000000003</v>
      </c>
      <c r="C5" s="79">
        <f>'[14]Data Input'!$AG$59</f>
        <v>296227</v>
      </c>
      <c r="D5" s="79">
        <f>'[14]Data Input'!$S$59</f>
        <v>13038.970000000003</v>
      </c>
      <c r="E5" s="79">
        <f>'[14]Data Input'!$X$59</f>
        <v>2843.5</v>
      </c>
      <c r="F5" s="6">
        <f t="shared" si="0"/>
        <v>727225.94</v>
      </c>
    </row>
    <row r="6" spans="1:11" x14ac:dyDescent="0.2">
      <c r="A6" s="30">
        <v>2006</v>
      </c>
      <c r="B6" s="79">
        <f>'[14]Data Input'!$N$73</f>
        <v>414301.29000000004</v>
      </c>
      <c r="C6" s="79">
        <f>'[14]Data Input'!$AG$73</f>
        <v>313394</v>
      </c>
      <c r="D6" s="79">
        <f>'[14]Data Input'!$S$73</f>
        <v>13083.960000000001</v>
      </c>
      <c r="E6" s="79">
        <f>'[14]Data Input'!$X$73</f>
        <v>2812.06</v>
      </c>
      <c r="F6" s="6">
        <f t="shared" si="0"/>
        <v>743591.31</v>
      </c>
    </row>
    <row r="7" spans="1:11" x14ac:dyDescent="0.2">
      <c r="A7" s="30">
        <v>2007</v>
      </c>
      <c r="B7" s="79">
        <f>'[14]Data Input'!$N$87</f>
        <v>441184.35</v>
      </c>
      <c r="C7" s="79">
        <f>'[14]Data Input'!$AG$87</f>
        <v>248610</v>
      </c>
      <c r="D7" s="79">
        <f>'[14]Data Input'!$S$87</f>
        <v>13085.879999999997</v>
      </c>
      <c r="E7" s="79">
        <f>'[14]Data Input'!$X$87</f>
        <v>3041.58</v>
      </c>
      <c r="F7" s="6">
        <f t="shared" si="0"/>
        <v>705921.80999999994</v>
      </c>
    </row>
    <row r="8" spans="1:11" x14ac:dyDescent="0.2">
      <c r="A8" s="30">
        <v>2008</v>
      </c>
      <c r="B8" s="79">
        <f>'[14]Data Input'!$N$101</f>
        <v>417425.21</v>
      </c>
      <c r="C8" s="79">
        <f>'[14]Data Input'!$AG$101</f>
        <v>271979</v>
      </c>
      <c r="D8" s="79">
        <f>'[14]Data Input'!$S$101</f>
        <v>13186.060000000001</v>
      </c>
      <c r="E8" s="79">
        <f>'[14]Data Input'!$X$101</f>
        <v>2690.21</v>
      </c>
      <c r="F8" s="6">
        <f t="shared" si="0"/>
        <v>705280.48</v>
      </c>
    </row>
    <row r="9" spans="1:11" x14ac:dyDescent="0.2">
      <c r="A9" s="30">
        <v>2009</v>
      </c>
      <c r="B9" s="79">
        <f>'[14]Data Input'!$N$115</f>
        <v>390493.22</v>
      </c>
      <c r="C9" s="79">
        <f>'[14]Data Input'!$AG$115</f>
        <v>195437</v>
      </c>
      <c r="D9" s="79">
        <f>'[14]Data Input'!$S$115</f>
        <v>13091.060000000001</v>
      </c>
      <c r="E9" s="79">
        <f>'[14]Data Input'!$X$115</f>
        <v>3630.8800000000006</v>
      </c>
      <c r="F9" s="6">
        <f t="shared" si="0"/>
        <v>602652.16000000003</v>
      </c>
    </row>
    <row r="10" spans="1:11" x14ac:dyDescent="0.2">
      <c r="A10" s="30">
        <v>2010</v>
      </c>
      <c r="B10" s="79">
        <f>'[14]Data Input'!$N$129</f>
        <v>432238.21</v>
      </c>
      <c r="C10" s="79">
        <f>'[14]Data Input'!$AG$129</f>
        <v>168338</v>
      </c>
      <c r="D10" s="79">
        <f>'[14]Data Input'!$S$129</f>
        <v>13118.889999999998</v>
      </c>
      <c r="E10" s="79">
        <f>'[14]Data Input'!$X$129</f>
        <v>2816.28</v>
      </c>
      <c r="F10" s="6">
        <f t="shared" si="0"/>
        <v>616511.38</v>
      </c>
    </row>
    <row r="11" spans="1:11" x14ac:dyDescent="0.2">
      <c r="A11" s="30">
        <v>2011</v>
      </c>
      <c r="B11" s="79">
        <f>'[14]Data Input'!$N$143</f>
        <v>417210</v>
      </c>
      <c r="C11" s="79">
        <f>'[14]Data Input'!$AG$143</f>
        <v>170236</v>
      </c>
      <c r="D11" s="79">
        <f>'[14]Data Input'!$S$143</f>
        <v>13148</v>
      </c>
      <c r="E11" s="79">
        <f>'[14]Data Input'!$X$143</f>
        <v>2462</v>
      </c>
      <c r="F11" s="6">
        <f t="shared" si="0"/>
        <v>603056</v>
      </c>
      <c r="H11"/>
      <c r="I11"/>
      <c r="J11"/>
      <c r="K11"/>
    </row>
    <row r="12" spans="1:11" x14ac:dyDescent="0.2">
      <c r="A12" s="30">
        <v>2012</v>
      </c>
      <c r="B12" s="79">
        <f>'[14]Data Input'!$N$157</f>
        <v>387769</v>
      </c>
      <c r="C12" s="79">
        <f>'[14]Data Input'!$AG$157</f>
        <v>152573</v>
      </c>
      <c r="D12" s="79">
        <f>'[14]Data Input'!$S$157</f>
        <v>12420</v>
      </c>
      <c r="E12" s="79">
        <f>'[14]Data Input'!$X$157</f>
        <v>2331</v>
      </c>
      <c r="F12" s="6">
        <f t="shared" si="0"/>
        <v>555093</v>
      </c>
      <c r="H12"/>
      <c r="I12"/>
      <c r="J12"/>
      <c r="K12"/>
    </row>
    <row r="13" spans="1:11" x14ac:dyDescent="0.2">
      <c r="A13" s="30">
        <v>2013</v>
      </c>
      <c r="B13" s="79">
        <f>'[14]Data Input'!$N$171</f>
        <v>389545</v>
      </c>
      <c r="C13" s="79">
        <f>'[14]Data Input'!$AG$171</f>
        <v>153121</v>
      </c>
      <c r="D13" s="79">
        <f>'[14]Data Input'!$S$171</f>
        <v>7923</v>
      </c>
      <c r="E13" s="79">
        <f>'[14]Data Input'!$X$171</f>
        <v>2186</v>
      </c>
      <c r="F13" s="6">
        <f t="shared" si="0"/>
        <v>552775</v>
      </c>
      <c r="H13"/>
      <c r="I13"/>
      <c r="J13"/>
      <c r="K13"/>
    </row>
    <row r="14" spans="1:11" x14ac:dyDescent="0.2">
      <c r="A14" s="30">
        <v>2014</v>
      </c>
      <c r="B14" s="79">
        <f>'[14]Data Input'!$N$185</f>
        <v>402375</v>
      </c>
      <c r="C14" s="79">
        <f>'[14]Data Input'!$AG$185</f>
        <v>59144</v>
      </c>
      <c r="D14" s="79">
        <f>'[14]Data Input'!$S$185</f>
        <v>6992</v>
      </c>
      <c r="E14" s="79">
        <f>'[14]Data Input'!$X$185</f>
        <v>2120</v>
      </c>
      <c r="F14" s="6">
        <f t="shared" si="0"/>
        <v>470631</v>
      </c>
      <c r="H14"/>
      <c r="I14"/>
      <c r="J14"/>
      <c r="K14"/>
    </row>
    <row r="15" spans="1:11" x14ac:dyDescent="0.2">
      <c r="A15" s="30">
        <v>2015</v>
      </c>
      <c r="B15" s="79">
        <f>'[14]Data Input'!$N$199</f>
        <v>402768</v>
      </c>
      <c r="C15" s="79">
        <f>'[14]Data Input'!$AG$199</f>
        <v>479</v>
      </c>
      <c r="D15" s="79">
        <f>'[14]Data Input'!$S$199</f>
        <v>6476</v>
      </c>
      <c r="E15" s="79">
        <f>'[14]Data Input'!$X$199</f>
        <v>2077</v>
      </c>
      <c r="F15" s="6">
        <f t="shared" si="0"/>
        <v>411800</v>
      </c>
      <c r="H15"/>
      <c r="I15"/>
      <c r="J15"/>
      <c r="K15"/>
    </row>
    <row r="16" spans="1:11" x14ac:dyDescent="0.2">
      <c r="A16" s="30">
        <v>2016</v>
      </c>
      <c r="B16" s="79">
        <f>'[15]Data Input'!$N$215</f>
        <v>396528</v>
      </c>
      <c r="C16" s="79">
        <f>0</f>
        <v>0</v>
      </c>
      <c r="D16" s="79">
        <f>'[15]Data Input'!$S$215</f>
        <v>4561</v>
      </c>
      <c r="E16" s="79">
        <f>'[15]Data Input'!$X$215</f>
        <v>2061</v>
      </c>
      <c r="F16" s="6">
        <f t="shared" si="0"/>
        <v>403150</v>
      </c>
      <c r="H16"/>
      <c r="I16"/>
      <c r="J16"/>
      <c r="K16"/>
    </row>
    <row r="17" spans="1:11" x14ac:dyDescent="0.2">
      <c r="A17" s="30">
        <v>2017</v>
      </c>
      <c r="B17" s="31">
        <f>'Rate Class Energy Model'!J69*'Rate Class Load Model'!B36</f>
        <v>393936.63851818646</v>
      </c>
      <c r="C17" s="31">
        <f>'Rate Class Energy Model'!K69*'Rate Class Load Model'!C36</f>
        <v>0</v>
      </c>
      <c r="D17" s="31">
        <f>'Rate Class Energy Model'!L69*'Rate Class Load Model'!D36</f>
        <v>4406.7319972264631</v>
      </c>
      <c r="E17" s="31">
        <f>E16</f>
        <v>2061</v>
      </c>
      <c r="F17" s="6">
        <f t="shared" si="0"/>
        <v>400404.37051541294</v>
      </c>
      <c r="H17"/>
      <c r="I17"/>
      <c r="J17"/>
      <c r="K17"/>
    </row>
    <row r="18" spans="1:11" x14ac:dyDescent="0.2">
      <c r="A18" s="20"/>
      <c r="H18"/>
      <c r="I18"/>
      <c r="J18"/>
      <c r="K18"/>
    </row>
    <row r="19" spans="1:11" x14ac:dyDescent="0.2">
      <c r="A19" s="19" t="s">
        <v>63</v>
      </c>
      <c r="B19" s="5"/>
      <c r="C19" s="5"/>
      <c r="D19" s="5"/>
      <c r="E19" s="5"/>
    </row>
    <row r="20" spans="1:11" x14ac:dyDescent="0.2">
      <c r="A20" s="4">
        <v>2002</v>
      </c>
      <c r="B20" s="28">
        <f>B2/'Rate Class Energy Model'!J6</f>
        <v>2.5021307645115487E-3</v>
      </c>
      <c r="C20" s="28">
        <f>C2/'Rate Class Energy Model'!K6</f>
        <v>3.0188581619657799E-3</v>
      </c>
      <c r="D20" s="28">
        <f>D2/'Rate Class Energy Model'!L6</f>
        <v>2.5894038578043424E-3</v>
      </c>
      <c r="E20" s="28">
        <f>E2/'Rate Class Energy Model'!M6</f>
        <v>4.1667727802610641E-3</v>
      </c>
    </row>
    <row r="21" spans="1:11" x14ac:dyDescent="0.2">
      <c r="A21" s="4">
        <v>2003</v>
      </c>
      <c r="B21" s="28">
        <f>B3/'Rate Class Energy Model'!J7</f>
        <v>3.0214490640024395E-3</v>
      </c>
      <c r="C21" s="28">
        <f>C3/'Rate Class Energy Model'!K7</f>
        <v>2.48303884312185E-3</v>
      </c>
      <c r="D21" s="28">
        <f>D3/'Rate Class Energy Model'!L7</f>
        <v>2.7910235382058906E-3</v>
      </c>
      <c r="E21" s="28">
        <f>E3/'Rate Class Energy Model'!M7</f>
        <v>2.8559319076470863E-3</v>
      </c>
    </row>
    <row r="22" spans="1:11" x14ac:dyDescent="0.2">
      <c r="A22" s="4">
        <v>2004</v>
      </c>
      <c r="B22" s="28">
        <f>B4/'Rate Class Energy Model'!J8</f>
        <v>2.8694458221107731E-3</v>
      </c>
      <c r="C22" s="28">
        <f>C4/'Rate Class Energy Model'!K8</f>
        <v>2.3350500813341824E-3</v>
      </c>
      <c r="D22" s="28">
        <f>D4/'Rate Class Energy Model'!L8</f>
        <v>2.7881443434703058E-3</v>
      </c>
      <c r="E22" s="28">
        <f>E4/'Rate Class Energy Model'!M8</f>
        <v>3.1009344146445701E-3</v>
      </c>
    </row>
    <row r="23" spans="1:11" x14ac:dyDescent="0.2">
      <c r="A23" s="4">
        <v>2005</v>
      </c>
      <c r="B23" s="28">
        <f>B5/'Rate Class Energy Model'!J9</f>
        <v>2.8215166334069719E-3</v>
      </c>
      <c r="C23" s="28">
        <f>C5/'Rate Class Energy Model'!K9</f>
        <v>2.3819895865401391E-3</v>
      </c>
      <c r="D23" s="28">
        <f>D5/'Rate Class Energy Model'!L9</f>
        <v>2.7898179007914601E-3</v>
      </c>
      <c r="E23" s="28">
        <f>E5/'Rate Class Energy Model'!M9</f>
        <v>2.843500796180223E-3</v>
      </c>
    </row>
    <row r="24" spans="1:11" x14ac:dyDescent="0.2">
      <c r="A24" s="4">
        <v>2006</v>
      </c>
      <c r="B24" s="28">
        <f>B6/'Rate Class Energy Model'!J10</f>
        <v>2.8189766835699623E-3</v>
      </c>
      <c r="C24" s="28">
        <f>C6/'Rate Class Energy Model'!K10</f>
        <v>2.8012098812630741E-3</v>
      </c>
      <c r="D24" s="28">
        <f>D6/'Rate Class Energy Model'!L10</f>
        <v>2.7905589922220717E-3</v>
      </c>
      <c r="E24" s="28">
        <f>E6/'Rate Class Energy Model'!M10</f>
        <v>2.7815664656754111E-3</v>
      </c>
    </row>
    <row r="25" spans="1:11" x14ac:dyDescent="0.2">
      <c r="A25" s="4">
        <v>2007</v>
      </c>
      <c r="B25" s="28">
        <f>B7/'Rate Class Energy Model'!J11</f>
        <v>2.702928491605239E-3</v>
      </c>
      <c r="C25" s="28">
        <f>C7/'Rate Class Energy Model'!K11</f>
        <v>3.0126958208355212E-3</v>
      </c>
      <c r="D25" s="28">
        <f>D7/'Rate Class Energy Model'!L11</f>
        <v>2.7894294023391255E-3</v>
      </c>
      <c r="E25" s="28">
        <f>E7/'Rate Class Energy Model'!M11</f>
        <v>3.1016556266504746E-3</v>
      </c>
    </row>
    <row r="26" spans="1:11" x14ac:dyDescent="0.2">
      <c r="A26" s="4">
        <v>2008</v>
      </c>
      <c r="B26" s="28">
        <f>B8/'Rate Class Energy Model'!J12</f>
        <v>2.8765384169792724E-3</v>
      </c>
      <c r="C26" s="28">
        <f>C8/'Rate Class Energy Model'!K12</f>
        <v>2.6487379746532431E-3</v>
      </c>
      <c r="D26" s="28">
        <f>D8/'Rate Class Energy Model'!L12</f>
        <v>2.79090490012602E-3</v>
      </c>
      <c r="E26" s="28">
        <f>E8/'Rate Class Energy Model'!M12</f>
        <v>2.8328275112671918E-3</v>
      </c>
    </row>
    <row r="27" spans="1:11" x14ac:dyDescent="0.2">
      <c r="A27" s="4">
        <v>2009</v>
      </c>
      <c r="B27" s="28">
        <f>B9/'Rate Class Energy Model'!J13</f>
        <v>2.8843985179313083E-3</v>
      </c>
      <c r="C27" s="28">
        <f>C9/'Rate Class Energy Model'!K13</f>
        <v>4.0586154978651343E-3</v>
      </c>
      <c r="D27" s="28">
        <f>D9/'Rate Class Energy Model'!L13</f>
        <v>2.790106558947578E-3</v>
      </c>
      <c r="E27" s="28">
        <f>E9/'Rate Class Energy Model'!M13</f>
        <v>3.4490291122876472E-3</v>
      </c>
    </row>
    <row r="28" spans="1:11" x14ac:dyDescent="0.2">
      <c r="A28" s="4">
        <v>2010</v>
      </c>
      <c r="B28" s="28">
        <f>B10/'Rate Class Energy Model'!J14</f>
        <v>2.9823419879910096E-3</v>
      </c>
      <c r="C28" s="28">
        <f>C10/'Rate Class Energy Model'!K14</f>
        <v>2.7875417691204762E-3</v>
      </c>
      <c r="D28" s="28">
        <f>D10/'Rate Class Energy Model'!L14</f>
        <v>2.7909111564199786E-3</v>
      </c>
      <c r="E28" s="28">
        <f>E10/'Rate Class Energy Model'!M14</f>
        <v>3.0983480273868501E-3</v>
      </c>
    </row>
    <row r="29" spans="1:11" x14ac:dyDescent="0.2">
      <c r="A29" s="4">
        <v>2011</v>
      </c>
      <c r="B29" s="28">
        <f>B11/'Rate Class Energy Model'!J15</f>
        <v>2.7781743913623275E-3</v>
      </c>
      <c r="C29" s="28">
        <f>C11/'Rate Class Energy Model'!K15</f>
        <v>2.8375744489085582E-3</v>
      </c>
      <c r="D29" s="28">
        <f>D11/'Rate Class Energy Model'!L15</f>
        <v>2.779500108554404E-3</v>
      </c>
      <c r="E29" s="28">
        <f>E11/'Rate Class Energy Model'!M15</f>
        <v>2.753175881195205E-3</v>
      </c>
    </row>
    <row r="30" spans="1:11" x14ac:dyDescent="0.2">
      <c r="A30" s="4">
        <v>2012</v>
      </c>
      <c r="B30" s="28">
        <f>B12/'Rate Class Energy Model'!J16</f>
        <v>2.7415626762043793E-3</v>
      </c>
      <c r="C30" s="28">
        <f>C12/'Rate Class Energy Model'!K16</f>
        <v>3.1507515232015648E-3</v>
      </c>
      <c r="D30" s="28">
        <f>D12/'Rate Class Energy Model'!L16</f>
        <v>2.7727429102504197E-3</v>
      </c>
      <c r="E30" s="28">
        <f>E12/'Rate Class Energy Model'!M16</f>
        <v>2.7446843083183598E-3</v>
      </c>
    </row>
    <row r="31" spans="1:11" x14ac:dyDescent="0.2">
      <c r="A31" s="4">
        <v>2013</v>
      </c>
      <c r="B31" s="28">
        <f>B13/'Rate Class Energy Model'!J17</f>
        <v>2.8197258143192907E-3</v>
      </c>
      <c r="C31" s="28">
        <f>C13/'Rate Class Energy Model'!K17</f>
        <v>3.4190478170319405E-3</v>
      </c>
      <c r="D31" s="28">
        <f>D13/'Rate Class Energy Model'!L17</f>
        <v>2.7855701629328259E-3</v>
      </c>
      <c r="E31" s="28">
        <f>E13/'Rate Class Energy Model'!M17</f>
        <v>2.7918619650314819E-3</v>
      </c>
    </row>
    <row r="32" spans="1:11" x14ac:dyDescent="0.2">
      <c r="A32" s="4">
        <v>2014</v>
      </c>
      <c r="B32" s="28">
        <f>B14/'Rate Class Energy Model'!J18</f>
        <v>2.7905397653945107E-3</v>
      </c>
      <c r="C32" s="28">
        <f>C14/'Rate Class Energy Model'!K18</f>
        <v>2.9038403367009353E-3</v>
      </c>
      <c r="D32" s="28">
        <f>D14/'Rate Class Energy Model'!L18</f>
        <v>2.7930260631834265E-3</v>
      </c>
      <c r="E32" s="28">
        <f>E14/'Rate Class Energy Model'!M18</f>
        <v>2.7632987008585777E-3</v>
      </c>
    </row>
    <row r="33" spans="1:5" x14ac:dyDescent="0.2">
      <c r="A33" s="4">
        <v>2015</v>
      </c>
      <c r="B33" s="28">
        <f>B15/'Rate Class Energy Model'!J19</f>
        <v>2.881092652070651E-3</v>
      </c>
      <c r="C33" s="28">
        <f>C15/'Rate Class Energy Model'!K19</f>
        <v>1.7287488405833716E-3</v>
      </c>
      <c r="D33" s="28">
        <f>D15/'Rate Class Energy Model'!L19</f>
        <v>2.8345239413538922E-3</v>
      </c>
      <c r="E33" s="28">
        <f>E15/'Rate Class Energy Model'!M19</f>
        <v>2.7547734374585523E-3</v>
      </c>
    </row>
    <row r="34" spans="1:5" x14ac:dyDescent="0.2">
      <c r="A34" s="4">
        <v>2016</v>
      </c>
      <c r="B34" s="28">
        <f>B16/'Rate Class Energy Model'!J20</f>
        <v>2.7645777061329783E-3</v>
      </c>
      <c r="C34" s="28"/>
      <c r="D34" s="28">
        <f>D16/'Rate Class Energy Model'!L20</f>
        <v>2.8950899629687464E-3</v>
      </c>
      <c r="E34" s="28">
        <f>E16/'Rate Class Energy Model'!M20</f>
        <v>2.7500643816625015E-3</v>
      </c>
    </row>
    <row r="36" spans="1:5" x14ac:dyDescent="0.2">
      <c r="A36" t="s">
        <v>13</v>
      </c>
      <c r="B36" s="28">
        <f>AVERAGE(B20:B34)</f>
        <v>2.8170266258395107E-3</v>
      </c>
      <c r="C36" s="28">
        <f>AVERAGE(C20:C34)</f>
        <v>2.8262643273661262E-3</v>
      </c>
      <c r="D36" s="28">
        <f>AVERAGE(D20:D34)</f>
        <v>2.7847169199713656E-3</v>
      </c>
      <c r="E36" s="28">
        <f>AVERAGE(E20:E34)</f>
        <v>2.9858950211016796E-3</v>
      </c>
    </row>
    <row r="43" spans="1:5" x14ac:dyDescent="0.2">
      <c r="B43" s="26"/>
      <c r="C43" s="26"/>
      <c r="D43" s="26"/>
      <c r="E43" s="26"/>
    </row>
    <row r="44" spans="1:5" x14ac:dyDescent="0.2">
      <c r="B44" s="26"/>
      <c r="C44" s="26"/>
      <c r="D44" s="26"/>
      <c r="E44" s="26"/>
    </row>
    <row r="63" spans="2:5" x14ac:dyDescent="0.2">
      <c r="B63" s="16"/>
      <c r="C63" s="16"/>
      <c r="D63" s="16"/>
      <c r="E63" s="16"/>
    </row>
    <row r="64" spans="2:5" x14ac:dyDescent="0.2">
      <c r="B64" s="16"/>
      <c r="C64" s="16"/>
      <c r="D64" s="16"/>
      <c r="E64" s="16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163"/>
  <sheetViews>
    <sheetView topLeftCell="U11" workbookViewId="0">
      <selection activeCell="AF17" sqref="AF17"/>
    </sheetView>
  </sheetViews>
  <sheetFormatPr defaultRowHeight="12.75" x14ac:dyDescent="0.2"/>
  <cols>
    <col min="2" max="2" width="12.85546875" bestFit="1" customWidth="1"/>
    <col min="3" max="3" width="13" bestFit="1" customWidth="1"/>
    <col min="4" max="4" width="12.85546875" bestFit="1" customWidth="1"/>
    <col min="6" max="6" width="11.85546875" customWidth="1"/>
    <col min="12" max="12" width="12.85546875" bestFit="1" customWidth="1"/>
    <col min="13" max="13" width="10.140625" bestFit="1" customWidth="1"/>
    <col min="14" max="14" width="11.42578125" customWidth="1"/>
    <col min="16" max="16" width="11" customWidth="1"/>
    <col min="20" max="20" width="38.7109375" bestFit="1" customWidth="1"/>
    <col min="21" max="21" width="11.28515625" bestFit="1" customWidth="1"/>
    <col min="22" max="22" width="11.42578125" customWidth="1"/>
    <col min="23" max="23" width="11.5703125" customWidth="1"/>
    <col min="24" max="25" width="10.28515625" bestFit="1" customWidth="1"/>
    <col min="26" max="26" width="11.7109375" bestFit="1" customWidth="1"/>
    <col min="27" max="27" width="10.28515625" bestFit="1" customWidth="1"/>
    <col min="28" max="32" width="11.28515625" bestFit="1" customWidth="1"/>
  </cols>
  <sheetData>
    <row r="1" spans="1:32" ht="76.5" x14ac:dyDescent="0.2">
      <c r="B1" s="60" t="s">
        <v>164</v>
      </c>
      <c r="C1" s="60" t="s">
        <v>78</v>
      </c>
    </row>
    <row r="2" spans="1:32" x14ac:dyDescent="0.2">
      <c r="B2" s="62"/>
      <c r="C2" s="63"/>
      <c r="D2" s="63"/>
      <c r="F2" s="307" t="s">
        <v>79</v>
      </c>
      <c r="G2" s="307"/>
      <c r="I2" s="61" t="s">
        <v>80</v>
      </c>
      <c r="J2" s="61">
        <v>1</v>
      </c>
    </row>
    <row r="3" spans="1:32" x14ac:dyDescent="0.2">
      <c r="A3">
        <v>2006</v>
      </c>
      <c r="B3" s="63">
        <f>U20</f>
        <v>796324.48960192525</v>
      </c>
      <c r="C3" s="63">
        <f>B3</f>
        <v>796324.48960192525</v>
      </c>
      <c r="D3" s="63">
        <f t="shared" ref="D3:D14" si="0">C3/$J$14</f>
        <v>10209.288328229812</v>
      </c>
      <c r="F3" s="64">
        <f>C30</f>
        <v>796324.48960192525</v>
      </c>
      <c r="G3" s="64">
        <f t="shared" ref="G3:G14" si="1">B3-F3</f>
        <v>0</v>
      </c>
      <c r="I3" s="61" t="s">
        <v>81</v>
      </c>
      <c r="J3" s="61">
        <v>2</v>
      </c>
    </row>
    <row r="4" spans="1:32" x14ac:dyDescent="0.2">
      <c r="A4">
        <v>2007</v>
      </c>
      <c r="B4" s="63">
        <f>V20</f>
        <v>1970109.0273664244</v>
      </c>
      <c r="C4" s="63">
        <f>B4-D30</f>
        <v>499971.50810133154</v>
      </c>
      <c r="D4" s="63">
        <f t="shared" si="0"/>
        <v>6409.8911295042508</v>
      </c>
      <c r="F4" s="64">
        <f>C42</f>
        <v>1970109.0273664244</v>
      </c>
      <c r="G4" s="64">
        <f t="shared" si="1"/>
        <v>0</v>
      </c>
      <c r="I4" s="61" t="s">
        <v>82</v>
      </c>
      <c r="J4" s="61">
        <v>3</v>
      </c>
    </row>
    <row r="5" spans="1:32" x14ac:dyDescent="0.2">
      <c r="A5">
        <v>2008</v>
      </c>
      <c r="B5" s="63">
        <f>W20</f>
        <v>3190724.0839070124</v>
      </c>
      <c r="C5" s="63">
        <f>B5-D42</f>
        <v>797562.2419933076</v>
      </c>
      <c r="D5" s="63">
        <f t="shared" si="0"/>
        <v>10225.15694863215</v>
      </c>
      <c r="F5" s="64">
        <f>C54</f>
        <v>3190724.0839070128</v>
      </c>
      <c r="G5" s="64">
        <f t="shared" si="1"/>
        <v>0</v>
      </c>
      <c r="I5" s="61" t="s">
        <v>83</v>
      </c>
      <c r="J5" s="61">
        <v>4</v>
      </c>
    </row>
    <row r="6" spans="1:32" x14ac:dyDescent="0.2">
      <c r="A6">
        <v>2009</v>
      </c>
      <c r="B6" s="63">
        <f>X20</f>
        <v>4647670.4578085048</v>
      </c>
      <c r="C6" s="63">
        <f>B6-D54</f>
        <v>782086.01529176999</v>
      </c>
      <c r="D6" s="63">
        <f t="shared" si="0"/>
        <v>10026.743785791923</v>
      </c>
      <c r="F6" s="64">
        <f>C66</f>
        <v>4647670.4578085048</v>
      </c>
      <c r="G6" s="64">
        <f t="shared" si="1"/>
        <v>0</v>
      </c>
      <c r="I6" s="61" t="s">
        <v>84</v>
      </c>
      <c r="J6" s="61">
        <v>5</v>
      </c>
      <c r="U6">
        <v>2006</v>
      </c>
      <c r="V6">
        <v>2007</v>
      </c>
      <c r="W6">
        <v>2008</v>
      </c>
      <c r="X6">
        <v>2009</v>
      </c>
      <c r="Y6">
        <v>2010</v>
      </c>
      <c r="Z6">
        <v>2011</v>
      </c>
      <c r="AA6">
        <v>2012</v>
      </c>
      <c r="AB6">
        <v>2013</v>
      </c>
      <c r="AC6">
        <v>2014</v>
      </c>
      <c r="AD6">
        <v>2015</v>
      </c>
      <c r="AE6">
        <v>2016</v>
      </c>
      <c r="AF6">
        <v>2017</v>
      </c>
    </row>
    <row r="7" spans="1:32" x14ac:dyDescent="0.2">
      <c r="A7">
        <v>2010</v>
      </c>
      <c r="B7" s="63">
        <f>Y20</f>
        <v>5110562.8892754046</v>
      </c>
      <c r="C7" s="63">
        <f>B7-D66</f>
        <v>-198872.65839536581</v>
      </c>
      <c r="D7" s="63">
        <f t="shared" si="0"/>
        <v>-2549.649466607254</v>
      </c>
      <c r="F7" s="64">
        <f>C78</f>
        <v>5110562.8892754046</v>
      </c>
      <c r="G7" s="64">
        <f t="shared" si="1"/>
        <v>0</v>
      </c>
      <c r="I7" s="61" t="s">
        <v>85</v>
      </c>
      <c r="J7" s="61">
        <v>6</v>
      </c>
      <c r="T7" t="s">
        <v>156</v>
      </c>
      <c r="U7" s="63">
        <f>'[17]Summary - LDC'!E19*1000</f>
        <v>1592648.9792038505</v>
      </c>
      <c r="V7" s="63">
        <f>'[17]Summary - LDC'!F19*1000</f>
        <v>1592648.9792038505</v>
      </c>
      <c r="W7" s="63">
        <f>'[17]Summary - LDC'!G19*1000</f>
        <v>1592648.9792038505</v>
      </c>
      <c r="X7" s="63">
        <f>'[17]Summary - LDC'!H19*1000</f>
        <v>1592648.9792038505</v>
      </c>
      <c r="Y7" s="63">
        <f>'[17]Summary - LDC'!I19*1000</f>
        <v>276607.86237725121</v>
      </c>
      <c r="Z7" s="63">
        <f>'[17]Summary - LDC'!J19*1000</f>
        <v>276607.86237725121</v>
      </c>
      <c r="AA7" s="63">
        <f>'[17]Summary - LDC'!K19*1000</f>
        <v>253020.88596673746</v>
      </c>
      <c r="AB7" s="63">
        <f>'[17]Summary - LDC'!L19*1000</f>
        <v>253020.88596673746</v>
      </c>
      <c r="AC7" s="63">
        <f>'[17]Summary - LDC'!M19*1000</f>
        <v>237752.10632149078</v>
      </c>
      <c r="AD7" s="63">
        <f>'[17]Summary - LDC'!N19*1000</f>
        <v>237752.10632149078</v>
      </c>
      <c r="AE7" s="63">
        <f>'[17]Summary - LDC'!O19*1000</f>
        <v>224623.29757342924</v>
      </c>
      <c r="AF7" s="63">
        <f>'[17]Summary - LDC'!P19*1000</f>
        <v>224623.29757342924</v>
      </c>
    </row>
    <row r="8" spans="1:32" x14ac:dyDescent="0.2">
      <c r="A8">
        <v>2011</v>
      </c>
      <c r="B8" s="63">
        <f>Z20</f>
        <v>6930347.2375963833</v>
      </c>
      <c r="C8" s="63">
        <f>B8-D78</f>
        <v>1988061.2131170575</v>
      </c>
      <c r="D8" s="63">
        <f t="shared" si="0"/>
        <v>25487.964270731507</v>
      </c>
      <c r="F8" s="64">
        <f>C90</f>
        <v>6930347.2375963842</v>
      </c>
      <c r="G8" s="64">
        <f t="shared" si="1"/>
        <v>0</v>
      </c>
      <c r="I8" s="61" t="s">
        <v>86</v>
      </c>
      <c r="J8" s="61">
        <v>7</v>
      </c>
      <c r="T8" t="s">
        <v>157</v>
      </c>
      <c r="U8" s="63">
        <f>'[17]Summary - LDC'!E20*1000</f>
        <v>0</v>
      </c>
      <c r="V8" s="63">
        <f>'[17]Summary - LDC'!F20*1000</f>
        <v>754920.0963251472</v>
      </c>
      <c r="W8" s="63">
        <f>'[17]Summary - LDC'!G20*1000</f>
        <v>748579.53182069829</v>
      </c>
      <c r="X8" s="63">
        <f>'[17]Summary - LDC'!H20*1000</f>
        <v>748579.53182069829</v>
      </c>
      <c r="Y8" s="63">
        <f>'[17]Summary - LDC'!I20*1000</f>
        <v>748579.53182069829</v>
      </c>
      <c r="Z8" s="63">
        <f>'[17]Summary - LDC'!J20*1000</f>
        <v>748476.01761557302</v>
      </c>
      <c r="AA8" s="63">
        <f>'[17]Summary - LDC'!K20*1000</f>
        <v>726783.93993460527</v>
      </c>
      <c r="AB8" s="63">
        <f>'[17]Summary - LDC'!L20*1000</f>
        <v>726783.93993460527</v>
      </c>
      <c r="AC8" s="63">
        <f>'[17]Summary - LDC'!M20*1000</f>
        <v>726783.93993460527</v>
      </c>
      <c r="AD8" s="63">
        <f>'[17]Summary - LDC'!N20*1000</f>
        <v>255425.24420212724</v>
      </c>
      <c r="AE8" s="63">
        <f>'[17]Summary - LDC'!O20*1000</f>
        <v>194021.21847494505</v>
      </c>
      <c r="AF8" s="63">
        <f>'[17]Summary - LDC'!P20*1000</f>
        <v>114299.47685377282</v>
      </c>
    </row>
    <row r="9" spans="1:32" x14ac:dyDescent="0.2">
      <c r="A9">
        <v>2012</v>
      </c>
      <c r="B9" s="63">
        <f>AA20</f>
        <v>8589903.7318255566</v>
      </c>
      <c r="C9" s="63">
        <f>B9-D90</f>
        <v>-22649.147639108822</v>
      </c>
      <c r="D9" s="63">
        <f t="shared" si="0"/>
        <v>-290.37368768088231</v>
      </c>
      <c r="F9" s="64">
        <f>C102</f>
        <v>8589903.7318255547</v>
      </c>
      <c r="G9" s="64">
        <f t="shared" si="1"/>
        <v>0</v>
      </c>
      <c r="I9" s="61" t="s">
        <v>87</v>
      </c>
      <c r="J9" s="61">
        <v>8</v>
      </c>
      <c r="T9" t="s">
        <v>158</v>
      </c>
      <c r="U9" s="63">
        <f>'[17]Summary - LDC'!E21*1000</f>
        <v>0</v>
      </c>
      <c r="V9" s="63">
        <f>'[17]Summary - LDC'!F21*1000</f>
        <v>0</v>
      </c>
      <c r="W9" s="63">
        <f>'[17]Summary - LDC'!G21*1000</f>
        <v>1698991.1457649271</v>
      </c>
      <c r="X9" s="63">
        <f>'[17]Summary - LDC'!H21*1000</f>
        <v>1421245.4083835334</v>
      </c>
      <c r="Y9" s="63">
        <f>'[17]Summary - LDC'!I21*1000</f>
        <v>1421245.4083835334</v>
      </c>
      <c r="Z9" s="63">
        <f>'[17]Summary - LDC'!J21*1000</f>
        <v>1421245.4083835334</v>
      </c>
      <c r="AA9" s="63">
        <f>'[17]Summary - LDC'!K21*1000</f>
        <v>1351510.4887136356</v>
      </c>
      <c r="AB9" s="63">
        <f>'[17]Summary - LDC'!L21*1000</f>
        <v>1351262.2687136356</v>
      </c>
      <c r="AC9" s="63">
        <f>'[17]Summary - LDC'!M21*1000</f>
        <v>1278903.9665952376</v>
      </c>
      <c r="AD9" s="63">
        <f>'[17]Summary - LDC'!N21*1000</f>
        <v>1224846.1876169133</v>
      </c>
      <c r="AE9" s="63">
        <f>'[17]Summary - LDC'!O21*1000</f>
        <v>983665.91170271067</v>
      </c>
      <c r="AF9" s="63">
        <f>'[17]Summary - LDC'!P21*1000</f>
        <v>853243.62457395205</v>
      </c>
    </row>
    <row r="10" spans="1:32" x14ac:dyDescent="0.2">
      <c r="A10">
        <v>2013</v>
      </c>
      <c r="B10" s="63">
        <f>AB20</f>
        <v>11326962.736754788</v>
      </c>
      <c r="C10" s="63">
        <f>B10-D102</f>
        <v>2756223.6683161762</v>
      </c>
      <c r="D10" s="63">
        <f t="shared" si="0"/>
        <v>35336.200875848415</v>
      </c>
      <c r="F10" s="64">
        <f>C114</f>
        <v>11326962.736754788</v>
      </c>
      <c r="G10" s="64">
        <f t="shared" si="1"/>
        <v>0</v>
      </c>
      <c r="I10" s="61" t="s">
        <v>88</v>
      </c>
      <c r="J10" s="61">
        <v>9</v>
      </c>
      <c r="T10" t="s">
        <v>159</v>
      </c>
      <c r="U10" s="63">
        <f>'[17]Summary - LDC'!E22*1000</f>
        <v>0</v>
      </c>
      <c r="V10" s="63">
        <f>'[17]Summary - LDC'!F22*1000</f>
        <v>0</v>
      </c>
      <c r="W10" s="63">
        <f>'[17]Summary - LDC'!G22*1000</f>
        <v>0</v>
      </c>
      <c r="X10" s="63">
        <f>'[17]Summary - LDC'!H22*1000</f>
        <v>1770393.0768008442</v>
      </c>
      <c r="Y10" s="63">
        <f>'[17]Summary - LDC'!I22*1000</f>
        <v>1504136.274529642</v>
      </c>
      <c r="Z10" s="63">
        <f>'[17]Summary - LDC'!J22*1000</f>
        <v>1504136.274529642</v>
      </c>
      <c r="AA10" s="63">
        <f>'[17]Summary - LDC'!K22*1000</f>
        <v>1503323.5261772785</v>
      </c>
      <c r="AB10" s="63">
        <f>'[17]Summary - LDC'!L22*1000</f>
        <v>1455735.1482302616</v>
      </c>
      <c r="AC10" s="63">
        <f>'[17]Summary - LDC'!M22*1000</f>
        <v>1319253.4374830392</v>
      </c>
      <c r="AD10" s="63">
        <f>'[17]Summary - LDC'!N22*1000</f>
        <v>1283176.7253687282</v>
      </c>
      <c r="AE10" s="63">
        <f>'[17]Summary - LDC'!O22*1000</f>
        <v>1282389.5574009449</v>
      </c>
      <c r="AF10" s="63">
        <f>'[17]Summary - LDC'!P22*1000</f>
        <v>911404.88386924262</v>
      </c>
    </row>
    <row r="11" spans="1:32" x14ac:dyDescent="0.2">
      <c r="A11">
        <v>2014</v>
      </c>
      <c r="B11" s="63">
        <f>AC20</f>
        <v>14126756.824848302</v>
      </c>
      <c r="C11" s="63">
        <f>B11-D114</f>
        <v>467604.83028751612</v>
      </c>
      <c r="D11" s="63">
        <f t="shared" si="0"/>
        <v>5994.9337216348222</v>
      </c>
      <c r="F11" s="64">
        <f>C126</f>
        <v>14126756.824848298</v>
      </c>
      <c r="G11" s="64">
        <f t="shared" si="1"/>
        <v>0</v>
      </c>
      <c r="I11" s="61" t="s">
        <v>89</v>
      </c>
      <c r="J11" s="61">
        <v>10</v>
      </c>
      <c r="T11" t="s">
        <v>160</v>
      </c>
      <c r="U11" s="63">
        <f>'[17]Summary - LDC'!E23*1000</f>
        <v>0</v>
      </c>
      <c r="V11" s="63">
        <f>'[17]Summary - LDC'!F23*1000</f>
        <v>0</v>
      </c>
      <c r="W11" s="63">
        <f>'[17]Summary - LDC'!G23*1000</f>
        <v>0</v>
      </c>
      <c r="X11" s="63">
        <f>'[17]Summary - LDC'!H23*1000</f>
        <v>0</v>
      </c>
      <c r="Y11" s="63">
        <f>'[17]Summary - LDC'!I23*1000</f>
        <v>2319987.6243285593</v>
      </c>
      <c r="Z11" s="63">
        <f>'[17]Summary - LDC'!J23*1000</f>
        <v>1830049.9655791742</v>
      </c>
      <c r="AA11" s="63">
        <f>'[17]Summary - LDC'!K23*1000</f>
        <v>1827950.8740589647</v>
      </c>
      <c r="AB11" s="63">
        <f>'[17]Summary - LDC'!L23*1000</f>
        <v>1826876.7060636785</v>
      </c>
      <c r="AC11" s="63">
        <f>'[17]Summary - LDC'!M23*1000</f>
        <v>1747382.4583799858</v>
      </c>
      <c r="AD11" s="63">
        <f>'[17]Summary - LDC'!N23*1000</f>
        <v>1483648.1075452315</v>
      </c>
      <c r="AE11" s="63">
        <f>'[17]Summary - LDC'!O23*1000</f>
        <v>1475875.9329819521</v>
      </c>
      <c r="AF11" s="63">
        <f>'[17]Summary - LDC'!P23*1000</f>
        <v>1354041.0209617515</v>
      </c>
    </row>
    <row r="12" spans="1:32" x14ac:dyDescent="0.2">
      <c r="A12">
        <v>2015</v>
      </c>
      <c r="B12" s="63">
        <f>AD20</f>
        <v>15255575.127863813</v>
      </c>
      <c r="C12" s="63">
        <f>B12-D126</f>
        <v>733152.67738761753</v>
      </c>
      <c r="D12" s="63">
        <f t="shared" si="0"/>
        <v>9399.3932998412511</v>
      </c>
      <c r="F12" s="64">
        <f>C138</f>
        <v>15255575.127863817</v>
      </c>
      <c r="G12" s="64">
        <f t="shared" si="1"/>
        <v>0</v>
      </c>
      <c r="I12" s="61" t="s">
        <v>90</v>
      </c>
      <c r="J12" s="61">
        <v>11</v>
      </c>
      <c r="T12" t="s">
        <v>130</v>
      </c>
      <c r="Z12" s="63">
        <f>'[18]2011'!AR37*1000</f>
        <v>2299663.4182224195</v>
      </c>
      <c r="AA12" s="63">
        <f>'[18]2011'!AS37*1000</f>
        <v>2298064.3202224188</v>
      </c>
      <c r="AB12" s="63">
        <f>'[18]2011'!AT37*1000</f>
        <v>2281051.7176151304</v>
      </c>
      <c r="AC12" s="63">
        <f>'[18]2011'!AU37*1000</f>
        <v>2115613.2585554998</v>
      </c>
      <c r="AD12" s="63">
        <f>'[18]2011'!AV37*1000</f>
        <v>2068396.5962145566</v>
      </c>
      <c r="AE12" s="63">
        <f>'[18]2011'!AW37*1000</f>
        <v>1981533.5186569621</v>
      </c>
      <c r="AF12" s="63">
        <f>'[18]2011'!AX37*1000</f>
        <v>1842620.1901463883</v>
      </c>
    </row>
    <row r="13" spans="1:32" x14ac:dyDescent="0.2">
      <c r="A13">
        <v>2016</v>
      </c>
      <c r="B13" s="63">
        <f>AE20</f>
        <v>16571887.914401922</v>
      </c>
      <c r="C13" s="63">
        <f>B13-D138</f>
        <v>695952.82874857634</v>
      </c>
      <c r="D13" s="63">
        <f t="shared" si="0"/>
        <v>8922.4721634432863</v>
      </c>
      <c r="F13" s="64">
        <f>C150</f>
        <v>16571887.914401919</v>
      </c>
      <c r="G13" s="64">
        <f t="shared" si="1"/>
        <v>0</v>
      </c>
      <c r="I13" s="61" t="s">
        <v>92</v>
      </c>
      <c r="J13" s="61">
        <v>12</v>
      </c>
      <c r="T13" t="s">
        <v>131</v>
      </c>
      <c r="AA13" s="63">
        <f>'[18]2012'!AR38*1000</f>
        <v>1258499.3935038303</v>
      </c>
      <c r="AB13" s="63">
        <f>'[18]2012'!AS38*1000</f>
        <v>1121147.6103869355</v>
      </c>
      <c r="AC13" s="63">
        <f>'[18]2012'!AT38*1000</f>
        <v>1118611.3663241598</v>
      </c>
      <c r="AD13" s="63">
        <f>'[18]2012'!AU38*1000</f>
        <v>1079006.5886896602</v>
      </c>
      <c r="AE13" s="63">
        <f>'[18]2012'!AV38*1000</f>
        <v>801200.02494319598</v>
      </c>
      <c r="AF13" s="63">
        <f>'[18]2012'!AW38*1000</f>
        <v>687699.14681012498</v>
      </c>
    </row>
    <row r="14" spans="1:32" x14ac:dyDescent="0.2">
      <c r="A14">
        <v>2017</v>
      </c>
      <c r="B14" s="63">
        <f>AF20</f>
        <v>16366146.580179159</v>
      </c>
      <c r="C14" s="63">
        <f>B14-D150</f>
        <v>-794624.49701001123</v>
      </c>
      <c r="D14" s="63">
        <f t="shared" si="0"/>
        <v>-10187.4935514104</v>
      </c>
      <c r="F14" s="64">
        <f>C162</f>
        <v>16366146.580179151</v>
      </c>
      <c r="G14" s="64">
        <f t="shared" si="1"/>
        <v>0</v>
      </c>
      <c r="I14" s="61" t="s">
        <v>10</v>
      </c>
      <c r="J14" s="61">
        <f>SUM(J2:J13)</f>
        <v>78</v>
      </c>
      <c r="T14" t="s">
        <v>132</v>
      </c>
      <c r="AB14" s="63">
        <f>'[18]2013'!AT37*1000</f>
        <v>4622168.9196876064</v>
      </c>
      <c r="AC14" s="63">
        <f>'[18]2013'!AU37*1000</f>
        <v>4431669.7522180574</v>
      </c>
      <c r="AD14" s="63">
        <f>'[18]2013'!AV37*1000</f>
        <v>4418652.0246126549</v>
      </c>
      <c r="AE14" s="63">
        <f>'[18]2013'!AW37*1000</f>
        <v>4327526.3237240342</v>
      </c>
      <c r="AF14" s="63">
        <f>'[18]2013'!AX37*1000</f>
        <v>3448660.9037812427</v>
      </c>
    </row>
    <row r="15" spans="1:32" x14ac:dyDescent="0.2">
      <c r="A15" t="s">
        <v>10</v>
      </c>
      <c r="B15" s="63">
        <f>SUM(B3:B14)</f>
        <v>104882971.10142919</v>
      </c>
      <c r="C15" s="63"/>
      <c r="D15" s="63"/>
      <c r="T15" t="s">
        <v>133</v>
      </c>
      <c r="AC15" s="63">
        <f>'[18]2014'!AU48*1000</f>
        <v>2301573.0780724487</v>
      </c>
      <c r="AD15" s="63">
        <f>'[18]2014'!AV48*1000</f>
        <v>2254715.5472924486</v>
      </c>
      <c r="AE15" s="63">
        <f>'[18]2014'!AW48*1000</f>
        <v>2205491.1289437492</v>
      </c>
      <c r="AF15" s="63">
        <f>'[18]2014'!AX48*1000</f>
        <v>2850373.6680121492</v>
      </c>
    </row>
    <row r="16" spans="1:32" x14ac:dyDescent="0.2">
      <c r="B16" s="63"/>
      <c r="T16" t="s">
        <v>161</v>
      </c>
      <c r="AD16" s="63">
        <f>'[19]Energy Savings'!F33</f>
        <v>1899912</v>
      </c>
      <c r="AE16" s="63">
        <f>'[19]Energy Savings'!G33</f>
        <v>1875154</v>
      </c>
      <c r="AF16" s="63">
        <f>'[19]Energy Savings'!H33</f>
        <v>1813590</v>
      </c>
    </row>
    <row r="17" spans="1:32" x14ac:dyDescent="0.2">
      <c r="B17" s="63" t="s">
        <v>91</v>
      </c>
      <c r="T17" t="s">
        <v>216</v>
      </c>
      <c r="AE17" s="64">
        <v>2440814</v>
      </c>
      <c r="AF17" s="64">
        <f>AE17*V33</f>
        <v>2265590.367597105</v>
      </c>
    </row>
    <row r="18" spans="1:32" x14ac:dyDescent="0.2">
      <c r="B18" s="63"/>
      <c r="T18" s="94" t="s">
        <v>10</v>
      </c>
      <c r="U18" s="64">
        <f>SUM(U7:U17)</f>
        <v>1592648.9792038505</v>
      </c>
      <c r="V18" s="64">
        <f t="shared" ref="V18:AF18" si="2">SUM(V7:V17)</f>
        <v>2347569.0755289979</v>
      </c>
      <c r="W18" s="64">
        <f t="shared" si="2"/>
        <v>4040219.6567894761</v>
      </c>
      <c r="X18" s="64">
        <f t="shared" si="2"/>
        <v>5532866.9962089267</v>
      </c>
      <c r="Y18" s="64">
        <f t="shared" si="2"/>
        <v>6270556.7014396843</v>
      </c>
      <c r="Z18" s="64">
        <f t="shared" si="2"/>
        <v>8080178.9467075933</v>
      </c>
      <c r="AA18" s="64">
        <f t="shared" si="2"/>
        <v>9219153.4285774715</v>
      </c>
      <c r="AB18" s="64">
        <f t="shared" si="2"/>
        <v>13638047.196598591</v>
      </c>
      <c r="AC18" s="64">
        <f t="shared" si="2"/>
        <v>15277543.363884525</v>
      </c>
      <c r="AD18" s="64">
        <f t="shared" si="2"/>
        <v>16205531.127863813</v>
      </c>
      <c r="AE18" s="64">
        <f t="shared" si="2"/>
        <v>17792294.914401922</v>
      </c>
      <c r="AF18" s="64">
        <f t="shared" si="2"/>
        <v>16366146.580179159</v>
      </c>
    </row>
    <row r="19" spans="1:32" x14ac:dyDescent="0.2">
      <c r="A19" s="3">
        <v>38718</v>
      </c>
      <c r="B19" s="63">
        <f>$D$3</f>
        <v>10209.288328229812</v>
      </c>
      <c r="T19" s="94" t="s">
        <v>162</v>
      </c>
      <c r="U19" s="114">
        <f>-U7*0.5</f>
        <v>-796324.48960192525</v>
      </c>
      <c r="V19" s="114">
        <f>-V8*0.5</f>
        <v>-377460.0481625736</v>
      </c>
      <c r="W19" s="114">
        <f>-W9*0.5</f>
        <v>-849495.57288246357</v>
      </c>
      <c r="X19" s="114">
        <f>-X10*0.5</f>
        <v>-885196.53840042208</v>
      </c>
      <c r="Y19" s="114">
        <f>-Y11*0.5</f>
        <v>-1159993.8121642796</v>
      </c>
      <c r="Z19" s="114">
        <f>-Z12*0.5</f>
        <v>-1149831.7091112097</v>
      </c>
      <c r="AA19" s="114">
        <f>-AA13*0.5</f>
        <v>-629249.69675191515</v>
      </c>
      <c r="AB19" s="114">
        <f>-AB14*0.5</f>
        <v>-2311084.4598438032</v>
      </c>
      <c r="AC19" s="114">
        <f>-AC15*0.5</f>
        <v>-1150786.5390362244</v>
      </c>
      <c r="AD19" s="114">
        <f>-AD16*0.5</f>
        <v>-949956</v>
      </c>
      <c r="AE19" s="114">
        <f>-AE17/2</f>
        <v>-1220407</v>
      </c>
    </row>
    <row r="20" spans="1:32" x14ac:dyDescent="0.2">
      <c r="A20" s="3">
        <v>38749</v>
      </c>
      <c r="B20" s="63">
        <f t="shared" ref="B20:B30" si="3">B19+$D$3</f>
        <v>20418.576656459623</v>
      </c>
      <c r="T20" s="94" t="s">
        <v>163</v>
      </c>
      <c r="U20" s="64">
        <f>U18+U19</f>
        <v>796324.48960192525</v>
      </c>
      <c r="V20" s="64">
        <f t="shared" ref="V20:AF20" si="4">V18+V19</f>
        <v>1970109.0273664244</v>
      </c>
      <c r="W20" s="64">
        <f t="shared" si="4"/>
        <v>3190724.0839070124</v>
      </c>
      <c r="X20" s="64">
        <f t="shared" si="4"/>
        <v>4647670.4578085048</v>
      </c>
      <c r="Y20" s="64">
        <f t="shared" si="4"/>
        <v>5110562.8892754046</v>
      </c>
      <c r="Z20" s="64">
        <f t="shared" si="4"/>
        <v>6930347.2375963833</v>
      </c>
      <c r="AA20" s="64">
        <f t="shared" si="4"/>
        <v>8589903.7318255566</v>
      </c>
      <c r="AB20" s="64">
        <f t="shared" si="4"/>
        <v>11326962.736754788</v>
      </c>
      <c r="AC20" s="64">
        <f t="shared" si="4"/>
        <v>14126756.824848302</v>
      </c>
      <c r="AD20" s="64">
        <f t="shared" si="4"/>
        <v>15255575.127863813</v>
      </c>
      <c r="AE20" s="64">
        <f t="shared" si="4"/>
        <v>16571887.914401922</v>
      </c>
      <c r="AF20" s="64">
        <f t="shared" si="4"/>
        <v>16366146.580179159</v>
      </c>
    </row>
    <row r="21" spans="1:32" x14ac:dyDescent="0.2">
      <c r="A21" s="3">
        <v>38777</v>
      </c>
      <c r="B21" s="63">
        <f t="shared" si="3"/>
        <v>30627.864984689433</v>
      </c>
    </row>
    <row r="22" spans="1:32" ht="38.25" x14ac:dyDescent="0.2">
      <c r="A22" s="3">
        <v>38808</v>
      </c>
      <c r="B22" s="63">
        <f t="shared" si="3"/>
        <v>40837.153312919247</v>
      </c>
      <c r="U22" s="260"/>
      <c r="V22" s="60" t="s">
        <v>283</v>
      </c>
      <c r="W22" s="60" t="s">
        <v>284</v>
      </c>
    </row>
    <row r="23" spans="1:32" x14ac:dyDescent="0.2">
      <c r="A23" s="3">
        <v>38838</v>
      </c>
      <c r="B23" s="63">
        <f t="shared" si="3"/>
        <v>51046.44164114906</v>
      </c>
      <c r="U23" s="260">
        <v>2006</v>
      </c>
      <c r="V23" s="261">
        <f>V7/U7</f>
        <v>1</v>
      </c>
      <c r="W23" s="261">
        <f>W7/U7</f>
        <v>1</v>
      </c>
    </row>
    <row r="24" spans="1:32" x14ac:dyDescent="0.2">
      <c r="A24" s="3">
        <v>38869</v>
      </c>
      <c r="B24" s="63">
        <f t="shared" si="3"/>
        <v>61255.729969378874</v>
      </c>
      <c r="U24" s="260">
        <v>2007</v>
      </c>
      <c r="V24" s="261">
        <f>W8/V8</f>
        <v>0.99160101243123089</v>
      </c>
      <c r="W24" s="261">
        <f>X8/V8</f>
        <v>0.99160101243123089</v>
      </c>
    </row>
    <row r="25" spans="1:32" x14ac:dyDescent="0.2">
      <c r="A25" s="3">
        <v>38899</v>
      </c>
      <c r="B25" s="63">
        <f t="shared" si="3"/>
        <v>71465.01829760868</v>
      </c>
      <c r="U25" s="260">
        <v>2008</v>
      </c>
      <c r="V25" s="261">
        <f>X9/W9</f>
        <v>0.83652314017425566</v>
      </c>
      <c r="W25" s="261">
        <f>Y9/W9</f>
        <v>0.83652314017425566</v>
      </c>
    </row>
    <row r="26" spans="1:32" x14ac:dyDescent="0.2">
      <c r="A26" s="3">
        <v>38930</v>
      </c>
      <c r="B26" s="63">
        <f t="shared" si="3"/>
        <v>81674.306625838493</v>
      </c>
      <c r="U26" s="260">
        <v>2009</v>
      </c>
      <c r="V26" s="261">
        <f>Y10/X10</f>
        <v>0.84960582722547884</v>
      </c>
      <c r="W26" s="261">
        <f>Z10/X10</f>
        <v>0.84960582722547884</v>
      </c>
    </row>
    <row r="27" spans="1:32" x14ac:dyDescent="0.2">
      <c r="A27" s="3">
        <v>38961</v>
      </c>
      <c r="B27" s="63">
        <f t="shared" si="3"/>
        <v>91883.594954068307</v>
      </c>
      <c r="U27" s="260">
        <v>2010</v>
      </c>
      <c r="V27" s="261">
        <f>Z11/Y11</f>
        <v>0.78881884816468339</v>
      </c>
      <c r="W27" s="261">
        <f>AA11/Y11</f>
        <v>0.7879140625105715</v>
      </c>
    </row>
    <row r="28" spans="1:32" x14ac:dyDescent="0.2">
      <c r="A28" s="3">
        <v>38991</v>
      </c>
      <c r="B28" s="63">
        <f t="shared" si="3"/>
        <v>102092.88328229812</v>
      </c>
      <c r="U28" s="260">
        <v>2011</v>
      </c>
      <c r="V28" s="261">
        <f>AA12/Z12</f>
        <v>0.99930463824082716</v>
      </c>
      <c r="W28" s="261">
        <f>AB12/Z12</f>
        <v>0.99190677189548226</v>
      </c>
    </row>
    <row r="29" spans="1:32" x14ac:dyDescent="0.2">
      <c r="A29" s="3">
        <v>39022</v>
      </c>
      <c r="B29" s="63">
        <f t="shared" si="3"/>
        <v>112302.17161052793</v>
      </c>
      <c r="C29" s="4" t="s">
        <v>79</v>
      </c>
      <c r="U29" s="260">
        <v>2012</v>
      </c>
      <c r="V29" s="261">
        <f>AB13/AA13</f>
        <v>0.89086066800994712</v>
      </c>
      <c r="W29" s="261">
        <f>AC13/AA13</f>
        <v>0.88884537576915024</v>
      </c>
    </row>
    <row r="30" spans="1:32" x14ac:dyDescent="0.2">
      <c r="A30" s="3">
        <v>39052</v>
      </c>
      <c r="B30" s="63">
        <f t="shared" si="3"/>
        <v>122511.45993875775</v>
      </c>
      <c r="C30" s="63">
        <f>SUM(B19:B30)</f>
        <v>796324.48960192525</v>
      </c>
      <c r="D30" s="63">
        <f>B30*12</f>
        <v>1470137.5192650929</v>
      </c>
      <c r="U30" s="260">
        <v>2013</v>
      </c>
      <c r="V30" s="261">
        <f>AC14/AB14</f>
        <v>0.95878576253279291</v>
      </c>
      <c r="W30" s="261">
        <f>AD14/AB14</f>
        <v>0.95596939475576193</v>
      </c>
    </row>
    <row r="31" spans="1:32" x14ac:dyDescent="0.2">
      <c r="A31" s="3">
        <v>39083</v>
      </c>
      <c r="B31" s="63">
        <f t="shared" ref="B31:B42" si="5">B30+$D$4</f>
        <v>128921.351068262</v>
      </c>
      <c r="U31" s="260">
        <v>2014</v>
      </c>
      <c r="V31" s="261">
        <f>AD15/AC15</f>
        <v>0.97964108494906321</v>
      </c>
      <c r="W31" s="261">
        <f>AE15/AC15</f>
        <v>0.95825379170268732</v>
      </c>
    </row>
    <row r="32" spans="1:32" x14ac:dyDescent="0.2">
      <c r="A32" s="3">
        <v>39114</v>
      </c>
      <c r="B32" s="63">
        <f t="shared" si="5"/>
        <v>135331.24219776626</v>
      </c>
      <c r="U32" s="260">
        <v>2015</v>
      </c>
      <c r="V32" s="261">
        <f>AE16/AD16</f>
        <v>0.98696887013714318</v>
      </c>
      <c r="W32" s="261"/>
      <c r="X32" s="261"/>
    </row>
    <row r="33" spans="1:23" x14ac:dyDescent="0.2">
      <c r="A33" s="3">
        <v>39142</v>
      </c>
      <c r="B33" s="63">
        <f t="shared" si="5"/>
        <v>141741.13332727051</v>
      </c>
      <c r="U33" s="260" t="s">
        <v>13</v>
      </c>
      <c r="V33" s="262">
        <f>AVERAGE(V23:V32)</f>
        <v>0.92821098518654233</v>
      </c>
      <c r="W33" s="262">
        <f>AVERAGE(W23:W32)</f>
        <v>0.91784659738495755</v>
      </c>
    </row>
    <row r="34" spans="1:23" x14ac:dyDescent="0.2">
      <c r="A34" s="3">
        <v>39173</v>
      </c>
      <c r="B34" s="63">
        <f t="shared" si="5"/>
        <v>148151.02445677476</v>
      </c>
    </row>
    <row r="35" spans="1:23" x14ac:dyDescent="0.2">
      <c r="A35" s="3">
        <v>39203</v>
      </c>
      <c r="B35" s="63">
        <f t="shared" si="5"/>
        <v>154560.91558627901</v>
      </c>
    </row>
    <row r="36" spans="1:23" x14ac:dyDescent="0.2">
      <c r="A36" s="3">
        <v>39234</v>
      </c>
      <c r="B36" s="63">
        <f t="shared" si="5"/>
        <v>160970.80671578326</v>
      </c>
    </row>
    <row r="37" spans="1:23" x14ac:dyDescent="0.2">
      <c r="A37" s="3">
        <v>39264</v>
      </c>
      <c r="B37" s="63">
        <f t="shared" si="5"/>
        <v>167380.6978452875</v>
      </c>
    </row>
    <row r="38" spans="1:23" ht="13.5" thickBot="1" x14ac:dyDescent="0.25">
      <c r="A38" s="3">
        <v>39295</v>
      </c>
      <c r="B38" s="63">
        <f t="shared" si="5"/>
        <v>173790.58897479175</v>
      </c>
    </row>
    <row r="39" spans="1:23" x14ac:dyDescent="0.2">
      <c r="A39" s="3">
        <v>39326</v>
      </c>
      <c r="B39" s="63">
        <f t="shared" si="5"/>
        <v>180200.480104296</v>
      </c>
      <c r="Q39" s="82"/>
      <c r="R39" s="82"/>
      <c r="S39" s="83"/>
    </row>
    <row r="40" spans="1:23" x14ac:dyDescent="0.2">
      <c r="A40" s="3">
        <v>39356</v>
      </c>
      <c r="B40" s="63">
        <f t="shared" si="5"/>
        <v>186610.37123380025</v>
      </c>
      <c r="Q40" s="80"/>
      <c r="R40" s="80"/>
      <c r="S40" s="84"/>
    </row>
    <row r="41" spans="1:23" x14ac:dyDescent="0.2">
      <c r="A41" s="3">
        <v>39387</v>
      </c>
      <c r="B41" s="63">
        <f t="shared" si="5"/>
        <v>193020.2623633045</v>
      </c>
      <c r="C41" s="4" t="s">
        <v>79</v>
      </c>
      <c r="Q41" s="80"/>
      <c r="R41" s="80"/>
      <c r="S41" s="84"/>
    </row>
    <row r="42" spans="1:23" ht="13.5" thickBot="1" x14ac:dyDescent="0.25">
      <c r="A42" s="3">
        <v>39417</v>
      </c>
      <c r="B42" s="63">
        <f t="shared" si="5"/>
        <v>199430.15349280875</v>
      </c>
      <c r="C42" s="63">
        <f>SUM(B31:B42)</f>
        <v>1970109.0273664244</v>
      </c>
      <c r="D42" s="63">
        <f>B42*12</f>
        <v>2393161.8419137048</v>
      </c>
      <c r="Q42" s="85"/>
      <c r="R42" s="85"/>
      <c r="S42" s="86"/>
    </row>
    <row r="43" spans="1:23" x14ac:dyDescent="0.2">
      <c r="A43" s="3">
        <v>39448</v>
      </c>
      <c r="B43" s="63">
        <f t="shared" ref="B43:B54" si="6">B42+$D$5</f>
        <v>209655.3104414409</v>
      </c>
    </row>
    <row r="44" spans="1:23" x14ac:dyDescent="0.2">
      <c r="A44" s="3">
        <v>39479</v>
      </c>
      <c r="B44" s="63">
        <f t="shared" si="6"/>
        <v>219880.46739007306</v>
      </c>
    </row>
    <row r="45" spans="1:23" x14ac:dyDescent="0.2">
      <c r="A45" s="3">
        <v>39508</v>
      </c>
      <c r="B45" s="63">
        <f t="shared" si="6"/>
        <v>230105.62433870521</v>
      </c>
    </row>
    <row r="46" spans="1:23" x14ac:dyDescent="0.2">
      <c r="A46" s="3">
        <v>39539</v>
      </c>
      <c r="B46" s="63">
        <f t="shared" si="6"/>
        <v>240330.78128733736</v>
      </c>
    </row>
    <row r="47" spans="1:23" x14ac:dyDescent="0.2">
      <c r="A47" s="3">
        <v>39569</v>
      </c>
      <c r="B47" s="63">
        <f t="shared" si="6"/>
        <v>250555.93823596952</v>
      </c>
      <c r="I47" t="s">
        <v>102</v>
      </c>
    </row>
    <row r="48" spans="1:23" x14ac:dyDescent="0.2">
      <c r="A48" s="3">
        <v>39600</v>
      </c>
      <c r="B48" s="63">
        <f t="shared" si="6"/>
        <v>260781.09518460167</v>
      </c>
      <c r="I48" t="s">
        <v>103</v>
      </c>
    </row>
    <row r="49" spans="1:10" x14ac:dyDescent="0.2">
      <c r="A49" s="3">
        <v>39630</v>
      </c>
      <c r="B49" s="63">
        <f t="shared" si="6"/>
        <v>271006.25213323382</v>
      </c>
      <c r="I49" t="s">
        <v>104</v>
      </c>
    </row>
    <row r="50" spans="1:10" x14ac:dyDescent="0.2">
      <c r="A50" s="3">
        <v>39661</v>
      </c>
      <c r="B50" s="63">
        <f t="shared" si="6"/>
        <v>281231.40908186598</v>
      </c>
      <c r="I50" t="s">
        <v>105</v>
      </c>
      <c r="J50" t="str">
        <f>[20]ERIP!$B$7</f>
        <v>Niagara Health System</v>
      </c>
    </row>
    <row r="51" spans="1:10" x14ac:dyDescent="0.2">
      <c r="A51" s="3">
        <v>39692</v>
      </c>
      <c r="B51" s="63">
        <f t="shared" si="6"/>
        <v>291456.56603049813</v>
      </c>
      <c r="I51" t="s">
        <v>106</v>
      </c>
      <c r="J51" t="str">
        <f>[20]ERIP!$B$8</f>
        <v>Niagara College</v>
      </c>
    </row>
    <row r="52" spans="1:10" x14ac:dyDescent="0.2">
      <c r="A52" s="3">
        <v>39722</v>
      </c>
      <c r="B52" s="63">
        <f t="shared" si="6"/>
        <v>301681.72297913028</v>
      </c>
      <c r="I52" t="s">
        <v>107</v>
      </c>
      <c r="J52" t="str">
        <f>[20]ERIP!$B$9</f>
        <v>42 Rice Road</v>
      </c>
    </row>
    <row r="53" spans="1:10" x14ac:dyDescent="0.2">
      <c r="A53" s="3">
        <v>39753</v>
      </c>
      <c r="B53" s="63">
        <f t="shared" si="6"/>
        <v>311906.87992776243</v>
      </c>
      <c r="I53" t="s">
        <v>108</v>
      </c>
      <c r="J53" t="str">
        <f>[20]ERIP!$B$10</f>
        <v>Welded Tube of Canada</v>
      </c>
    </row>
    <row r="54" spans="1:10" x14ac:dyDescent="0.2">
      <c r="A54" s="3">
        <v>39783</v>
      </c>
      <c r="B54" s="63">
        <f t="shared" si="6"/>
        <v>322132.03687639459</v>
      </c>
      <c r="C54" s="63">
        <f>SUM(B43:B54)</f>
        <v>3190724.0839070128</v>
      </c>
      <c r="D54" s="63">
        <f>B54*12</f>
        <v>3865584.4425167348</v>
      </c>
      <c r="I54" t="s">
        <v>109</v>
      </c>
      <c r="J54" t="str">
        <f>[20]ERIP!$B$11</f>
        <v>Sobeys</v>
      </c>
    </row>
    <row r="55" spans="1:10" x14ac:dyDescent="0.2">
      <c r="A55" s="3">
        <v>39814</v>
      </c>
      <c r="B55" s="63">
        <f t="shared" ref="B55:B66" si="7">B54+$D$6</f>
        <v>332158.7806621865</v>
      </c>
      <c r="I55" t="s">
        <v>110</v>
      </c>
      <c r="J55" t="str">
        <f>[20]ERIP!$B$12</f>
        <v>Zehrs</v>
      </c>
    </row>
    <row r="56" spans="1:10" x14ac:dyDescent="0.2">
      <c r="A56" s="3">
        <v>39845</v>
      </c>
      <c r="B56" s="63">
        <f t="shared" si="7"/>
        <v>342185.52444797842</v>
      </c>
      <c r="I56" t="s">
        <v>111</v>
      </c>
      <c r="J56" t="str">
        <f>'[20]HPNC Gen 1'!$B$7</f>
        <v>Niagara College</v>
      </c>
    </row>
    <row r="57" spans="1:10" x14ac:dyDescent="0.2">
      <c r="A57" s="3">
        <v>39873</v>
      </c>
      <c r="B57" s="63">
        <f t="shared" si="7"/>
        <v>352212.26823377033</v>
      </c>
      <c r="I57" t="s">
        <v>112</v>
      </c>
      <c r="J57" t="str">
        <f>'[20]HPNC Gen 1'!$B$8</f>
        <v>Jean Vanier</v>
      </c>
    </row>
    <row r="58" spans="1:10" x14ac:dyDescent="0.2">
      <c r="A58" s="3">
        <v>39904</v>
      </c>
      <c r="B58" s="63">
        <f t="shared" si="7"/>
        <v>362239.01201956224</v>
      </c>
    </row>
    <row r="59" spans="1:10" x14ac:dyDescent="0.2">
      <c r="A59" s="3">
        <v>39934</v>
      </c>
      <c r="B59" s="63">
        <f t="shared" si="7"/>
        <v>372265.75580535416</v>
      </c>
    </row>
    <row r="60" spans="1:10" x14ac:dyDescent="0.2">
      <c r="A60" s="3">
        <v>39965</v>
      </c>
      <c r="B60" s="63">
        <f t="shared" si="7"/>
        <v>382292.49959114607</v>
      </c>
    </row>
    <row r="61" spans="1:10" x14ac:dyDescent="0.2">
      <c r="A61" s="3">
        <v>39995</v>
      </c>
      <c r="B61" s="63">
        <f t="shared" si="7"/>
        <v>392319.24337693799</v>
      </c>
    </row>
    <row r="62" spans="1:10" x14ac:dyDescent="0.2">
      <c r="A62" s="3">
        <v>40026</v>
      </c>
      <c r="B62" s="63">
        <f t="shared" si="7"/>
        <v>402345.9871627299</v>
      </c>
    </row>
    <row r="63" spans="1:10" x14ac:dyDescent="0.2">
      <c r="A63" s="3">
        <v>40057</v>
      </c>
      <c r="B63" s="63">
        <f t="shared" si="7"/>
        <v>412372.73094852181</v>
      </c>
    </row>
    <row r="64" spans="1:10" x14ac:dyDescent="0.2">
      <c r="A64" s="3">
        <v>40087</v>
      </c>
      <c r="B64" s="63">
        <f t="shared" si="7"/>
        <v>422399.47473431373</v>
      </c>
    </row>
    <row r="65" spans="1:4" x14ac:dyDescent="0.2">
      <c r="A65" s="3">
        <v>40118</v>
      </c>
      <c r="B65" s="63">
        <f t="shared" si="7"/>
        <v>432426.21852010564</v>
      </c>
    </row>
    <row r="66" spans="1:4" x14ac:dyDescent="0.2">
      <c r="A66" s="3">
        <v>40148</v>
      </c>
      <c r="B66" s="63">
        <f t="shared" si="7"/>
        <v>442452.96230589756</v>
      </c>
      <c r="C66" s="63">
        <f>SUM(B55:B66)</f>
        <v>4647670.4578085048</v>
      </c>
      <c r="D66" s="63">
        <f>B66*12</f>
        <v>5309435.5476707704</v>
      </c>
    </row>
    <row r="67" spans="1:4" x14ac:dyDescent="0.2">
      <c r="A67" s="3">
        <v>40179</v>
      </c>
      <c r="B67" s="63">
        <f t="shared" ref="B67:B78" si="8">B66+$D$7</f>
        <v>439903.3128392903</v>
      </c>
    </row>
    <row r="68" spans="1:4" x14ac:dyDescent="0.2">
      <c r="A68" s="3">
        <v>40210</v>
      </c>
      <c r="B68" s="63">
        <f t="shared" si="8"/>
        <v>437353.66337268305</v>
      </c>
    </row>
    <row r="69" spans="1:4" x14ac:dyDescent="0.2">
      <c r="A69" s="3">
        <v>40238</v>
      </c>
      <c r="B69" s="63">
        <f t="shared" si="8"/>
        <v>434804.01390607579</v>
      </c>
    </row>
    <row r="70" spans="1:4" x14ac:dyDescent="0.2">
      <c r="A70" s="3">
        <v>40269</v>
      </c>
      <c r="B70" s="63">
        <f t="shared" si="8"/>
        <v>432254.36443946854</v>
      </c>
    </row>
    <row r="71" spans="1:4" x14ac:dyDescent="0.2">
      <c r="A71" s="3">
        <v>40299</v>
      </c>
      <c r="B71" s="63">
        <f t="shared" si="8"/>
        <v>429704.71497286129</v>
      </c>
    </row>
    <row r="72" spans="1:4" x14ac:dyDescent="0.2">
      <c r="A72" s="3">
        <v>40330</v>
      </c>
      <c r="B72" s="63">
        <f t="shared" si="8"/>
        <v>427155.06550625403</v>
      </c>
    </row>
    <row r="73" spans="1:4" x14ac:dyDescent="0.2">
      <c r="A73" s="3">
        <v>40360</v>
      </c>
      <c r="B73" s="63">
        <f t="shared" si="8"/>
        <v>424605.41603964678</v>
      </c>
    </row>
    <row r="74" spans="1:4" x14ac:dyDescent="0.2">
      <c r="A74" s="3">
        <v>40391</v>
      </c>
      <c r="B74" s="63">
        <f t="shared" si="8"/>
        <v>422055.76657303952</v>
      </c>
    </row>
    <row r="75" spans="1:4" x14ac:dyDescent="0.2">
      <c r="A75" s="3">
        <v>40422</v>
      </c>
      <c r="B75" s="63">
        <f t="shared" si="8"/>
        <v>419506.11710643227</v>
      </c>
    </row>
    <row r="76" spans="1:4" x14ac:dyDescent="0.2">
      <c r="A76" s="3">
        <v>40452</v>
      </c>
      <c r="B76" s="63">
        <f t="shared" si="8"/>
        <v>416956.46763982502</v>
      </c>
    </row>
    <row r="77" spans="1:4" x14ac:dyDescent="0.2">
      <c r="A77" s="3">
        <v>40483</v>
      </c>
      <c r="B77" s="63">
        <f t="shared" si="8"/>
        <v>414406.81817321776</v>
      </c>
    </row>
    <row r="78" spans="1:4" x14ac:dyDescent="0.2">
      <c r="A78" s="3">
        <v>40513</v>
      </c>
      <c r="B78" s="63">
        <f t="shared" si="8"/>
        <v>411857.16870661051</v>
      </c>
      <c r="C78" s="63">
        <f>SUM(B67:B78)</f>
        <v>5110562.8892754046</v>
      </c>
      <c r="D78" s="63">
        <f>B78*12</f>
        <v>4942286.0244793259</v>
      </c>
    </row>
    <row r="79" spans="1:4" x14ac:dyDescent="0.2">
      <c r="A79" s="3">
        <v>40544</v>
      </c>
      <c r="B79" s="63">
        <f t="shared" ref="B79:B90" si="9">B78+$D$8</f>
        <v>437345.132977342</v>
      </c>
    </row>
    <row r="80" spans="1:4" x14ac:dyDescent="0.2">
      <c r="A80" s="3">
        <v>40575</v>
      </c>
      <c r="B80" s="63">
        <f t="shared" si="9"/>
        <v>462833.09724807349</v>
      </c>
    </row>
    <row r="81" spans="1:4" x14ac:dyDescent="0.2">
      <c r="A81" s="3">
        <v>40603</v>
      </c>
      <c r="B81" s="63">
        <f t="shared" si="9"/>
        <v>488321.06151880499</v>
      </c>
    </row>
    <row r="82" spans="1:4" x14ac:dyDescent="0.2">
      <c r="A82" s="3">
        <v>40634</v>
      </c>
      <c r="B82" s="63">
        <f t="shared" si="9"/>
        <v>513809.02578953648</v>
      </c>
    </row>
    <row r="83" spans="1:4" x14ac:dyDescent="0.2">
      <c r="A83" s="3">
        <v>40664</v>
      </c>
      <c r="B83" s="63">
        <f t="shared" si="9"/>
        <v>539296.99006026797</v>
      </c>
    </row>
    <row r="84" spans="1:4" x14ac:dyDescent="0.2">
      <c r="A84" s="3">
        <v>40695</v>
      </c>
      <c r="B84" s="63">
        <f t="shared" si="9"/>
        <v>564784.95433099952</v>
      </c>
    </row>
    <row r="85" spans="1:4" x14ac:dyDescent="0.2">
      <c r="A85" s="3">
        <v>40725</v>
      </c>
      <c r="B85" s="63">
        <f t="shared" si="9"/>
        <v>590272.91860173107</v>
      </c>
    </row>
    <row r="86" spans="1:4" x14ac:dyDescent="0.2">
      <c r="A86" s="3">
        <v>40756</v>
      </c>
      <c r="B86" s="63">
        <f t="shared" si="9"/>
        <v>615760.88287246262</v>
      </c>
    </row>
    <row r="87" spans="1:4" x14ac:dyDescent="0.2">
      <c r="A87" s="3">
        <v>40787</v>
      </c>
      <c r="B87" s="63">
        <f t="shared" si="9"/>
        <v>641248.84714319417</v>
      </c>
    </row>
    <row r="88" spans="1:4" x14ac:dyDescent="0.2">
      <c r="A88" s="3">
        <v>40817</v>
      </c>
      <c r="B88" s="63">
        <f t="shared" si="9"/>
        <v>666736.81141392572</v>
      </c>
    </row>
    <row r="89" spans="1:4" x14ac:dyDescent="0.2">
      <c r="A89" s="3">
        <v>40848</v>
      </c>
      <c r="B89" s="63">
        <f t="shared" si="9"/>
        <v>692224.77568465727</v>
      </c>
    </row>
    <row r="90" spans="1:4" x14ac:dyDescent="0.2">
      <c r="A90" s="3">
        <v>40878</v>
      </c>
      <c r="B90" s="63">
        <f t="shared" si="9"/>
        <v>717712.73995538882</v>
      </c>
      <c r="C90" s="63">
        <f>SUM(B79:B90)</f>
        <v>6930347.2375963842</v>
      </c>
      <c r="D90" s="63">
        <f>B90*12</f>
        <v>8612552.8794646654</v>
      </c>
    </row>
    <row r="91" spans="1:4" x14ac:dyDescent="0.2">
      <c r="A91" s="3">
        <v>40909</v>
      </c>
      <c r="B91" s="63">
        <f t="shared" ref="B91:B102" si="10">B90+$D$9</f>
        <v>717422.3662677079</v>
      </c>
    </row>
    <row r="92" spans="1:4" x14ac:dyDescent="0.2">
      <c r="A92" s="3">
        <v>40940</v>
      </c>
      <c r="B92" s="63">
        <f t="shared" si="10"/>
        <v>717131.99258002697</v>
      </c>
    </row>
    <row r="93" spans="1:4" x14ac:dyDescent="0.2">
      <c r="A93" s="3">
        <v>40969</v>
      </c>
      <c r="B93" s="63">
        <f t="shared" si="10"/>
        <v>716841.61889234604</v>
      </c>
    </row>
    <row r="94" spans="1:4" x14ac:dyDescent="0.2">
      <c r="A94" s="3">
        <v>41000</v>
      </c>
      <c r="B94" s="63">
        <f t="shared" si="10"/>
        <v>716551.24520466512</v>
      </c>
    </row>
    <row r="95" spans="1:4" x14ac:dyDescent="0.2">
      <c r="A95" s="3">
        <v>41030</v>
      </c>
      <c r="B95" s="63">
        <f t="shared" si="10"/>
        <v>716260.87151698419</v>
      </c>
    </row>
    <row r="96" spans="1:4" x14ac:dyDescent="0.2">
      <c r="A96" s="3">
        <v>41061</v>
      </c>
      <c r="B96" s="63">
        <f t="shared" si="10"/>
        <v>715970.49782930326</v>
      </c>
    </row>
    <row r="97" spans="1:4" x14ac:dyDescent="0.2">
      <c r="A97" s="3">
        <v>41091</v>
      </c>
      <c r="B97" s="63">
        <f t="shared" si="10"/>
        <v>715680.12414162233</v>
      </c>
    </row>
    <row r="98" spans="1:4" x14ac:dyDescent="0.2">
      <c r="A98" s="3">
        <v>41122</v>
      </c>
      <c r="B98" s="63">
        <f t="shared" si="10"/>
        <v>715389.75045394141</v>
      </c>
    </row>
    <row r="99" spans="1:4" x14ac:dyDescent="0.2">
      <c r="A99" s="3">
        <v>41153</v>
      </c>
      <c r="B99" s="63">
        <f t="shared" si="10"/>
        <v>715099.37676626048</v>
      </c>
    </row>
    <row r="100" spans="1:4" x14ac:dyDescent="0.2">
      <c r="A100" s="3">
        <v>41183</v>
      </c>
      <c r="B100" s="63">
        <f t="shared" si="10"/>
        <v>714809.00307857955</v>
      </c>
    </row>
    <row r="101" spans="1:4" x14ac:dyDescent="0.2">
      <c r="A101" s="3">
        <v>41214</v>
      </c>
      <c r="B101" s="63">
        <f t="shared" si="10"/>
        <v>714518.62939089863</v>
      </c>
    </row>
    <row r="102" spans="1:4" x14ac:dyDescent="0.2">
      <c r="A102" s="3">
        <v>41244</v>
      </c>
      <c r="B102" s="63">
        <f t="shared" si="10"/>
        <v>714228.2557032177</v>
      </c>
      <c r="C102" s="63">
        <f>SUM(B91:B102)</f>
        <v>8589903.7318255547</v>
      </c>
      <c r="D102" s="63">
        <f>B102*12</f>
        <v>8570739.0684386119</v>
      </c>
    </row>
    <row r="103" spans="1:4" x14ac:dyDescent="0.2">
      <c r="A103" s="3">
        <v>41275</v>
      </c>
      <c r="B103" s="63">
        <f t="shared" ref="B103:B114" si="11">B102+$D$10</f>
        <v>749564.45657906611</v>
      </c>
    </row>
    <row r="104" spans="1:4" x14ac:dyDescent="0.2">
      <c r="A104" s="3">
        <v>41306</v>
      </c>
      <c r="B104" s="63">
        <f t="shared" si="11"/>
        <v>784900.65745491453</v>
      </c>
    </row>
    <row r="105" spans="1:4" x14ac:dyDescent="0.2">
      <c r="A105" s="3">
        <v>41334</v>
      </c>
      <c r="B105" s="63">
        <f t="shared" si="11"/>
        <v>820236.85833076295</v>
      </c>
    </row>
    <row r="106" spans="1:4" x14ac:dyDescent="0.2">
      <c r="A106" s="3">
        <v>41365</v>
      </c>
      <c r="B106" s="63">
        <f t="shared" si="11"/>
        <v>855573.05920661136</v>
      </c>
    </row>
    <row r="107" spans="1:4" x14ac:dyDescent="0.2">
      <c r="A107" s="3">
        <v>41395</v>
      </c>
      <c r="B107" s="63">
        <f t="shared" si="11"/>
        <v>890909.26008245978</v>
      </c>
    </row>
    <row r="108" spans="1:4" x14ac:dyDescent="0.2">
      <c r="A108" s="3">
        <v>41426</v>
      </c>
      <c r="B108" s="63">
        <f t="shared" si="11"/>
        <v>926245.46095830819</v>
      </c>
    </row>
    <row r="109" spans="1:4" x14ac:dyDescent="0.2">
      <c r="A109" s="3">
        <v>41456</v>
      </c>
      <c r="B109" s="63">
        <f t="shared" si="11"/>
        <v>961581.66183415661</v>
      </c>
    </row>
    <row r="110" spans="1:4" x14ac:dyDescent="0.2">
      <c r="A110" s="3">
        <v>41487</v>
      </c>
      <c r="B110" s="63">
        <f t="shared" si="11"/>
        <v>996917.86271000502</v>
      </c>
    </row>
    <row r="111" spans="1:4" x14ac:dyDescent="0.2">
      <c r="A111" s="3">
        <v>41518</v>
      </c>
      <c r="B111" s="63">
        <f t="shared" si="11"/>
        <v>1032254.0635858534</v>
      </c>
    </row>
    <row r="112" spans="1:4" x14ac:dyDescent="0.2">
      <c r="A112" s="3">
        <v>41548</v>
      </c>
      <c r="B112" s="63">
        <f t="shared" si="11"/>
        <v>1067590.2644617017</v>
      </c>
    </row>
    <row r="113" spans="1:4" x14ac:dyDescent="0.2">
      <c r="A113" s="3">
        <v>41579</v>
      </c>
      <c r="B113" s="63">
        <f t="shared" si="11"/>
        <v>1102926.4653375503</v>
      </c>
    </row>
    <row r="114" spans="1:4" x14ac:dyDescent="0.2">
      <c r="A114" s="3">
        <v>41609</v>
      </c>
      <c r="B114" s="63">
        <f t="shared" si="11"/>
        <v>1138262.6662133988</v>
      </c>
      <c r="C114" s="63">
        <f>SUM(B103:B114)</f>
        <v>11326962.736754788</v>
      </c>
      <c r="D114" s="63">
        <f>B114*12</f>
        <v>13659151.994560786</v>
      </c>
    </row>
    <row r="115" spans="1:4" x14ac:dyDescent="0.2">
      <c r="A115" s="3">
        <v>41640</v>
      </c>
      <c r="B115" s="63">
        <f>B114+$D$11</f>
        <v>1144257.5999350336</v>
      </c>
    </row>
    <row r="116" spans="1:4" x14ac:dyDescent="0.2">
      <c r="A116" s="3">
        <v>41671</v>
      </c>
      <c r="B116" s="63">
        <f t="shared" ref="B116:B126" si="12">B115+$D$11</f>
        <v>1150252.5336566684</v>
      </c>
    </row>
    <row r="117" spans="1:4" x14ac:dyDescent="0.2">
      <c r="A117" s="3">
        <v>41699</v>
      </c>
      <c r="B117" s="63">
        <f t="shared" si="12"/>
        <v>1156247.4673783032</v>
      </c>
    </row>
    <row r="118" spans="1:4" x14ac:dyDescent="0.2">
      <c r="A118" s="3">
        <v>41730</v>
      </c>
      <c r="B118" s="63">
        <f t="shared" si="12"/>
        <v>1162242.401099938</v>
      </c>
    </row>
    <row r="119" spans="1:4" x14ac:dyDescent="0.2">
      <c r="A119" s="3">
        <v>41760</v>
      </c>
      <c r="B119" s="63">
        <f t="shared" si="12"/>
        <v>1168237.3348215728</v>
      </c>
    </row>
    <row r="120" spans="1:4" x14ac:dyDescent="0.2">
      <c r="A120" s="3">
        <v>41791</v>
      </c>
      <c r="B120" s="63">
        <f t="shared" si="12"/>
        <v>1174232.2685432076</v>
      </c>
    </row>
    <row r="121" spans="1:4" x14ac:dyDescent="0.2">
      <c r="A121" s="3">
        <v>41821</v>
      </c>
      <c r="B121" s="63">
        <f t="shared" si="12"/>
        <v>1180227.2022648423</v>
      </c>
    </row>
    <row r="122" spans="1:4" x14ac:dyDescent="0.2">
      <c r="A122" s="3">
        <v>41852</v>
      </c>
      <c r="B122" s="63">
        <f t="shared" si="12"/>
        <v>1186222.1359864771</v>
      </c>
    </row>
    <row r="123" spans="1:4" x14ac:dyDescent="0.2">
      <c r="A123" s="3">
        <v>41883</v>
      </c>
      <c r="B123" s="63">
        <f t="shared" si="12"/>
        <v>1192217.0697081119</v>
      </c>
    </row>
    <row r="124" spans="1:4" x14ac:dyDescent="0.2">
      <c r="A124" s="3">
        <v>41913</v>
      </c>
      <c r="B124" s="63">
        <f t="shared" si="12"/>
        <v>1198212.0034297467</v>
      </c>
    </row>
    <row r="125" spans="1:4" x14ac:dyDescent="0.2">
      <c r="A125" s="3">
        <v>41944</v>
      </c>
      <c r="B125" s="63">
        <f t="shared" si="12"/>
        <v>1204206.9371513815</v>
      </c>
    </row>
    <row r="126" spans="1:4" x14ac:dyDescent="0.2">
      <c r="A126" s="3">
        <v>41974</v>
      </c>
      <c r="B126" s="63">
        <f t="shared" si="12"/>
        <v>1210201.8708730163</v>
      </c>
      <c r="C126" s="63">
        <f>SUM(B115:B126)</f>
        <v>14126756.824848298</v>
      </c>
      <c r="D126" s="63">
        <f>B126*12</f>
        <v>14522422.450476196</v>
      </c>
    </row>
    <row r="127" spans="1:4" x14ac:dyDescent="0.2">
      <c r="A127" s="3">
        <v>42005</v>
      </c>
      <c r="B127" s="63">
        <f>B126+$D$12</f>
        <v>1219601.2641728576</v>
      </c>
    </row>
    <row r="128" spans="1:4" x14ac:dyDescent="0.2">
      <c r="A128" s="3">
        <v>42036</v>
      </c>
      <c r="B128" s="63">
        <f t="shared" ref="B128:B138" si="13">B127+$D$12</f>
        <v>1229000.6574726989</v>
      </c>
    </row>
    <row r="129" spans="1:4" x14ac:dyDescent="0.2">
      <c r="A129" s="3">
        <v>42064</v>
      </c>
      <c r="B129" s="63">
        <f t="shared" si="13"/>
        <v>1238400.0507725403</v>
      </c>
    </row>
    <row r="130" spans="1:4" x14ac:dyDescent="0.2">
      <c r="A130" s="3">
        <v>42095</v>
      </c>
      <c r="B130" s="63">
        <f t="shared" si="13"/>
        <v>1247799.4440723816</v>
      </c>
    </row>
    <row r="131" spans="1:4" x14ac:dyDescent="0.2">
      <c r="A131" s="3">
        <v>42125</v>
      </c>
      <c r="B131" s="63">
        <f t="shared" si="13"/>
        <v>1257198.8373722229</v>
      </c>
    </row>
    <row r="132" spans="1:4" x14ac:dyDescent="0.2">
      <c r="A132" s="3">
        <v>42156</v>
      </c>
      <c r="B132" s="63">
        <f t="shared" si="13"/>
        <v>1266598.2306720642</v>
      </c>
    </row>
    <row r="133" spans="1:4" x14ac:dyDescent="0.2">
      <c r="A133" s="3">
        <v>42186</v>
      </c>
      <c r="B133" s="63">
        <f t="shared" si="13"/>
        <v>1275997.6239719056</v>
      </c>
    </row>
    <row r="134" spans="1:4" x14ac:dyDescent="0.2">
      <c r="A134" s="3">
        <v>42217</v>
      </c>
      <c r="B134" s="63">
        <f t="shared" si="13"/>
        <v>1285397.0172717469</v>
      </c>
    </row>
    <row r="135" spans="1:4" x14ac:dyDescent="0.2">
      <c r="A135" s="3">
        <v>42248</v>
      </c>
      <c r="B135" s="63">
        <f t="shared" si="13"/>
        <v>1294796.4105715882</v>
      </c>
    </row>
    <row r="136" spans="1:4" x14ac:dyDescent="0.2">
      <c r="A136" s="3">
        <v>42278</v>
      </c>
      <c r="B136" s="63">
        <f t="shared" si="13"/>
        <v>1304195.8038714295</v>
      </c>
    </row>
    <row r="137" spans="1:4" x14ac:dyDescent="0.2">
      <c r="A137" s="3">
        <v>42309</v>
      </c>
      <c r="B137" s="63">
        <f t="shared" si="13"/>
        <v>1313595.1971712708</v>
      </c>
    </row>
    <row r="138" spans="1:4" x14ac:dyDescent="0.2">
      <c r="A138" s="3">
        <v>42339</v>
      </c>
      <c r="B138" s="63">
        <f t="shared" si="13"/>
        <v>1322994.5904711122</v>
      </c>
      <c r="C138" s="63">
        <f>SUM(B127:B138)</f>
        <v>15255575.127863817</v>
      </c>
      <c r="D138" s="63">
        <f>B138*12</f>
        <v>15875935.085653346</v>
      </c>
    </row>
    <row r="139" spans="1:4" x14ac:dyDescent="0.2">
      <c r="A139" s="3">
        <v>42370</v>
      </c>
      <c r="B139" s="63">
        <f>B138+$D$13</f>
        <v>1331917.0626345554</v>
      </c>
    </row>
    <row r="140" spans="1:4" x14ac:dyDescent="0.2">
      <c r="A140" s="3">
        <v>42401</v>
      </c>
      <c r="B140" s="63">
        <f t="shared" ref="B140:B150" si="14">B139+$D$13</f>
        <v>1340839.5347979986</v>
      </c>
    </row>
    <row r="141" spans="1:4" x14ac:dyDescent="0.2">
      <c r="A141" s="3">
        <v>42430</v>
      </c>
      <c r="B141" s="63">
        <f t="shared" si="14"/>
        <v>1349762.0069614418</v>
      </c>
    </row>
    <row r="142" spans="1:4" x14ac:dyDescent="0.2">
      <c r="A142" s="3">
        <v>42461</v>
      </c>
      <c r="B142" s="63">
        <f t="shared" si="14"/>
        <v>1358684.4791248851</v>
      </c>
    </row>
    <row r="143" spans="1:4" x14ac:dyDescent="0.2">
      <c r="A143" s="3">
        <v>42491</v>
      </c>
      <c r="B143" s="63">
        <f t="shared" si="14"/>
        <v>1367606.9512883283</v>
      </c>
    </row>
    <row r="144" spans="1:4" x14ac:dyDescent="0.2">
      <c r="A144" s="3">
        <v>42522</v>
      </c>
      <c r="B144" s="63">
        <f t="shared" si="14"/>
        <v>1376529.4234517715</v>
      </c>
    </row>
    <row r="145" spans="1:4" x14ac:dyDescent="0.2">
      <c r="A145" s="3">
        <v>42552</v>
      </c>
      <c r="B145" s="63">
        <f t="shared" si="14"/>
        <v>1385451.8956152147</v>
      </c>
    </row>
    <row r="146" spans="1:4" x14ac:dyDescent="0.2">
      <c r="A146" s="3">
        <v>42583</v>
      </c>
      <c r="B146" s="63">
        <f t="shared" si="14"/>
        <v>1394374.3677786579</v>
      </c>
    </row>
    <row r="147" spans="1:4" x14ac:dyDescent="0.2">
      <c r="A147" s="3">
        <v>42614</v>
      </c>
      <c r="B147" s="63">
        <f t="shared" si="14"/>
        <v>1403296.8399421012</v>
      </c>
    </row>
    <row r="148" spans="1:4" x14ac:dyDescent="0.2">
      <c r="A148" s="3">
        <v>42644</v>
      </c>
      <c r="B148" s="63">
        <f t="shared" si="14"/>
        <v>1412219.3121055444</v>
      </c>
    </row>
    <row r="149" spans="1:4" x14ac:dyDescent="0.2">
      <c r="A149" s="3">
        <v>42675</v>
      </c>
      <c r="B149" s="63">
        <f t="shared" si="14"/>
        <v>1421141.7842689876</v>
      </c>
    </row>
    <row r="150" spans="1:4" x14ac:dyDescent="0.2">
      <c r="A150" s="3">
        <v>42705</v>
      </c>
      <c r="B150" s="63">
        <f t="shared" si="14"/>
        <v>1430064.2564324308</v>
      </c>
      <c r="C150" s="63">
        <f>SUM(B139:B150)</f>
        <v>16571887.914401919</v>
      </c>
      <c r="D150" s="63">
        <f>B150*12</f>
        <v>17160771.07718917</v>
      </c>
    </row>
    <row r="151" spans="1:4" x14ac:dyDescent="0.2">
      <c r="A151" s="3">
        <v>42736</v>
      </c>
      <c r="B151" s="63">
        <f>B150+$D$14</f>
        <v>1419876.7628810203</v>
      </c>
    </row>
    <row r="152" spans="1:4" x14ac:dyDescent="0.2">
      <c r="A152" s="3">
        <v>42767</v>
      </c>
      <c r="B152" s="63">
        <f t="shared" ref="B152:B162" si="15">B151+$D$14</f>
        <v>1409689.2693296098</v>
      </c>
    </row>
    <row r="153" spans="1:4" x14ac:dyDescent="0.2">
      <c r="A153" s="3">
        <v>42795</v>
      </c>
      <c r="B153" s="63">
        <f t="shared" si="15"/>
        <v>1399501.7757781993</v>
      </c>
    </row>
    <row r="154" spans="1:4" x14ac:dyDescent="0.2">
      <c r="A154" s="3">
        <v>42826</v>
      </c>
      <c r="B154" s="63">
        <f t="shared" si="15"/>
        <v>1389314.2822267888</v>
      </c>
    </row>
    <row r="155" spans="1:4" x14ac:dyDescent="0.2">
      <c r="A155" s="3">
        <v>42856</v>
      </c>
      <c r="B155" s="63">
        <f t="shared" si="15"/>
        <v>1379126.7886753783</v>
      </c>
    </row>
    <row r="156" spans="1:4" x14ac:dyDescent="0.2">
      <c r="A156" s="3">
        <v>42887</v>
      </c>
      <c r="B156" s="63">
        <f t="shared" si="15"/>
        <v>1368939.2951239678</v>
      </c>
    </row>
    <row r="157" spans="1:4" x14ac:dyDescent="0.2">
      <c r="A157" s="3">
        <v>42917</v>
      </c>
      <c r="B157" s="63">
        <f t="shared" si="15"/>
        <v>1358751.8015725573</v>
      </c>
    </row>
    <row r="158" spans="1:4" x14ac:dyDescent="0.2">
      <c r="A158" s="3">
        <v>42948</v>
      </c>
      <c r="B158" s="63">
        <f t="shared" si="15"/>
        <v>1348564.3080211468</v>
      </c>
    </row>
    <row r="159" spans="1:4" x14ac:dyDescent="0.2">
      <c r="A159" s="3">
        <v>42979</v>
      </c>
      <c r="B159" s="63">
        <f t="shared" si="15"/>
        <v>1338376.8144697363</v>
      </c>
    </row>
    <row r="160" spans="1:4" x14ac:dyDescent="0.2">
      <c r="A160" s="3">
        <v>43009</v>
      </c>
      <c r="B160" s="63">
        <f t="shared" si="15"/>
        <v>1328189.3209183258</v>
      </c>
    </row>
    <row r="161" spans="1:4" x14ac:dyDescent="0.2">
      <c r="A161" s="3">
        <v>43040</v>
      </c>
      <c r="B161" s="63">
        <f t="shared" si="15"/>
        <v>1318001.8273669153</v>
      </c>
    </row>
    <row r="162" spans="1:4" x14ac:dyDescent="0.2">
      <c r="A162" s="3">
        <v>43070</v>
      </c>
      <c r="B162" s="63">
        <f t="shared" si="15"/>
        <v>1307814.3338155048</v>
      </c>
      <c r="C162" s="63">
        <f>SUM(B151:B162)</f>
        <v>16366146.580179151</v>
      </c>
      <c r="D162" s="63">
        <f>B162*12</f>
        <v>15693772.005786058</v>
      </c>
    </row>
    <row r="163" spans="1:4" x14ac:dyDescent="0.2">
      <c r="B163" s="64">
        <f>SUM(B19:B162)</f>
        <v>104882971.10142921</v>
      </c>
    </row>
  </sheetData>
  <mergeCells count="1">
    <mergeCell ref="F2:G2"/>
  </mergeCells>
  <phoneticPr fontId="8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AN329"/>
  <sheetViews>
    <sheetView topLeftCell="Y23" workbookViewId="0">
      <selection activeCell="AL30" sqref="AL30"/>
    </sheetView>
  </sheetViews>
  <sheetFormatPr defaultColWidth="11.42578125" defaultRowHeight="15" x14ac:dyDescent="0.2"/>
  <cols>
    <col min="1" max="1" width="11.42578125" style="67" customWidth="1"/>
    <col min="2" max="2" width="10.140625" style="67" customWidth="1"/>
    <col min="3" max="3" width="17.7109375" style="74" customWidth="1"/>
    <col min="4" max="4" width="16.5703125" style="74" customWidth="1"/>
    <col min="5" max="36" width="11.42578125" style="67"/>
    <col min="37" max="37" width="11" bestFit="1" customWidth="1"/>
    <col min="38" max="38" width="13.140625" style="67" customWidth="1"/>
    <col min="39" max="16384" width="11.42578125" style="67"/>
  </cols>
  <sheetData>
    <row r="3" spans="1:40" x14ac:dyDescent="0.2">
      <c r="C3" s="308" t="s">
        <v>99</v>
      </c>
      <c r="D3" s="308"/>
    </row>
    <row r="4" spans="1:40" x14ac:dyDescent="0.2">
      <c r="A4" s="68" t="s">
        <v>95</v>
      </c>
      <c r="B4" s="68" t="s">
        <v>96</v>
      </c>
      <c r="C4" s="69" t="s">
        <v>97</v>
      </c>
      <c r="D4" s="69" t="s">
        <v>98</v>
      </c>
    </row>
    <row r="5" spans="1:40" x14ac:dyDescent="0.2">
      <c r="B5" s="70"/>
      <c r="C5" s="66"/>
      <c r="D5" s="66"/>
    </row>
    <row r="6" spans="1:40" x14ac:dyDescent="0.2">
      <c r="A6" s="67">
        <v>1990</v>
      </c>
      <c r="B6" s="67" t="s">
        <v>80</v>
      </c>
      <c r="C6" s="75">
        <v>578.6</v>
      </c>
      <c r="D6" s="75">
        <v>0</v>
      </c>
    </row>
    <row r="7" spans="1:40" x14ac:dyDescent="0.2">
      <c r="B7" s="67" t="s">
        <v>81</v>
      </c>
      <c r="C7" s="75">
        <v>582.6</v>
      </c>
      <c r="D7" s="75">
        <v>0</v>
      </c>
    </row>
    <row r="8" spans="1:40" x14ac:dyDescent="0.2">
      <c r="B8" s="67" t="s">
        <v>82</v>
      </c>
      <c r="C8" s="75">
        <v>517.9</v>
      </c>
      <c r="D8" s="75">
        <v>0</v>
      </c>
    </row>
    <row r="9" spans="1:40" x14ac:dyDescent="0.2">
      <c r="B9" s="67" t="s">
        <v>83</v>
      </c>
      <c r="C9" s="75">
        <v>305.89999999999998</v>
      </c>
      <c r="D9" s="75">
        <v>12.6</v>
      </c>
    </row>
    <row r="10" spans="1:40" x14ac:dyDescent="0.2">
      <c r="B10" s="67" t="s">
        <v>84</v>
      </c>
      <c r="C10" s="75">
        <v>192.5</v>
      </c>
      <c r="D10" s="75">
        <v>0.3</v>
      </c>
    </row>
    <row r="11" spans="1:40" x14ac:dyDescent="0.2">
      <c r="B11" s="67" t="s">
        <v>85</v>
      </c>
      <c r="C11" s="75">
        <v>38.6</v>
      </c>
      <c r="D11" s="75">
        <v>40.5</v>
      </c>
    </row>
    <row r="12" spans="1:40" x14ac:dyDescent="0.2">
      <c r="B12" s="67" t="s">
        <v>86</v>
      </c>
      <c r="C12" s="75">
        <v>3</v>
      </c>
      <c r="D12" s="75">
        <v>87.4</v>
      </c>
    </row>
    <row r="13" spans="1:40" x14ac:dyDescent="0.2">
      <c r="B13" s="67" t="s">
        <v>87</v>
      </c>
      <c r="C13" s="75">
        <v>6.9</v>
      </c>
      <c r="D13" s="75">
        <v>73.5</v>
      </c>
      <c r="AL13"/>
      <c r="AM13"/>
      <c r="AN13"/>
    </row>
    <row r="14" spans="1:40" x14ac:dyDescent="0.2">
      <c r="B14" s="67" t="s">
        <v>88</v>
      </c>
      <c r="C14" s="75">
        <v>100</v>
      </c>
      <c r="D14" s="75">
        <v>22.9</v>
      </c>
      <c r="AL14"/>
      <c r="AM14"/>
      <c r="AN14"/>
    </row>
    <row r="15" spans="1:40" x14ac:dyDescent="0.2">
      <c r="B15" s="67" t="s">
        <v>89</v>
      </c>
      <c r="C15" s="75">
        <v>269.8</v>
      </c>
      <c r="D15" s="75">
        <v>2.5</v>
      </c>
      <c r="AL15"/>
      <c r="AM15"/>
      <c r="AN15"/>
    </row>
    <row r="16" spans="1:40" x14ac:dyDescent="0.2">
      <c r="B16" s="67" t="s">
        <v>90</v>
      </c>
      <c r="C16" s="75">
        <v>395.1</v>
      </c>
      <c r="D16" s="75">
        <v>0</v>
      </c>
      <c r="AL16"/>
      <c r="AM16"/>
      <c r="AN16"/>
    </row>
    <row r="17" spans="1:40" x14ac:dyDescent="0.2">
      <c r="B17" s="67" t="s">
        <v>92</v>
      </c>
      <c r="C17" s="75">
        <v>559.29999999999995</v>
      </c>
      <c r="D17" s="75">
        <v>0</v>
      </c>
      <c r="AL17"/>
      <c r="AM17"/>
      <c r="AN17"/>
    </row>
    <row r="18" spans="1:40" x14ac:dyDescent="0.2">
      <c r="A18" s="67">
        <v>1991</v>
      </c>
      <c r="B18" s="67" t="s">
        <v>80</v>
      </c>
      <c r="C18" s="75">
        <v>668.2</v>
      </c>
      <c r="D18" s="75">
        <v>0</v>
      </c>
      <c r="AL18"/>
      <c r="AM18"/>
      <c r="AN18"/>
    </row>
    <row r="19" spans="1:40" x14ac:dyDescent="0.2">
      <c r="B19" s="67" t="s">
        <v>81</v>
      </c>
      <c r="C19" s="75">
        <v>529.5</v>
      </c>
      <c r="D19" s="75">
        <v>0</v>
      </c>
      <c r="AL19"/>
      <c r="AM19"/>
      <c r="AN19"/>
    </row>
    <row r="20" spans="1:40" x14ac:dyDescent="0.2">
      <c r="B20" s="67" t="s">
        <v>82</v>
      </c>
      <c r="C20" s="75">
        <v>474.4</v>
      </c>
      <c r="D20" s="75">
        <v>0</v>
      </c>
      <c r="AL20"/>
      <c r="AM20"/>
      <c r="AN20"/>
    </row>
    <row r="21" spans="1:40" x14ac:dyDescent="0.2">
      <c r="B21" s="67" t="s">
        <v>83</v>
      </c>
      <c r="C21" s="75">
        <v>259.5</v>
      </c>
      <c r="D21" s="75">
        <v>0.5</v>
      </c>
      <c r="AL21"/>
      <c r="AM21"/>
      <c r="AN21"/>
    </row>
    <row r="22" spans="1:40" x14ac:dyDescent="0.2">
      <c r="B22" s="67" t="s">
        <v>84</v>
      </c>
      <c r="C22" s="75">
        <v>83</v>
      </c>
      <c r="D22" s="75">
        <v>57</v>
      </c>
      <c r="AL22"/>
      <c r="AM22"/>
      <c r="AN22"/>
    </row>
    <row r="23" spans="1:40" x14ac:dyDescent="0.2">
      <c r="B23" s="67" t="s">
        <v>85</v>
      </c>
      <c r="C23" s="75">
        <v>10.199999999999999</v>
      </c>
      <c r="D23" s="75">
        <v>88.5</v>
      </c>
      <c r="AL23"/>
      <c r="AM23"/>
      <c r="AN23"/>
    </row>
    <row r="24" spans="1:40" x14ac:dyDescent="0.2">
      <c r="B24" s="67" t="s">
        <v>86</v>
      </c>
      <c r="C24" s="75">
        <v>1.2</v>
      </c>
      <c r="D24" s="75">
        <v>130.5</v>
      </c>
      <c r="AL24"/>
      <c r="AM24"/>
      <c r="AN24"/>
    </row>
    <row r="25" spans="1:40" x14ac:dyDescent="0.2">
      <c r="B25" s="67" t="s">
        <v>87</v>
      </c>
      <c r="C25" s="75">
        <v>0.7</v>
      </c>
      <c r="D25" s="75">
        <v>113.1</v>
      </c>
      <c r="AL25"/>
      <c r="AM25"/>
      <c r="AN25"/>
    </row>
    <row r="26" spans="1:40" x14ac:dyDescent="0.2">
      <c r="B26" s="67" t="s">
        <v>88</v>
      </c>
      <c r="C26" s="75">
        <v>90</v>
      </c>
      <c r="D26" s="75">
        <v>52.6</v>
      </c>
      <c r="AL26"/>
      <c r="AM26"/>
      <c r="AN26"/>
    </row>
    <row r="27" spans="1:40" x14ac:dyDescent="0.2">
      <c r="B27" s="67" t="s">
        <v>89</v>
      </c>
      <c r="C27" s="75">
        <v>191.6</v>
      </c>
      <c r="D27" s="75">
        <v>6.8</v>
      </c>
      <c r="AK27" s="100" t="s">
        <v>145</v>
      </c>
      <c r="AL27" s="94" t="s">
        <v>174</v>
      </c>
      <c r="AM27"/>
      <c r="AN27"/>
    </row>
    <row r="28" spans="1:40" x14ac:dyDescent="0.2">
      <c r="B28" s="67" t="s">
        <v>90</v>
      </c>
      <c r="C28" s="75">
        <v>416.3</v>
      </c>
      <c r="D28" s="75">
        <v>0</v>
      </c>
      <c r="Q28" s="67">
        <v>1</v>
      </c>
      <c r="R28" s="67">
        <f t="shared" ref="R28:AH28" si="0">S28-1</f>
        <v>2</v>
      </c>
      <c r="S28" s="67">
        <f t="shared" si="0"/>
        <v>3</v>
      </c>
      <c r="T28" s="67">
        <f t="shared" si="0"/>
        <v>4</v>
      </c>
      <c r="U28" s="67">
        <f t="shared" si="0"/>
        <v>5</v>
      </c>
      <c r="V28" s="67">
        <f t="shared" si="0"/>
        <v>6</v>
      </c>
      <c r="W28" s="67">
        <f t="shared" si="0"/>
        <v>7</v>
      </c>
      <c r="X28" s="67">
        <f t="shared" si="0"/>
        <v>8</v>
      </c>
      <c r="Y28" s="67">
        <f t="shared" si="0"/>
        <v>9</v>
      </c>
      <c r="Z28" s="67">
        <f t="shared" si="0"/>
        <v>10</v>
      </c>
      <c r="AA28" s="67">
        <f t="shared" si="0"/>
        <v>11</v>
      </c>
      <c r="AB28" s="67">
        <f t="shared" si="0"/>
        <v>12</v>
      </c>
      <c r="AC28" s="67">
        <f t="shared" si="0"/>
        <v>13</v>
      </c>
      <c r="AD28" s="67">
        <f t="shared" si="0"/>
        <v>14</v>
      </c>
      <c r="AE28" s="67">
        <f t="shared" si="0"/>
        <v>15</v>
      </c>
      <c r="AF28" s="67">
        <f t="shared" si="0"/>
        <v>16</v>
      </c>
      <c r="AG28" s="67">
        <f t="shared" si="0"/>
        <v>17</v>
      </c>
      <c r="AH28" s="67">
        <f t="shared" si="0"/>
        <v>18</v>
      </c>
      <c r="AI28" s="67">
        <f>AJ28-1</f>
        <v>19</v>
      </c>
      <c r="AJ28" s="67">
        <v>20</v>
      </c>
      <c r="AL28"/>
      <c r="AM28"/>
      <c r="AN28"/>
    </row>
    <row r="29" spans="1:40" x14ac:dyDescent="0.2">
      <c r="B29" s="67" t="s">
        <v>92</v>
      </c>
      <c r="C29" s="75">
        <v>564.4</v>
      </c>
      <c r="D29" s="75">
        <v>0</v>
      </c>
      <c r="L29" s="67">
        <v>1992</v>
      </c>
      <c r="M29" s="67">
        <v>1993</v>
      </c>
      <c r="N29" s="67">
        <v>1994</v>
      </c>
      <c r="O29" s="67">
        <v>1995</v>
      </c>
      <c r="P29" s="67">
        <v>1996</v>
      </c>
      <c r="Q29" s="67">
        <v>1997</v>
      </c>
      <c r="R29" s="67">
        <v>1998</v>
      </c>
      <c r="S29" s="67">
        <v>1999</v>
      </c>
      <c r="T29" s="67">
        <v>2000</v>
      </c>
      <c r="U29" s="67">
        <v>2001</v>
      </c>
      <c r="V29" s="67">
        <v>2002</v>
      </c>
      <c r="W29" s="67">
        <v>2003</v>
      </c>
      <c r="X29" s="67">
        <v>2004</v>
      </c>
      <c r="Y29" s="67">
        <v>2005</v>
      </c>
      <c r="Z29" s="67">
        <v>2006</v>
      </c>
      <c r="AA29" s="67">
        <v>2007</v>
      </c>
      <c r="AB29" s="67">
        <v>2008</v>
      </c>
      <c r="AC29" s="67">
        <v>2009</v>
      </c>
      <c r="AD29" s="67">
        <v>2010</v>
      </c>
      <c r="AE29" s="67">
        <v>2011</v>
      </c>
      <c r="AF29" s="67">
        <v>2012</v>
      </c>
      <c r="AG29" s="67">
        <v>2013</v>
      </c>
      <c r="AH29" s="67">
        <v>2014</v>
      </c>
      <c r="AI29" s="67">
        <v>2015</v>
      </c>
      <c r="AJ29" s="67">
        <v>2016</v>
      </c>
      <c r="AL29"/>
      <c r="AM29"/>
      <c r="AN29"/>
    </row>
    <row r="30" spans="1:40" x14ac:dyDescent="0.2">
      <c r="A30" s="67">
        <v>1992</v>
      </c>
      <c r="B30" s="67" t="s">
        <v>80</v>
      </c>
      <c r="C30" s="75">
        <v>627.6</v>
      </c>
      <c r="D30" s="75">
        <v>0</v>
      </c>
      <c r="K30" s="67" t="s">
        <v>80</v>
      </c>
      <c r="L30" s="99">
        <f>C30</f>
        <v>627.6</v>
      </c>
      <c r="M30" s="98">
        <f>C42</f>
        <v>621.4</v>
      </c>
      <c r="N30" s="98">
        <f>C54</f>
        <v>859.1</v>
      </c>
      <c r="O30" s="98">
        <f>C66</f>
        <v>606.20000000000005</v>
      </c>
      <c r="P30" s="98">
        <f>C78</f>
        <v>727.3</v>
      </c>
      <c r="Q30" s="98">
        <f>C90</f>
        <v>741.1</v>
      </c>
      <c r="R30" s="98">
        <f>C102</f>
        <v>576.6</v>
      </c>
      <c r="S30" s="98">
        <f>C114</f>
        <v>627.6</v>
      </c>
      <c r="T30" s="98">
        <f>C126</f>
        <v>701.1</v>
      </c>
      <c r="U30" s="98">
        <f>C138</f>
        <v>645.19999999999993</v>
      </c>
      <c r="V30" s="98">
        <f>C150</f>
        <v>558.79999999999984</v>
      </c>
      <c r="W30" s="98">
        <f>C162</f>
        <v>781.49999999999977</v>
      </c>
      <c r="X30" s="98">
        <f>C174</f>
        <v>805.39999999999986</v>
      </c>
      <c r="Y30" s="98">
        <f>C186</f>
        <v>716.69999999999982</v>
      </c>
      <c r="Z30" s="98">
        <f>C198</f>
        <v>524.29999999999995</v>
      </c>
      <c r="AA30" s="98">
        <f>C210</f>
        <v>625.70000000000005</v>
      </c>
      <c r="AB30" s="98">
        <f>C222</f>
        <v>604.19999999999993</v>
      </c>
      <c r="AC30" s="98">
        <f>C234</f>
        <v>829.40000000000009</v>
      </c>
      <c r="AD30" s="98">
        <f>C246</f>
        <v>711.09999999999991</v>
      </c>
      <c r="AE30" s="98">
        <f>C258</f>
        <v>794.6</v>
      </c>
      <c r="AF30" s="98">
        <f>C270</f>
        <v>600.80000000000007</v>
      </c>
      <c r="AG30" s="98">
        <f>C282</f>
        <v>617.29999999999995</v>
      </c>
      <c r="AH30" s="98">
        <f>C294</f>
        <v>783.19999999999993</v>
      </c>
      <c r="AI30" s="98">
        <f>C306</f>
        <v>753.1</v>
      </c>
      <c r="AJ30" s="98">
        <f>C318</f>
        <v>657.2</v>
      </c>
      <c r="AK30" s="101">
        <f>TREND(Q30:AJ30,$Q$29:$AJ$29,2017)</f>
        <v>711.76526315789488</v>
      </c>
      <c r="AL30" s="120">
        <f>AVERAGE(AA30:AJ30)</f>
        <v>697.66000000000008</v>
      </c>
      <c r="AM30"/>
      <c r="AN30"/>
    </row>
    <row r="31" spans="1:40" x14ac:dyDescent="0.2">
      <c r="B31" s="67" t="s">
        <v>81</v>
      </c>
      <c r="C31" s="75">
        <v>620.1</v>
      </c>
      <c r="D31" s="75">
        <v>0</v>
      </c>
      <c r="K31" s="67" t="s">
        <v>81</v>
      </c>
      <c r="L31" s="99">
        <f t="shared" ref="L31:L41" si="1">C31</f>
        <v>620.1</v>
      </c>
      <c r="M31" s="98">
        <f t="shared" ref="M31:M41" si="2">C43</f>
        <v>694.2</v>
      </c>
      <c r="N31" s="98">
        <f t="shared" ref="N31:N41" si="3">C55</f>
        <v>702.7</v>
      </c>
      <c r="O31" s="98">
        <f t="shared" ref="O31:O41" si="4">C67</f>
        <v>689.3</v>
      </c>
      <c r="P31" s="98">
        <f t="shared" ref="P31:P41" si="5">C79</f>
        <v>662.7</v>
      </c>
      <c r="Q31" s="98">
        <f t="shared" ref="Q31:Q41" si="6">C91</f>
        <v>571.70000000000005</v>
      </c>
      <c r="R31" s="98">
        <f t="shared" ref="R31:R41" si="7">C103</f>
        <v>469.6</v>
      </c>
      <c r="S31" s="98">
        <f t="shared" ref="S31:S41" si="8">C115</f>
        <v>512.9</v>
      </c>
      <c r="T31" s="98">
        <f t="shared" ref="T31:T41" si="9">C127</f>
        <v>609.79999999999995</v>
      </c>
      <c r="U31" s="98">
        <f t="shared" ref="U31:U41" si="10">C139</f>
        <v>558.29999999999995</v>
      </c>
      <c r="V31" s="98">
        <f t="shared" ref="V31:V41" si="11">C151</f>
        <v>518.9</v>
      </c>
      <c r="W31" s="98">
        <f t="shared" ref="W31:W41" si="12">C163</f>
        <v>681.19999999999993</v>
      </c>
      <c r="X31" s="98">
        <f t="shared" ref="X31:X41" si="13">C175</f>
        <v>616.79999999999995</v>
      </c>
      <c r="Y31" s="98">
        <f t="shared" ref="Y31:Y41" si="14">C187</f>
        <v>594.69999999999993</v>
      </c>
      <c r="Z31" s="98">
        <f t="shared" ref="Z31:Z41" si="15">C199</f>
        <v>570.29999999999995</v>
      </c>
      <c r="AA31" s="98">
        <f t="shared" ref="AA31:AA41" si="16">C211</f>
        <v>739.30000000000018</v>
      </c>
      <c r="AB31" s="98">
        <f t="shared" ref="AB31:AB41" si="17">C223</f>
        <v>653.5</v>
      </c>
      <c r="AC31" s="98">
        <f t="shared" ref="AC31:AC41" si="18">C235</f>
        <v>605.50000000000011</v>
      </c>
      <c r="AD31" s="98">
        <f t="shared" ref="AD31:AD41" si="19">C247</f>
        <v>632.5</v>
      </c>
      <c r="AE31" s="98">
        <f t="shared" ref="AE31:AE41" si="20">C259</f>
        <v>645.30000000000007</v>
      </c>
      <c r="AF31" s="98">
        <f t="shared" ref="AF31:AF40" si="21">C271</f>
        <v>533.20000000000005</v>
      </c>
      <c r="AG31" s="98">
        <f t="shared" ref="AG31:AG40" si="22">C283</f>
        <v>640.1</v>
      </c>
      <c r="AH31" s="98">
        <f t="shared" ref="AH31:AH40" si="23">C295</f>
        <v>743.69999999999993</v>
      </c>
      <c r="AI31" s="98">
        <f t="shared" ref="AI31:AI41" si="24">C307</f>
        <v>871.9</v>
      </c>
      <c r="AJ31" s="98">
        <f t="shared" ref="AJ31:AJ41" si="25">C319</f>
        <v>587.1</v>
      </c>
      <c r="AK31" s="101">
        <f t="shared" ref="AK31:AK41" si="26">TREND(Q31:AJ31,$Q$29:$AJ$29,2017)</f>
        <v>710.94999999999709</v>
      </c>
      <c r="AL31" s="120">
        <f t="shared" ref="AL31:AL41" si="27">AVERAGE(AA31:AJ31)</f>
        <v>665.21</v>
      </c>
      <c r="AM31"/>
      <c r="AN31"/>
    </row>
    <row r="32" spans="1:40" x14ac:dyDescent="0.2">
      <c r="B32" s="67" t="s">
        <v>82</v>
      </c>
      <c r="C32" s="75">
        <v>551.9</v>
      </c>
      <c r="D32" s="75">
        <v>0</v>
      </c>
      <c r="K32" s="67" t="s">
        <v>82</v>
      </c>
      <c r="L32" s="99">
        <f t="shared" si="1"/>
        <v>551.9</v>
      </c>
      <c r="M32" s="98">
        <f t="shared" si="2"/>
        <v>597.70000000000005</v>
      </c>
      <c r="N32" s="98">
        <f t="shared" si="3"/>
        <v>585</v>
      </c>
      <c r="O32" s="98">
        <f t="shared" si="4"/>
        <v>489.8</v>
      </c>
      <c r="P32" s="98">
        <f t="shared" si="5"/>
        <v>623</v>
      </c>
      <c r="Q32" s="98">
        <f t="shared" si="6"/>
        <v>574.1</v>
      </c>
      <c r="R32" s="98">
        <f t="shared" si="7"/>
        <v>462.6</v>
      </c>
      <c r="S32" s="98">
        <f t="shared" si="8"/>
        <v>516.4</v>
      </c>
      <c r="T32" s="98">
        <f t="shared" si="9"/>
        <v>439.4</v>
      </c>
      <c r="U32" s="98">
        <f t="shared" si="10"/>
        <v>561.60000000000014</v>
      </c>
      <c r="V32" s="98">
        <f t="shared" si="11"/>
        <v>512.29999999999995</v>
      </c>
      <c r="W32" s="98">
        <f t="shared" si="12"/>
        <v>529.79999999999995</v>
      </c>
      <c r="X32" s="98">
        <f t="shared" si="13"/>
        <v>478.59999999999997</v>
      </c>
      <c r="Y32" s="98">
        <f t="shared" si="14"/>
        <v>591.40000000000009</v>
      </c>
      <c r="Z32" s="98">
        <f t="shared" si="15"/>
        <v>514.6</v>
      </c>
      <c r="AA32" s="98">
        <f t="shared" si="16"/>
        <v>538.79999999999984</v>
      </c>
      <c r="AB32" s="98">
        <f t="shared" si="17"/>
        <v>602</v>
      </c>
      <c r="AC32" s="98">
        <f t="shared" si="18"/>
        <v>528.69999999999993</v>
      </c>
      <c r="AD32" s="98">
        <f t="shared" si="19"/>
        <v>468</v>
      </c>
      <c r="AE32" s="98">
        <f t="shared" si="20"/>
        <v>550.6</v>
      </c>
      <c r="AF32" s="98">
        <f t="shared" si="21"/>
        <v>333.80000000000007</v>
      </c>
      <c r="AG32" s="98">
        <f t="shared" si="22"/>
        <v>555.40000000000009</v>
      </c>
      <c r="AH32" s="98">
        <f t="shared" si="23"/>
        <v>692.30000000000007</v>
      </c>
      <c r="AI32" s="98">
        <f t="shared" si="24"/>
        <v>637</v>
      </c>
      <c r="AJ32" s="98">
        <f t="shared" si="25"/>
        <v>448.80000000000007</v>
      </c>
      <c r="AK32" s="101">
        <f t="shared" si="26"/>
        <v>546.09999999999991</v>
      </c>
      <c r="AL32" s="120">
        <f t="shared" si="27"/>
        <v>535.54</v>
      </c>
      <c r="AM32"/>
      <c r="AN32"/>
    </row>
    <row r="33" spans="1:40" x14ac:dyDescent="0.2">
      <c r="B33" s="67" t="s">
        <v>83</v>
      </c>
      <c r="C33" s="75">
        <v>353.7</v>
      </c>
      <c r="D33" s="75">
        <v>0.8</v>
      </c>
      <c r="K33" s="67" t="s">
        <v>83</v>
      </c>
      <c r="L33" s="99">
        <f t="shared" si="1"/>
        <v>353.7</v>
      </c>
      <c r="M33" s="98">
        <f t="shared" si="2"/>
        <v>304.60000000000002</v>
      </c>
      <c r="N33" s="98">
        <f t="shared" si="3"/>
        <v>317.60000000000002</v>
      </c>
      <c r="O33" s="98">
        <f t="shared" si="4"/>
        <v>406.1</v>
      </c>
      <c r="P33" s="98">
        <f t="shared" si="5"/>
        <v>380.8</v>
      </c>
      <c r="Q33" s="98">
        <f t="shared" si="6"/>
        <v>411.3</v>
      </c>
      <c r="R33" s="98">
        <f t="shared" si="7"/>
        <v>272.60000000000002</v>
      </c>
      <c r="S33" s="98">
        <f t="shared" si="8"/>
        <v>284</v>
      </c>
      <c r="T33" s="98">
        <f t="shared" si="9"/>
        <v>334.7</v>
      </c>
      <c r="U33" s="98">
        <f t="shared" si="10"/>
        <v>278.09999999999991</v>
      </c>
      <c r="V33" s="98">
        <f t="shared" si="11"/>
        <v>306.79999999999995</v>
      </c>
      <c r="W33" s="98">
        <f t="shared" si="12"/>
        <v>360.39999999999992</v>
      </c>
      <c r="X33" s="98">
        <f t="shared" si="13"/>
        <v>302.89999999999992</v>
      </c>
      <c r="Y33" s="98">
        <f t="shared" si="14"/>
        <v>303.49999999999989</v>
      </c>
      <c r="Z33" s="98">
        <f t="shared" si="15"/>
        <v>269.99999999999994</v>
      </c>
      <c r="AA33" s="98">
        <f t="shared" si="16"/>
        <v>376.09999999999997</v>
      </c>
      <c r="AB33" s="98">
        <f t="shared" si="17"/>
        <v>272.8</v>
      </c>
      <c r="AC33" s="98">
        <f t="shared" si="18"/>
        <v>316.50000000000006</v>
      </c>
      <c r="AD33" s="98">
        <f t="shared" si="19"/>
        <v>243</v>
      </c>
      <c r="AE33" s="98">
        <f t="shared" si="20"/>
        <v>324.89999999999998</v>
      </c>
      <c r="AF33" s="98">
        <f t="shared" si="21"/>
        <v>330.9</v>
      </c>
      <c r="AG33" s="98">
        <f t="shared" si="22"/>
        <v>339.90000000000003</v>
      </c>
      <c r="AH33" s="98">
        <f t="shared" si="23"/>
        <v>338.40000000000009</v>
      </c>
      <c r="AI33" s="98">
        <f t="shared" si="24"/>
        <v>319.59999999999997</v>
      </c>
      <c r="AJ33" s="98">
        <f t="shared" si="25"/>
        <v>352.8</v>
      </c>
      <c r="AK33" s="101">
        <f t="shared" si="26"/>
        <v>321.49947368421067</v>
      </c>
      <c r="AL33" s="120">
        <f t="shared" si="27"/>
        <v>321.49000000000007</v>
      </c>
      <c r="AM33"/>
      <c r="AN33"/>
    </row>
    <row r="34" spans="1:40" x14ac:dyDescent="0.2">
      <c r="B34" s="67" t="s">
        <v>84</v>
      </c>
      <c r="C34" s="75">
        <v>137.4</v>
      </c>
      <c r="D34" s="75">
        <v>4.0999999999999996</v>
      </c>
      <c r="K34" s="67" t="s">
        <v>84</v>
      </c>
      <c r="L34" s="99">
        <f t="shared" si="1"/>
        <v>137.4</v>
      </c>
      <c r="M34" s="98">
        <f t="shared" si="2"/>
        <v>144.80000000000001</v>
      </c>
      <c r="N34" s="98">
        <f t="shared" si="3"/>
        <v>217.1</v>
      </c>
      <c r="O34" s="98">
        <f t="shared" si="4"/>
        <v>155.1</v>
      </c>
      <c r="P34" s="98">
        <f t="shared" si="5"/>
        <v>188</v>
      </c>
      <c r="Q34" s="98">
        <f t="shared" si="6"/>
        <v>279.89999999999998</v>
      </c>
      <c r="R34" s="98">
        <f t="shared" si="7"/>
        <v>51.3</v>
      </c>
      <c r="S34" s="98">
        <f t="shared" si="8"/>
        <v>87.4</v>
      </c>
      <c r="T34" s="98">
        <f t="shared" si="9"/>
        <v>129.80000000000001</v>
      </c>
      <c r="U34" s="98">
        <f t="shared" si="10"/>
        <v>119.50000000000001</v>
      </c>
      <c r="V34" s="98">
        <f t="shared" si="11"/>
        <v>220.39999999999998</v>
      </c>
      <c r="W34" s="98">
        <f t="shared" si="12"/>
        <v>149.20000000000002</v>
      </c>
      <c r="X34" s="98">
        <f t="shared" si="13"/>
        <v>117.30000000000003</v>
      </c>
      <c r="Y34" s="98">
        <f t="shared" si="14"/>
        <v>178.59999999999991</v>
      </c>
      <c r="Z34" s="98">
        <f t="shared" si="15"/>
        <v>127.30000000000003</v>
      </c>
      <c r="AA34" s="98">
        <f t="shared" si="16"/>
        <v>144.19999999999999</v>
      </c>
      <c r="AB34" s="98">
        <f t="shared" si="17"/>
        <v>216.7</v>
      </c>
      <c r="AC34" s="98">
        <f t="shared" si="18"/>
        <v>157.19999999999996</v>
      </c>
      <c r="AD34" s="98">
        <f t="shared" si="19"/>
        <v>125.40000000000003</v>
      </c>
      <c r="AE34" s="98">
        <f t="shared" si="20"/>
        <v>136.00000000000003</v>
      </c>
      <c r="AF34" s="98">
        <f t="shared" si="21"/>
        <v>82.300000000000011</v>
      </c>
      <c r="AG34" s="98">
        <f t="shared" si="22"/>
        <v>116.5</v>
      </c>
      <c r="AH34" s="98">
        <f t="shared" si="23"/>
        <v>143.89999999999995</v>
      </c>
      <c r="AI34" s="98">
        <f t="shared" si="24"/>
        <v>96.5</v>
      </c>
      <c r="AJ34" s="98">
        <f t="shared" si="25"/>
        <v>144.60000000000002</v>
      </c>
      <c r="AK34" s="101">
        <f t="shared" si="26"/>
        <v>124.36526315789433</v>
      </c>
      <c r="AL34" s="120">
        <f t="shared" si="27"/>
        <v>136.32999999999998</v>
      </c>
      <c r="AM34"/>
      <c r="AN34"/>
    </row>
    <row r="35" spans="1:40" x14ac:dyDescent="0.2">
      <c r="B35" s="67" t="s">
        <v>85</v>
      </c>
      <c r="C35" s="75">
        <v>55.3</v>
      </c>
      <c r="D35" s="75">
        <v>23.7</v>
      </c>
      <c r="K35" s="67" t="s">
        <v>85</v>
      </c>
      <c r="L35" s="99">
        <f t="shared" si="1"/>
        <v>55.3</v>
      </c>
      <c r="M35" s="98">
        <f t="shared" si="2"/>
        <v>39.5</v>
      </c>
      <c r="N35" s="98">
        <f t="shared" si="3"/>
        <v>39</v>
      </c>
      <c r="O35" s="98">
        <f t="shared" si="4"/>
        <v>18.5</v>
      </c>
      <c r="P35" s="98">
        <f t="shared" si="5"/>
        <v>14.7</v>
      </c>
      <c r="Q35" s="98">
        <f t="shared" si="6"/>
        <v>35.299999999999997</v>
      </c>
      <c r="R35" s="98">
        <f t="shared" si="7"/>
        <v>57.7</v>
      </c>
      <c r="S35" s="98">
        <f t="shared" si="8"/>
        <v>25.6</v>
      </c>
      <c r="T35" s="98">
        <f t="shared" si="9"/>
        <v>35.799999999999997</v>
      </c>
      <c r="U35" s="98">
        <f t="shared" si="10"/>
        <v>35.6</v>
      </c>
      <c r="V35" s="98">
        <f t="shared" si="11"/>
        <v>26.999999999999996</v>
      </c>
      <c r="W35" s="98">
        <f t="shared" si="12"/>
        <v>33.199999999999996</v>
      </c>
      <c r="X35" s="98">
        <f t="shared" si="13"/>
        <v>47</v>
      </c>
      <c r="Y35" s="98">
        <f t="shared" si="14"/>
        <v>5.7</v>
      </c>
      <c r="Z35" s="98">
        <f t="shared" si="15"/>
        <v>18.899999999999999</v>
      </c>
      <c r="AA35" s="98">
        <f t="shared" si="16"/>
        <v>19.599999999999998</v>
      </c>
      <c r="AB35" s="98">
        <f t="shared" si="17"/>
        <v>27.2</v>
      </c>
      <c r="AC35" s="98">
        <f t="shared" si="18"/>
        <v>44.4</v>
      </c>
      <c r="AD35" s="98">
        <f t="shared" si="19"/>
        <v>23.599999999999994</v>
      </c>
      <c r="AE35" s="98">
        <f t="shared" si="20"/>
        <v>22.700000000000003</v>
      </c>
      <c r="AF35" s="98">
        <f t="shared" si="21"/>
        <v>31.599999999999998</v>
      </c>
      <c r="AG35" s="98">
        <f t="shared" si="22"/>
        <v>42.8</v>
      </c>
      <c r="AH35" s="98">
        <f t="shared" si="23"/>
        <v>21.3</v>
      </c>
      <c r="AI35" s="98">
        <f t="shared" si="24"/>
        <v>35.9</v>
      </c>
      <c r="AJ35" s="98">
        <f t="shared" si="25"/>
        <v>29.2</v>
      </c>
      <c r="AK35" s="101">
        <f t="shared" si="26"/>
        <v>26.60210526315791</v>
      </c>
      <c r="AL35" s="120">
        <f t="shared" si="27"/>
        <v>29.829999999999995</v>
      </c>
      <c r="AM35"/>
      <c r="AN35"/>
    </row>
    <row r="36" spans="1:40" x14ac:dyDescent="0.2">
      <c r="B36" s="67" t="s">
        <v>86</v>
      </c>
      <c r="C36" s="75">
        <v>16.2</v>
      </c>
      <c r="D36" s="75">
        <v>51.2</v>
      </c>
      <c r="K36" s="67" t="s">
        <v>86</v>
      </c>
      <c r="L36" s="99">
        <f t="shared" si="1"/>
        <v>16.2</v>
      </c>
      <c r="M36" s="98">
        <f t="shared" si="2"/>
        <v>0</v>
      </c>
      <c r="N36" s="98">
        <f t="shared" si="3"/>
        <v>0.5</v>
      </c>
      <c r="O36" s="98">
        <f t="shared" si="4"/>
        <v>9.4</v>
      </c>
      <c r="P36" s="98">
        <f t="shared" si="5"/>
        <v>10.4</v>
      </c>
      <c r="Q36" s="98">
        <f t="shared" si="6"/>
        <v>16.3</v>
      </c>
      <c r="R36" s="98">
        <f t="shared" si="7"/>
        <v>0.2</v>
      </c>
      <c r="S36" s="98">
        <f t="shared" si="8"/>
        <v>1.2</v>
      </c>
      <c r="T36" s="98">
        <f t="shared" si="9"/>
        <v>8.9</v>
      </c>
      <c r="U36" s="98">
        <f t="shared" si="10"/>
        <v>11.399999999999999</v>
      </c>
      <c r="V36" s="98">
        <f t="shared" si="11"/>
        <v>0.7</v>
      </c>
      <c r="W36" s="98">
        <f t="shared" si="12"/>
        <v>0.7</v>
      </c>
      <c r="X36" s="98">
        <f t="shared" si="13"/>
        <v>0.89999999999999991</v>
      </c>
      <c r="Y36" s="98">
        <f t="shared" si="14"/>
        <v>0</v>
      </c>
      <c r="Z36" s="98">
        <f t="shared" si="15"/>
        <v>1</v>
      </c>
      <c r="AA36" s="98">
        <f t="shared" si="16"/>
        <v>7.3999999999999995</v>
      </c>
      <c r="AB36" s="98">
        <f t="shared" si="17"/>
        <v>5.2</v>
      </c>
      <c r="AC36" s="98">
        <f t="shared" si="18"/>
        <v>19.600000000000001</v>
      </c>
      <c r="AD36" s="98">
        <f t="shared" si="19"/>
        <v>4.5999999999999996</v>
      </c>
      <c r="AE36" s="98">
        <f t="shared" si="20"/>
        <v>0.2</v>
      </c>
      <c r="AF36" s="98">
        <f t="shared" si="21"/>
        <v>0</v>
      </c>
      <c r="AG36" s="98">
        <f t="shared" si="22"/>
        <v>5.5</v>
      </c>
      <c r="AH36" s="98">
        <f t="shared" si="23"/>
        <v>13.700000000000001</v>
      </c>
      <c r="AI36" s="98">
        <f t="shared" si="24"/>
        <v>7.6</v>
      </c>
      <c r="AJ36" s="98">
        <f t="shared" si="25"/>
        <v>0</v>
      </c>
      <c r="AK36" s="101">
        <f t="shared" si="26"/>
        <v>5.036315789473683</v>
      </c>
      <c r="AL36" s="120">
        <f t="shared" si="27"/>
        <v>6.3800000000000008</v>
      </c>
      <c r="AM36"/>
      <c r="AN36"/>
    </row>
    <row r="37" spans="1:40" x14ac:dyDescent="0.2">
      <c r="B37" s="67" t="s">
        <v>87</v>
      </c>
      <c r="C37" s="75">
        <v>22.5</v>
      </c>
      <c r="D37" s="75">
        <v>44.7</v>
      </c>
      <c r="K37" s="67" t="s">
        <v>87</v>
      </c>
      <c r="L37" s="99">
        <f t="shared" si="1"/>
        <v>22.5</v>
      </c>
      <c r="M37" s="98">
        <f t="shared" si="2"/>
        <v>5.0999999999999996</v>
      </c>
      <c r="N37" s="98">
        <f t="shared" si="3"/>
        <v>20.8</v>
      </c>
      <c r="O37" s="98">
        <f t="shared" si="4"/>
        <v>1</v>
      </c>
      <c r="P37" s="98">
        <f t="shared" si="5"/>
        <v>1.2</v>
      </c>
      <c r="Q37" s="98">
        <f t="shared" si="6"/>
        <v>21.2</v>
      </c>
      <c r="R37" s="98">
        <f t="shared" si="7"/>
        <v>4</v>
      </c>
      <c r="S37" s="98">
        <f t="shared" si="8"/>
        <v>11.5</v>
      </c>
      <c r="T37" s="98">
        <f t="shared" si="9"/>
        <v>9.8000000000000007</v>
      </c>
      <c r="U37" s="98">
        <f t="shared" si="10"/>
        <v>0</v>
      </c>
      <c r="V37" s="98">
        <f t="shared" si="11"/>
        <v>0.5</v>
      </c>
      <c r="W37" s="98">
        <f t="shared" si="12"/>
        <v>4.2</v>
      </c>
      <c r="X37" s="98">
        <f t="shared" si="13"/>
        <v>11.7</v>
      </c>
      <c r="Y37" s="98">
        <f t="shared" si="14"/>
        <v>0.7</v>
      </c>
      <c r="Z37" s="98">
        <f t="shared" si="15"/>
        <v>1.4</v>
      </c>
      <c r="AA37" s="98">
        <f t="shared" si="16"/>
        <v>6</v>
      </c>
      <c r="AB37" s="98">
        <f t="shared" si="17"/>
        <v>19</v>
      </c>
      <c r="AC37" s="98">
        <f t="shared" si="18"/>
        <v>14.200000000000001</v>
      </c>
      <c r="AD37" s="98">
        <f t="shared" si="19"/>
        <v>7.6999999999999993</v>
      </c>
      <c r="AE37" s="98">
        <f t="shared" si="20"/>
        <v>4.0999999999999996</v>
      </c>
      <c r="AF37" s="98">
        <f t="shared" si="21"/>
        <v>6</v>
      </c>
      <c r="AG37" s="98">
        <f t="shared" si="22"/>
        <v>15</v>
      </c>
      <c r="AH37" s="98">
        <f t="shared" si="23"/>
        <v>11.999999999999998</v>
      </c>
      <c r="AI37" s="98">
        <f t="shared" si="24"/>
        <v>12</v>
      </c>
      <c r="AJ37" s="98">
        <f t="shared" si="25"/>
        <v>0.1</v>
      </c>
      <c r="AK37" s="101">
        <f t="shared" si="26"/>
        <v>8.0952631578947347</v>
      </c>
      <c r="AL37" s="120">
        <f t="shared" si="27"/>
        <v>9.61</v>
      </c>
      <c r="AM37"/>
      <c r="AN37"/>
    </row>
    <row r="38" spans="1:40" x14ac:dyDescent="0.2">
      <c r="B38" s="67" t="s">
        <v>88</v>
      </c>
      <c r="C38" s="75">
        <v>83</v>
      </c>
      <c r="D38" s="75">
        <v>33</v>
      </c>
      <c r="K38" s="67" t="s">
        <v>88</v>
      </c>
      <c r="L38" s="99">
        <f t="shared" si="1"/>
        <v>83</v>
      </c>
      <c r="M38" s="98">
        <f t="shared" si="2"/>
        <v>112.1</v>
      </c>
      <c r="N38" s="98">
        <f t="shared" si="3"/>
        <v>75.900000000000006</v>
      </c>
      <c r="O38" s="98">
        <f t="shared" si="4"/>
        <v>95.6</v>
      </c>
      <c r="P38" s="98">
        <f t="shared" si="5"/>
        <v>75.099999999999994</v>
      </c>
      <c r="Q38" s="98">
        <f t="shared" si="6"/>
        <v>103.4</v>
      </c>
      <c r="R38" s="98">
        <f t="shared" si="7"/>
        <v>36.9</v>
      </c>
      <c r="S38" s="98">
        <f t="shared" si="8"/>
        <v>57.9</v>
      </c>
      <c r="T38" s="98">
        <f t="shared" si="9"/>
        <v>94.7</v>
      </c>
      <c r="U38" s="98">
        <f t="shared" si="10"/>
        <v>71.400000000000006</v>
      </c>
      <c r="V38" s="98">
        <f t="shared" si="11"/>
        <v>21.3</v>
      </c>
      <c r="W38" s="98">
        <f t="shared" si="12"/>
        <v>51.1</v>
      </c>
      <c r="X38" s="98">
        <f t="shared" si="13"/>
        <v>27.7</v>
      </c>
      <c r="Y38" s="98">
        <f t="shared" si="14"/>
        <v>20.399999999999999</v>
      </c>
      <c r="Z38" s="98">
        <f t="shared" si="15"/>
        <v>68.800000000000011</v>
      </c>
      <c r="AA38" s="98">
        <f t="shared" si="16"/>
        <v>51.8</v>
      </c>
      <c r="AB38" s="98">
        <f t="shared" si="17"/>
        <v>70.100000000000009</v>
      </c>
      <c r="AC38" s="98">
        <f t="shared" si="18"/>
        <v>70.8</v>
      </c>
      <c r="AD38" s="98">
        <f t="shared" si="19"/>
        <v>69.599999999999994</v>
      </c>
      <c r="AE38" s="98">
        <f t="shared" si="20"/>
        <v>53.8</v>
      </c>
      <c r="AF38" s="98">
        <f t="shared" si="21"/>
        <v>86.1</v>
      </c>
      <c r="AG38" s="98">
        <f t="shared" si="22"/>
        <v>110.40000000000002</v>
      </c>
      <c r="AH38" s="98">
        <f t="shared" si="23"/>
        <v>85.300000000000011</v>
      </c>
      <c r="AI38" s="98">
        <f t="shared" si="24"/>
        <v>37</v>
      </c>
      <c r="AJ38" s="98">
        <f t="shared" si="25"/>
        <v>34.299999999999997</v>
      </c>
      <c r="AK38" s="101">
        <f t="shared" si="26"/>
        <v>62.996842105263113</v>
      </c>
      <c r="AL38" s="120">
        <f t="shared" si="27"/>
        <v>66.919999999999987</v>
      </c>
      <c r="AM38"/>
      <c r="AN38"/>
    </row>
    <row r="39" spans="1:40" x14ac:dyDescent="0.2">
      <c r="B39" s="67" t="s">
        <v>89</v>
      </c>
      <c r="C39" s="75">
        <v>281.89999999999998</v>
      </c>
      <c r="D39" s="75">
        <v>1.3</v>
      </c>
      <c r="K39" s="67" t="s">
        <v>89</v>
      </c>
      <c r="L39" s="99">
        <f t="shared" si="1"/>
        <v>281.89999999999998</v>
      </c>
      <c r="M39" s="98">
        <f t="shared" si="2"/>
        <v>280.89999999999998</v>
      </c>
      <c r="N39" s="98">
        <f t="shared" si="3"/>
        <v>237.2</v>
      </c>
      <c r="O39" s="98">
        <f t="shared" si="4"/>
        <v>193.6</v>
      </c>
      <c r="P39" s="98">
        <f t="shared" si="5"/>
        <v>248.9</v>
      </c>
      <c r="Q39" s="98">
        <f t="shared" si="6"/>
        <v>272.60000000000002</v>
      </c>
      <c r="R39" s="98">
        <f t="shared" si="7"/>
        <v>196.4</v>
      </c>
      <c r="S39" s="98">
        <f t="shared" si="8"/>
        <v>257.60000000000002</v>
      </c>
      <c r="T39" s="98">
        <f t="shared" si="9"/>
        <v>210.8</v>
      </c>
      <c r="U39" s="98">
        <f t="shared" si="10"/>
        <v>209.49999999999997</v>
      </c>
      <c r="V39" s="98">
        <f t="shared" si="11"/>
        <v>259.89999999999998</v>
      </c>
      <c r="W39" s="98">
        <f t="shared" si="12"/>
        <v>263.59999999999997</v>
      </c>
      <c r="X39" s="98">
        <f t="shared" si="13"/>
        <v>208.99999999999994</v>
      </c>
      <c r="Y39" s="98">
        <f t="shared" si="14"/>
        <v>212.19999999999996</v>
      </c>
      <c r="Z39" s="98">
        <f t="shared" si="15"/>
        <v>269.89999999999998</v>
      </c>
      <c r="AA39" s="98">
        <f t="shared" si="16"/>
        <v>131</v>
      </c>
      <c r="AB39" s="98">
        <f t="shared" si="17"/>
        <v>293.29999999999995</v>
      </c>
      <c r="AC39" s="98">
        <f t="shared" si="18"/>
        <v>290</v>
      </c>
      <c r="AD39" s="98">
        <f t="shared" si="19"/>
        <v>247.29999999999998</v>
      </c>
      <c r="AE39" s="98">
        <f t="shared" si="20"/>
        <v>234.5</v>
      </c>
      <c r="AF39" s="98">
        <f t="shared" si="21"/>
        <v>227.39999999999998</v>
      </c>
      <c r="AG39" s="98">
        <f t="shared" si="22"/>
        <v>197.7</v>
      </c>
      <c r="AH39" s="98">
        <f t="shared" si="23"/>
        <v>223.09999999999997</v>
      </c>
      <c r="AI39" s="98">
        <f t="shared" si="24"/>
        <v>252.3</v>
      </c>
      <c r="AJ39" s="98">
        <f t="shared" si="25"/>
        <v>184.50000000000003</v>
      </c>
      <c r="AK39" s="101">
        <f t="shared" si="26"/>
        <v>223.85789473684213</v>
      </c>
      <c r="AL39" s="120">
        <f t="shared" si="27"/>
        <v>228.10999999999999</v>
      </c>
      <c r="AM39"/>
      <c r="AN39"/>
    </row>
    <row r="40" spans="1:40" x14ac:dyDescent="0.2">
      <c r="B40" s="67" t="s">
        <v>90</v>
      </c>
      <c r="C40" s="75">
        <v>407.9</v>
      </c>
      <c r="D40" s="75">
        <v>0</v>
      </c>
      <c r="K40" s="67" t="s">
        <v>90</v>
      </c>
      <c r="L40" s="99">
        <f t="shared" si="1"/>
        <v>407.9</v>
      </c>
      <c r="M40" s="98">
        <f t="shared" si="2"/>
        <v>414.7</v>
      </c>
      <c r="N40" s="98">
        <f t="shared" si="3"/>
        <v>345.9</v>
      </c>
      <c r="O40" s="98">
        <f t="shared" si="4"/>
        <v>481.2</v>
      </c>
      <c r="P40" s="98">
        <f t="shared" si="5"/>
        <v>531.1</v>
      </c>
      <c r="Q40" s="98">
        <f t="shared" si="6"/>
        <v>478.7</v>
      </c>
      <c r="R40" s="98">
        <f t="shared" si="7"/>
        <v>363.3</v>
      </c>
      <c r="S40" s="98">
        <f t="shared" si="8"/>
        <v>356.8</v>
      </c>
      <c r="T40" s="98">
        <f t="shared" si="9"/>
        <v>416.5</v>
      </c>
      <c r="U40" s="98">
        <f t="shared" si="10"/>
        <v>303.99999999999994</v>
      </c>
      <c r="V40" s="98">
        <f t="shared" si="11"/>
        <v>412.89999999999992</v>
      </c>
      <c r="W40" s="98">
        <f t="shared" si="12"/>
        <v>352.09999999999991</v>
      </c>
      <c r="X40" s="98">
        <f t="shared" si="13"/>
        <v>364.79999999999995</v>
      </c>
      <c r="Y40" s="98">
        <f t="shared" si="14"/>
        <v>361.1</v>
      </c>
      <c r="Z40" s="98">
        <f t="shared" si="15"/>
        <v>361.09999999999997</v>
      </c>
      <c r="AA40" s="98">
        <f t="shared" si="16"/>
        <v>438.2000000000001</v>
      </c>
      <c r="AB40" s="98">
        <f t="shared" si="17"/>
        <v>447.40000000000003</v>
      </c>
      <c r="AC40" s="98">
        <f t="shared" si="18"/>
        <v>336.4</v>
      </c>
      <c r="AD40" s="98">
        <f t="shared" si="19"/>
        <v>239.9</v>
      </c>
      <c r="AE40" s="98">
        <f t="shared" si="20"/>
        <v>320.00000000000006</v>
      </c>
      <c r="AF40" s="98">
        <f t="shared" si="21"/>
        <v>415.19999999999993</v>
      </c>
      <c r="AG40" s="98">
        <f t="shared" si="22"/>
        <v>450.90000000000003</v>
      </c>
      <c r="AH40" s="98">
        <f t="shared" si="23"/>
        <v>465.7</v>
      </c>
      <c r="AI40" s="98">
        <f t="shared" si="24"/>
        <v>337</v>
      </c>
      <c r="AJ40" s="98">
        <f t="shared" si="25"/>
        <v>356.7</v>
      </c>
      <c r="AK40" s="101">
        <f t="shared" si="26"/>
        <v>371.91894736842096</v>
      </c>
      <c r="AL40" s="120">
        <f t="shared" si="27"/>
        <v>380.73999999999995</v>
      </c>
      <c r="AM40"/>
      <c r="AN40"/>
    </row>
    <row r="41" spans="1:40" x14ac:dyDescent="0.2">
      <c r="B41" s="67" t="s">
        <v>92</v>
      </c>
      <c r="C41" s="75">
        <v>563.9</v>
      </c>
      <c r="D41" s="75">
        <v>0</v>
      </c>
      <c r="K41" s="67" t="s">
        <v>92</v>
      </c>
      <c r="L41" s="99">
        <f t="shared" si="1"/>
        <v>563.9</v>
      </c>
      <c r="M41" s="98">
        <f t="shared" si="2"/>
        <v>584.4</v>
      </c>
      <c r="N41" s="98">
        <f t="shared" si="3"/>
        <v>537.1</v>
      </c>
      <c r="O41" s="98">
        <f t="shared" si="4"/>
        <v>678.6</v>
      </c>
      <c r="P41" s="98">
        <f t="shared" si="5"/>
        <v>567.6</v>
      </c>
      <c r="Q41" s="98">
        <f t="shared" si="6"/>
        <v>571.5</v>
      </c>
      <c r="R41" s="98">
        <f t="shared" si="7"/>
        <v>502.2</v>
      </c>
      <c r="S41" s="98">
        <f t="shared" si="8"/>
        <v>548.20000000000005</v>
      </c>
      <c r="T41" s="98">
        <f t="shared" si="9"/>
        <v>761.5</v>
      </c>
      <c r="U41" s="98">
        <f t="shared" si="10"/>
        <v>502.90000000000003</v>
      </c>
      <c r="V41" s="98">
        <f t="shared" si="11"/>
        <v>610.90000000000009</v>
      </c>
      <c r="W41" s="98">
        <f t="shared" si="12"/>
        <v>531.20000000000005</v>
      </c>
      <c r="X41" s="98">
        <f t="shared" si="13"/>
        <v>590.80000000000007</v>
      </c>
      <c r="Y41" s="98">
        <f t="shared" si="14"/>
        <v>651.50000000000034</v>
      </c>
      <c r="Z41" s="98">
        <f t="shared" si="15"/>
        <v>469.39999999999992</v>
      </c>
      <c r="AA41" s="98">
        <f t="shared" si="16"/>
        <v>612.80000000000007</v>
      </c>
      <c r="AB41" s="98">
        <f t="shared" si="17"/>
        <v>614.79999999999984</v>
      </c>
      <c r="AC41" s="98">
        <f t="shared" si="18"/>
        <v>612.29999999999984</v>
      </c>
      <c r="AD41" s="98">
        <f t="shared" si="19"/>
        <v>671.3</v>
      </c>
      <c r="AE41" s="98">
        <f t="shared" si="20"/>
        <v>512</v>
      </c>
      <c r="AF41" s="98">
        <f t="shared" ref="AF41" si="28">C281</f>
        <v>505.1</v>
      </c>
      <c r="AG41" s="98">
        <f t="shared" ref="AG41" si="29">C293</f>
        <v>640.80000000000007</v>
      </c>
      <c r="AH41" s="98">
        <f t="shared" ref="AH41" si="30">C305</f>
        <v>540.79999999999995</v>
      </c>
      <c r="AI41" s="98">
        <f t="shared" si="24"/>
        <v>408.99999999999989</v>
      </c>
      <c r="AJ41" s="98">
        <f t="shared" si="25"/>
        <v>567.70000000000005</v>
      </c>
      <c r="AK41" s="101">
        <f t="shared" si="26"/>
        <v>547.01052631578932</v>
      </c>
      <c r="AL41" s="120">
        <f t="shared" si="27"/>
        <v>568.66</v>
      </c>
      <c r="AM41"/>
      <c r="AN41"/>
    </row>
    <row r="42" spans="1:40" x14ac:dyDescent="0.2">
      <c r="A42" s="67">
        <v>1993</v>
      </c>
      <c r="B42" s="67" t="s">
        <v>80</v>
      </c>
      <c r="C42" s="75">
        <v>621.4</v>
      </c>
      <c r="D42" s="75">
        <v>0</v>
      </c>
      <c r="L42" s="98">
        <f>SUM(L30:L41)</f>
        <v>3721.4</v>
      </c>
      <c r="M42" s="98">
        <f t="shared" ref="M42:AJ42" si="31">SUM(M30:M41)</f>
        <v>3799.4</v>
      </c>
      <c r="N42" s="98">
        <f t="shared" si="31"/>
        <v>3937.9</v>
      </c>
      <c r="O42" s="98">
        <f t="shared" si="31"/>
        <v>3824.3999999999996</v>
      </c>
      <c r="P42" s="98">
        <f t="shared" si="31"/>
        <v>4030.7999999999997</v>
      </c>
      <c r="Q42" s="98">
        <f t="shared" si="31"/>
        <v>4077.1000000000004</v>
      </c>
      <c r="R42" s="98">
        <f t="shared" si="31"/>
        <v>2993.4</v>
      </c>
      <c r="S42" s="98">
        <f t="shared" si="31"/>
        <v>3287.1000000000004</v>
      </c>
      <c r="T42" s="98">
        <f t="shared" si="31"/>
        <v>3752.8000000000006</v>
      </c>
      <c r="U42" s="98">
        <f t="shared" si="31"/>
        <v>3297.5000000000005</v>
      </c>
      <c r="V42" s="98">
        <f t="shared" si="31"/>
        <v>3450.4</v>
      </c>
      <c r="W42" s="98">
        <f t="shared" si="31"/>
        <v>3738.1999999999989</v>
      </c>
      <c r="X42" s="98">
        <f t="shared" si="31"/>
        <v>3572.8999999999996</v>
      </c>
      <c r="Y42" s="98">
        <f t="shared" si="31"/>
        <v>3636.4999999999995</v>
      </c>
      <c r="Z42" s="98">
        <f t="shared" si="31"/>
        <v>3197</v>
      </c>
      <c r="AA42" s="98">
        <f t="shared" si="31"/>
        <v>3690.9000000000005</v>
      </c>
      <c r="AB42" s="98">
        <f t="shared" si="31"/>
        <v>3826.1999999999989</v>
      </c>
      <c r="AC42" s="98">
        <f t="shared" si="31"/>
        <v>3824.9999999999995</v>
      </c>
      <c r="AD42" s="98">
        <f t="shared" si="31"/>
        <v>3444</v>
      </c>
      <c r="AE42" s="98">
        <f t="shared" si="31"/>
        <v>3598.7</v>
      </c>
      <c r="AF42" s="98">
        <f t="shared" si="31"/>
        <v>3152.3999999999996</v>
      </c>
      <c r="AG42" s="98">
        <f t="shared" si="31"/>
        <v>3732.3000000000006</v>
      </c>
      <c r="AH42" s="98">
        <f t="shared" si="31"/>
        <v>4063.3999999999996</v>
      </c>
      <c r="AI42" s="98">
        <f t="shared" si="31"/>
        <v>3768.9</v>
      </c>
      <c r="AJ42" s="98">
        <f t="shared" si="31"/>
        <v>3363</v>
      </c>
      <c r="AL42"/>
      <c r="AM42"/>
      <c r="AN42"/>
    </row>
    <row r="43" spans="1:40" x14ac:dyDescent="0.2">
      <c r="B43" s="67" t="s">
        <v>81</v>
      </c>
      <c r="C43" s="75">
        <v>694.2</v>
      </c>
      <c r="D43" s="75">
        <v>0</v>
      </c>
      <c r="K43" s="67" t="s">
        <v>80</v>
      </c>
      <c r="L43" s="98">
        <f>D30</f>
        <v>0</v>
      </c>
      <c r="M43" s="98">
        <f>D42</f>
        <v>0</v>
      </c>
      <c r="N43" s="98">
        <f>D54</f>
        <v>0</v>
      </c>
      <c r="O43" s="98">
        <f>D66</f>
        <v>0</v>
      </c>
      <c r="P43" s="98">
        <f>D78</f>
        <v>0</v>
      </c>
      <c r="Q43" s="98">
        <f>D90</f>
        <v>0</v>
      </c>
      <c r="R43" s="98">
        <f>D102</f>
        <v>0</v>
      </c>
      <c r="S43" s="98">
        <f>D114</f>
        <v>0</v>
      </c>
      <c r="T43" s="98">
        <f>D126</f>
        <v>0</v>
      </c>
      <c r="U43" s="98">
        <f>D138</f>
        <v>0</v>
      </c>
      <c r="V43" s="98">
        <f>D150</f>
        <v>0</v>
      </c>
      <c r="W43" s="98">
        <f>D162</f>
        <v>0</v>
      </c>
      <c r="X43" s="98">
        <f>D174</f>
        <v>0</v>
      </c>
      <c r="Y43" s="98">
        <f>D186</f>
        <v>0</v>
      </c>
      <c r="Z43" s="98">
        <f>D198</f>
        <v>0</v>
      </c>
      <c r="AA43" s="98">
        <f>D210</f>
        <v>0</v>
      </c>
      <c r="AB43" s="98">
        <f>D222</f>
        <v>0</v>
      </c>
      <c r="AC43" s="98">
        <f>D234</f>
        <v>0</v>
      </c>
      <c r="AD43" s="98">
        <f>D246</f>
        <v>0</v>
      </c>
      <c r="AE43" s="98">
        <f>D258</f>
        <v>0</v>
      </c>
      <c r="AF43" s="98">
        <f>D270</f>
        <v>0</v>
      </c>
      <c r="AG43" s="98">
        <f>D282</f>
        <v>0</v>
      </c>
      <c r="AH43" s="98">
        <f>D294</f>
        <v>0</v>
      </c>
      <c r="AI43" s="98">
        <f>D306</f>
        <v>0</v>
      </c>
      <c r="AJ43" s="98">
        <f>D318</f>
        <v>0</v>
      </c>
      <c r="AK43" s="101">
        <f>TREND(Q43:AJ43,$Q$29:$AJ$29,2017)</f>
        <v>0</v>
      </c>
      <c r="AL43" s="120">
        <f>AVERAGE(AA43:AJ43)</f>
        <v>0</v>
      </c>
      <c r="AM43"/>
      <c r="AN43"/>
    </row>
    <row r="44" spans="1:40" x14ac:dyDescent="0.2">
      <c r="B44" s="67" t="s">
        <v>82</v>
      </c>
      <c r="C44" s="75">
        <v>597.70000000000005</v>
      </c>
      <c r="D44" s="75">
        <v>0</v>
      </c>
      <c r="K44" s="67" t="s">
        <v>81</v>
      </c>
      <c r="L44" s="98">
        <f t="shared" ref="L44:L54" si="32">D31</f>
        <v>0</v>
      </c>
      <c r="M44" s="98">
        <f t="shared" ref="M44:M54" si="33">D43</f>
        <v>0</v>
      </c>
      <c r="N44" s="98">
        <f t="shared" ref="N44:N54" si="34">D55</f>
        <v>0</v>
      </c>
      <c r="O44" s="98">
        <f t="shared" ref="O44:O54" si="35">D67</f>
        <v>0</v>
      </c>
      <c r="P44" s="98">
        <f t="shared" ref="P44:P54" si="36">D79</f>
        <v>0</v>
      </c>
      <c r="Q44" s="98">
        <f t="shared" ref="Q44:Q54" si="37">D91</f>
        <v>0</v>
      </c>
      <c r="R44" s="98">
        <f t="shared" ref="R44:R54" si="38">D103</f>
        <v>0</v>
      </c>
      <c r="S44" s="98">
        <f t="shared" ref="S44:S54" si="39">D115</f>
        <v>0</v>
      </c>
      <c r="T44" s="98">
        <f t="shared" ref="T44:T54" si="40">D127</f>
        <v>0</v>
      </c>
      <c r="U44" s="98">
        <f t="shared" ref="U44:U54" si="41">D139</f>
        <v>0</v>
      </c>
      <c r="V44" s="98">
        <f t="shared" ref="V44:V54" si="42">D151</f>
        <v>0</v>
      </c>
      <c r="W44" s="98">
        <f t="shared" ref="W44:W54" si="43">D163</f>
        <v>0</v>
      </c>
      <c r="X44" s="98">
        <f t="shared" ref="X44:X54" si="44">D175</f>
        <v>0</v>
      </c>
      <c r="Y44" s="98">
        <f t="shared" ref="Y44:Y54" si="45">D187</f>
        <v>0</v>
      </c>
      <c r="Z44" s="98">
        <f t="shared" ref="Z44:Z54" si="46">D199</f>
        <v>0</v>
      </c>
      <c r="AA44" s="98">
        <f t="shared" ref="AA44:AA54" si="47">D211</f>
        <v>0</v>
      </c>
      <c r="AB44" s="98">
        <f t="shared" ref="AB44:AB54" si="48">D223</f>
        <v>0</v>
      </c>
      <c r="AC44" s="98">
        <f t="shared" ref="AC44:AC54" si="49">D235</f>
        <v>0</v>
      </c>
      <c r="AD44" s="98">
        <f t="shared" ref="AD44:AD54" si="50">D247</f>
        <v>0</v>
      </c>
      <c r="AE44" s="98">
        <f t="shared" ref="AE44:AE54" si="51">D259</f>
        <v>0</v>
      </c>
      <c r="AF44" s="98">
        <f t="shared" ref="AF44:AF54" si="52">D271</f>
        <v>0</v>
      </c>
      <c r="AG44" s="98">
        <f t="shared" ref="AG44:AG52" si="53">D283</f>
        <v>0</v>
      </c>
      <c r="AH44" s="98">
        <f t="shared" ref="AH44:AH53" si="54">D295</f>
        <v>0</v>
      </c>
      <c r="AI44" s="98">
        <f t="shared" ref="AI44:AI54" si="55">D307</f>
        <v>0</v>
      </c>
      <c r="AJ44" s="98">
        <f t="shared" ref="AJ44:AJ54" si="56">D319</f>
        <v>0</v>
      </c>
      <c r="AK44" s="101">
        <f t="shared" ref="AK44:AK54" si="57">TREND(Q44:AJ44,$Q$29:$AJ$29,2017)</f>
        <v>0</v>
      </c>
      <c r="AL44" s="120">
        <f t="shared" ref="AL44:AL54" si="58">AVERAGE(AA44:AJ44)</f>
        <v>0</v>
      </c>
      <c r="AM44"/>
      <c r="AN44"/>
    </row>
    <row r="45" spans="1:40" x14ac:dyDescent="0.2">
      <c r="B45" s="67" t="s">
        <v>83</v>
      </c>
      <c r="C45" s="75">
        <v>304.60000000000002</v>
      </c>
      <c r="D45" s="75">
        <v>0</v>
      </c>
      <c r="K45" s="67" t="s">
        <v>82</v>
      </c>
      <c r="L45" s="98">
        <f t="shared" si="32"/>
        <v>0</v>
      </c>
      <c r="M45" s="98">
        <f t="shared" si="33"/>
        <v>0</v>
      </c>
      <c r="N45" s="98">
        <f t="shared" si="34"/>
        <v>0</v>
      </c>
      <c r="O45" s="98">
        <f t="shared" si="35"/>
        <v>0</v>
      </c>
      <c r="P45" s="98">
        <f t="shared" si="36"/>
        <v>0</v>
      </c>
      <c r="Q45" s="98">
        <f t="shared" si="37"/>
        <v>0</v>
      </c>
      <c r="R45" s="98">
        <f t="shared" si="38"/>
        <v>0.8</v>
      </c>
      <c r="S45" s="98">
        <f t="shared" si="39"/>
        <v>0</v>
      </c>
      <c r="T45" s="98">
        <f t="shared" si="40"/>
        <v>0</v>
      </c>
      <c r="U45" s="98">
        <f t="shared" si="41"/>
        <v>0</v>
      </c>
      <c r="V45" s="98">
        <f t="shared" si="42"/>
        <v>0</v>
      </c>
      <c r="W45" s="98">
        <f t="shared" si="43"/>
        <v>0</v>
      </c>
      <c r="X45" s="98">
        <f t="shared" si="44"/>
        <v>0</v>
      </c>
      <c r="Y45" s="98">
        <f t="shared" si="45"/>
        <v>0</v>
      </c>
      <c r="Z45" s="98">
        <f t="shared" si="46"/>
        <v>0</v>
      </c>
      <c r="AA45" s="98">
        <f t="shared" si="47"/>
        <v>0</v>
      </c>
      <c r="AB45" s="98">
        <f t="shared" si="48"/>
        <v>0</v>
      </c>
      <c r="AC45" s="98">
        <f t="shared" si="49"/>
        <v>0</v>
      </c>
      <c r="AD45" s="98">
        <f t="shared" si="50"/>
        <v>0</v>
      </c>
      <c r="AE45" s="98">
        <f t="shared" si="51"/>
        <v>0</v>
      </c>
      <c r="AF45" s="98">
        <f t="shared" si="52"/>
        <v>0</v>
      </c>
      <c r="AG45" s="98">
        <f t="shared" si="53"/>
        <v>0</v>
      </c>
      <c r="AH45" s="98">
        <f t="shared" si="54"/>
        <v>0</v>
      </c>
      <c r="AI45" s="98">
        <f t="shared" si="55"/>
        <v>0</v>
      </c>
      <c r="AJ45" s="98">
        <f t="shared" si="56"/>
        <v>0</v>
      </c>
      <c r="AK45" s="101">
        <f t="shared" si="57"/>
        <v>-6.7368421052631078E-2</v>
      </c>
      <c r="AL45" s="120">
        <f t="shared" si="58"/>
        <v>0</v>
      </c>
      <c r="AM45"/>
      <c r="AN45"/>
    </row>
    <row r="46" spans="1:40" x14ac:dyDescent="0.2">
      <c r="B46" s="67" t="s">
        <v>84</v>
      </c>
      <c r="C46" s="75">
        <v>144.80000000000001</v>
      </c>
      <c r="D46" s="75">
        <v>4.5999999999999996</v>
      </c>
      <c r="K46" s="67" t="s">
        <v>83</v>
      </c>
      <c r="L46" s="98">
        <f t="shared" si="32"/>
        <v>0.8</v>
      </c>
      <c r="M46" s="98">
        <f t="shared" si="33"/>
        <v>0</v>
      </c>
      <c r="N46" s="98">
        <f t="shared" si="34"/>
        <v>0</v>
      </c>
      <c r="O46" s="98">
        <f t="shared" si="35"/>
        <v>0</v>
      </c>
      <c r="P46" s="98">
        <f t="shared" si="36"/>
        <v>0</v>
      </c>
      <c r="Q46" s="98">
        <f t="shared" si="37"/>
        <v>0</v>
      </c>
      <c r="R46" s="98">
        <f t="shared" si="38"/>
        <v>0</v>
      </c>
      <c r="S46" s="98">
        <f t="shared" si="39"/>
        <v>0</v>
      </c>
      <c r="T46" s="98">
        <f t="shared" si="40"/>
        <v>0</v>
      </c>
      <c r="U46" s="98">
        <f t="shared" si="41"/>
        <v>1.8</v>
      </c>
      <c r="V46" s="98">
        <f t="shared" si="42"/>
        <v>5.0999999999999996</v>
      </c>
      <c r="W46" s="98">
        <f t="shared" si="43"/>
        <v>0</v>
      </c>
      <c r="X46" s="98">
        <f t="shared" si="44"/>
        <v>0.8</v>
      </c>
      <c r="Y46" s="98">
        <f t="shared" si="45"/>
        <v>0</v>
      </c>
      <c r="Z46" s="98">
        <f t="shared" si="46"/>
        <v>0</v>
      </c>
      <c r="AA46" s="98">
        <f t="shared" si="47"/>
        <v>0</v>
      </c>
      <c r="AB46" s="98">
        <f t="shared" si="48"/>
        <v>0</v>
      </c>
      <c r="AC46" s="98">
        <f t="shared" si="49"/>
        <v>2</v>
      </c>
      <c r="AD46" s="98">
        <f t="shared" si="50"/>
        <v>0</v>
      </c>
      <c r="AE46" s="98">
        <f t="shared" si="51"/>
        <v>0.4</v>
      </c>
      <c r="AF46" s="98">
        <f t="shared" si="52"/>
        <v>0</v>
      </c>
      <c r="AG46" s="98">
        <f t="shared" si="53"/>
        <v>0</v>
      </c>
      <c r="AH46" s="98">
        <f t="shared" si="54"/>
        <v>0</v>
      </c>
      <c r="AI46" s="98">
        <f t="shared" si="55"/>
        <v>0</v>
      </c>
      <c r="AJ46" s="98">
        <f t="shared" si="56"/>
        <v>0</v>
      </c>
      <c r="AK46" s="101">
        <f t="shared" si="57"/>
        <v>6.2105263157889112E-2</v>
      </c>
      <c r="AL46" s="120">
        <f t="shared" si="58"/>
        <v>0.24</v>
      </c>
      <c r="AM46"/>
      <c r="AN46"/>
    </row>
    <row r="47" spans="1:40" x14ac:dyDescent="0.2">
      <c r="B47" s="67" t="s">
        <v>85</v>
      </c>
      <c r="C47" s="75">
        <v>39.5</v>
      </c>
      <c r="D47" s="75">
        <v>51.6</v>
      </c>
      <c r="K47" s="67" t="s">
        <v>84</v>
      </c>
      <c r="L47" s="98">
        <f t="shared" si="32"/>
        <v>4.0999999999999996</v>
      </c>
      <c r="M47" s="98">
        <f t="shared" si="33"/>
        <v>4.5999999999999996</v>
      </c>
      <c r="N47" s="98">
        <f t="shared" si="34"/>
        <v>2.5</v>
      </c>
      <c r="O47" s="98">
        <f t="shared" si="35"/>
        <v>0.5</v>
      </c>
      <c r="P47" s="98">
        <f t="shared" si="36"/>
        <v>9.5</v>
      </c>
      <c r="Q47" s="98">
        <f t="shared" si="37"/>
        <v>0</v>
      </c>
      <c r="R47" s="98">
        <f t="shared" si="38"/>
        <v>27.9</v>
      </c>
      <c r="S47" s="98">
        <f t="shared" si="39"/>
        <v>16.600000000000001</v>
      </c>
      <c r="T47" s="98">
        <f t="shared" si="40"/>
        <v>12.5</v>
      </c>
      <c r="U47" s="98">
        <f t="shared" si="41"/>
        <v>0.8</v>
      </c>
      <c r="V47" s="98">
        <f t="shared" si="42"/>
        <v>8.8000000000000007</v>
      </c>
      <c r="W47" s="98">
        <f t="shared" si="43"/>
        <v>0</v>
      </c>
      <c r="X47" s="98">
        <f t="shared" si="44"/>
        <v>17.100000000000001</v>
      </c>
      <c r="Y47" s="98">
        <f t="shared" si="45"/>
        <v>0</v>
      </c>
      <c r="Z47" s="98">
        <f t="shared" si="46"/>
        <v>24.3</v>
      </c>
      <c r="AA47" s="98">
        <f t="shared" si="47"/>
        <v>15.4</v>
      </c>
      <c r="AB47" s="98">
        <f t="shared" si="48"/>
        <v>0</v>
      </c>
      <c r="AC47" s="98">
        <f t="shared" si="49"/>
        <v>1.8</v>
      </c>
      <c r="AD47" s="98">
        <f t="shared" si="50"/>
        <v>27.5</v>
      </c>
      <c r="AE47" s="98">
        <f t="shared" si="51"/>
        <v>12.5</v>
      </c>
      <c r="AF47" s="98">
        <f t="shared" si="52"/>
        <v>28.9</v>
      </c>
      <c r="AG47" s="98">
        <f t="shared" si="53"/>
        <v>24.200000000000003</v>
      </c>
      <c r="AH47" s="98">
        <f t="shared" si="54"/>
        <v>7.3</v>
      </c>
      <c r="AI47" s="98">
        <f t="shared" si="55"/>
        <v>34.200000000000003</v>
      </c>
      <c r="AJ47" s="98">
        <f t="shared" si="56"/>
        <v>24.400000000000002</v>
      </c>
      <c r="AK47" s="101">
        <f t="shared" si="57"/>
        <v>22.363684210526344</v>
      </c>
      <c r="AL47" s="120">
        <f t="shared" si="58"/>
        <v>17.62</v>
      </c>
      <c r="AM47"/>
      <c r="AN47"/>
    </row>
    <row r="48" spans="1:40" x14ac:dyDescent="0.2">
      <c r="B48" s="67" t="s">
        <v>86</v>
      </c>
      <c r="C48" s="75">
        <v>0</v>
      </c>
      <c r="D48" s="75">
        <v>143.80000000000001</v>
      </c>
      <c r="K48" s="67" t="s">
        <v>85</v>
      </c>
      <c r="L48" s="98">
        <f t="shared" si="32"/>
        <v>23.7</v>
      </c>
      <c r="M48" s="98">
        <f t="shared" si="33"/>
        <v>51.6</v>
      </c>
      <c r="N48" s="98">
        <f t="shared" si="34"/>
        <v>73.7</v>
      </c>
      <c r="O48" s="98">
        <f t="shared" si="35"/>
        <v>87</v>
      </c>
      <c r="P48" s="98">
        <f t="shared" si="36"/>
        <v>54.2</v>
      </c>
      <c r="Q48" s="98">
        <f t="shared" si="37"/>
        <v>37.4</v>
      </c>
      <c r="R48" s="98">
        <f t="shared" si="38"/>
        <v>85.6</v>
      </c>
      <c r="S48" s="98">
        <f t="shared" si="39"/>
        <v>99.8</v>
      </c>
      <c r="T48" s="98">
        <f t="shared" si="40"/>
        <v>53.2</v>
      </c>
      <c r="U48" s="98">
        <f t="shared" si="41"/>
        <v>71.099999999999994</v>
      </c>
      <c r="V48" s="98">
        <f t="shared" si="42"/>
        <v>74.699999999999989</v>
      </c>
      <c r="W48" s="98">
        <f t="shared" si="43"/>
        <v>35.6</v>
      </c>
      <c r="X48" s="98">
        <f t="shared" si="44"/>
        <v>41.999999999999986</v>
      </c>
      <c r="Y48" s="98">
        <f t="shared" si="45"/>
        <v>141.19999999999999</v>
      </c>
      <c r="Z48" s="98">
        <f t="shared" si="46"/>
        <v>69.899999999999977</v>
      </c>
      <c r="AA48" s="98">
        <f t="shared" si="47"/>
        <v>84.3</v>
      </c>
      <c r="AB48" s="98">
        <f t="shared" si="48"/>
        <v>61.499999999999986</v>
      </c>
      <c r="AC48" s="98">
        <f t="shared" si="49"/>
        <v>29.999999999999996</v>
      </c>
      <c r="AD48" s="98">
        <f t="shared" si="50"/>
        <v>51.300000000000011</v>
      </c>
      <c r="AE48" s="98">
        <f t="shared" si="51"/>
        <v>40.200000000000003</v>
      </c>
      <c r="AF48" s="98">
        <f t="shared" si="52"/>
        <v>58.8</v>
      </c>
      <c r="AG48" s="98">
        <f t="shared" si="53"/>
        <v>48.5</v>
      </c>
      <c r="AH48" s="98">
        <f t="shared" si="54"/>
        <v>62.800000000000004</v>
      </c>
      <c r="AI48" s="98">
        <f t="shared" si="55"/>
        <v>28.599999999999998</v>
      </c>
      <c r="AJ48" s="98">
        <f t="shared" si="56"/>
        <v>51.699999999999996</v>
      </c>
      <c r="AK48" s="101">
        <f t="shared" si="57"/>
        <v>46.141578947368089</v>
      </c>
      <c r="AL48" s="120">
        <f t="shared" si="58"/>
        <v>51.77</v>
      </c>
      <c r="AM48"/>
      <c r="AN48"/>
    </row>
    <row r="49" spans="1:40" x14ac:dyDescent="0.2">
      <c r="B49" s="67" t="s">
        <v>87</v>
      </c>
      <c r="C49" s="75">
        <v>5.0999999999999996</v>
      </c>
      <c r="D49" s="75">
        <v>128.9</v>
      </c>
      <c r="K49" s="67" t="s">
        <v>86</v>
      </c>
      <c r="L49" s="98">
        <f t="shared" si="32"/>
        <v>51.2</v>
      </c>
      <c r="M49" s="98">
        <f t="shared" si="33"/>
        <v>143.80000000000001</v>
      </c>
      <c r="N49" s="98">
        <f t="shared" si="34"/>
        <v>132.5</v>
      </c>
      <c r="O49" s="98">
        <f t="shared" si="35"/>
        <v>139.6</v>
      </c>
      <c r="P49" s="98">
        <f t="shared" si="36"/>
        <v>77.5</v>
      </c>
      <c r="Q49" s="98">
        <f t="shared" si="37"/>
        <v>66.3</v>
      </c>
      <c r="R49" s="98">
        <f t="shared" si="38"/>
        <v>102.2</v>
      </c>
      <c r="S49" s="98">
        <f t="shared" si="39"/>
        <v>178.1</v>
      </c>
      <c r="T49" s="98">
        <f t="shared" si="40"/>
        <v>70.400000000000006</v>
      </c>
      <c r="U49" s="98">
        <f t="shared" si="41"/>
        <v>89.999999999999986</v>
      </c>
      <c r="V49" s="98">
        <f t="shared" si="42"/>
        <v>169.20000000000002</v>
      </c>
      <c r="W49" s="98">
        <f t="shared" si="43"/>
        <v>105.29999999999997</v>
      </c>
      <c r="X49" s="98">
        <f t="shared" si="44"/>
        <v>93.09999999999998</v>
      </c>
      <c r="Y49" s="98">
        <f t="shared" si="45"/>
        <v>190.70000000000005</v>
      </c>
      <c r="Z49" s="98">
        <f t="shared" si="46"/>
        <v>161.4</v>
      </c>
      <c r="AA49" s="98">
        <f t="shared" si="47"/>
        <v>77.499999999999986</v>
      </c>
      <c r="AB49" s="98">
        <f t="shared" si="48"/>
        <v>90.299999999999983</v>
      </c>
      <c r="AC49" s="98">
        <f t="shared" si="49"/>
        <v>33.1</v>
      </c>
      <c r="AD49" s="98">
        <f t="shared" si="50"/>
        <v>123.99999999999999</v>
      </c>
      <c r="AE49" s="98">
        <f t="shared" si="51"/>
        <v>158.6</v>
      </c>
      <c r="AF49" s="98">
        <f t="shared" si="52"/>
        <v>130.89999999999998</v>
      </c>
      <c r="AG49" s="98">
        <f t="shared" si="53"/>
        <v>117.00000000000001</v>
      </c>
      <c r="AH49" s="98">
        <f t="shared" si="54"/>
        <v>51</v>
      </c>
      <c r="AI49" s="98">
        <f t="shared" si="55"/>
        <v>79.100000000000009</v>
      </c>
      <c r="AJ49" s="98">
        <f t="shared" si="56"/>
        <v>140.69999999999996</v>
      </c>
      <c r="AK49" s="101">
        <f t="shared" si="57"/>
        <v>107.65947368421052</v>
      </c>
      <c r="AL49" s="120">
        <f t="shared" si="58"/>
        <v>100.21999999999998</v>
      </c>
      <c r="AM49"/>
      <c r="AN49"/>
    </row>
    <row r="50" spans="1:40" x14ac:dyDescent="0.2">
      <c r="B50" s="67" t="s">
        <v>88</v>
      </c>
      <c r="C50" s="75">
        <v>112.1</v>
      </c>
      <c r="D50" s="75">
        <v>21.5</v>
      </c>
      <c r="K50" s="67" t="s">
        <v>87</v>
      </c>
      <c r="L50" s="98">
        <f t="shared" si="32"/>
        <v>44.7</v>
      </c>
      <c r="M50" s="98">
        <f t="shared" si="33"/>
        <v>128.9</v>
      </c>
      <c r="N50" s="98">
        <f t="shared" si="34"/>
        <v>64.099999999999994</v>
      </c>
      <c r="O50" s="98">
        <f t="shared" si="35"/>
        <v>150.5</v>
      </c>
      <c r="P50" s="98">
        <f t="shared" si="36"/>
        <v>93.7</v>
      </c>
      <c r="Q50" s="98">
        <f t="shared" si="37"/>
        <v>38</v>
      </c>
      <c r="R50" s="98">
        <f t="shared" si="38"/>
        <v>136.6</v>
      </c>
      <c r="S50" s="98">
        <f t="shared" si="39"/>
        <v>63.7</v>
      </c>
      <c r="T50" s="98">
        <f t="shared" si="40"/>
        <v>76.400000000000006</v>
      </c>
      <c r="U50" s="98">
        <f t="shared" si="41"/>
        <v>137.5</v>
      </c>
      <c r="V50" s="98">
        <f t="shared" si="42"/>
        <v>141.59999999999997</v>
      </c>
      <c r="W50" s="98">
        <f t="shared" si="43"/>
        <v>127.79999999999997</v>
      </c>
      <c r="X50" s="98">
        <f t="shared" si="44"/>
        <v>61.599999999999994</v>
      </c>
      <c r="Y50" s="98">
        <f t="shared" si="45"/>
        <v>144.1</v>
      </c>
      <c r="Z50" s="98">
        <f t="shared" si="46"/>
        <v>100.1</v>
      </c>
      <c r="AA50" s="98">
        <f t="shared" si="47"/>
        <v>106.49999999999999</v>
      </c>
      <c r="AB50" s="98">
        <f t="shared" si="48"/>
        <v>42.4</v>
      </c>
      <c r="AC50" s="98">
        <f t="shared" si="49"/>
        <v>74.199999999999974</v>
      </c>
      <c r="AD50" s="98">
        <f t="shared" si="50"/>
        <v>103.40000000000003</v>
      </c>
      <c r="AE50" s="98">
        <f t="shared" si="51"/>
        <v>88.8</v>
      </c>
      <c r="AF50" s="98">
        <f t="shared" si="52"/>
        <v>76.600000000000009</v>
      </c>
      <c r="AG50" s="98">
        <f t="shared" si="53"/>
        <v>51.900000000000006</v>
      </c>
      <c r="AH50" s="98">
        <f t="shared" si="54"/>
        <v>56.999999999999993</v>
      </c>
      <c r="AI50" s="98">
        <f t="shared" si="55"/>
        <v>59</v>
      </c>
      <c r="AJ50" s="98">
        <f t="shared" si="56"/>
        <v>159.30000000000001</v>
      </c>
      <c r="AK50" s="101">
        <f t="shared" si="57"/>
        <v>84.547894736842181</v>
      </c>
      <c r="AL50" s="120">
        <f t="shared" si="58"/>
        <v>81.910000000000011</v>
      </c>
      <c r="AM50"/>
      <c r="AN50"/>
    </row>
    <row r="51" spans="1:40" x14ac:dyDescent="0.2">
      <c r="B51" s="67" t="s">
        <v>89</v>
      </c>
      <c r="C51" s="75">
        <v>280.89999999999998</v>
      </c>
      <c r="D51" s="75">
        <v>0</v>
      </c>
      <c r="K51" s="67" t="s">
        <v>88</v>
      </c>
      <c r="L51" s="98">
        <f t="shared" si="32"/>
        <v>33</v>
      </c>
      <c r="M51" s="98">
        <f t="shared" si="33"/>
        <v>21.5</v>
      </c>
      <c r="N51" s="98">
        <f t="shared" si="34"/>
        <v>18</v>
      </c>
      <c r="O51" s="98">
        <f t="shared" si="35"/>
        <v>13.9</v>
      </c>
      <c r="P51" s="98">
        <f t="shared" si="36"/>
        <v>29.2</v>
      </c>
      <c r="Q51" s="98">
        <f t="shared" si="37"/>
        <v>7.2</v>
      </c>
      <c r="R51" s="98">
        <f t="shared" si="38"/>
        <v>51.3</v>
      </c>
      <c r="S51" s="98">
        <f t="shared" si="39"/>
        <v>42.9</v>
      </c>
      <c r="T51" s="98">
        <f t="shared" si="40"/>
        <v>39.4</v>
      </c>
      <c r="U51" s="98">
        <f t="shared" si="41"/>
        <v>32.700000000000003</v>
      </c>
      <c r="V51" s="98">
        <f t="shared" si="42"/>
        <v>77.299999999999983</v>
      </c>
      <c r="W51" s="98">
        <f t="shared" si="43"/>
        <v>29.000000000000004</v>
      </c>
      <c r="X51" s="98">
        <f t="shared" si="44"/>
        <v>46.699999999999996</v>
      </c>
      <c r="Y51" s="98">
        <f t="shared" si="45"/>
        <v>49.79999999999999</v>
      </c>
      <c r="Z51" s="98">
        <f t="shared" si="46"/>
        <v>17.2</v>
      </c>
      <c r="AA51" s="98">
        <f t="shared" si="47"/>
        <v>41.800000000000004</v>
      </c>
      <c r="AB51" s="98">
        <f t="shared" si="48"/>
        <v>25.500000000000004</v>
      </c>
      <c r="AC51" s="98">
        <f t="shared" si="49"/>
        <v>12</v>
      </c>
      <c r="AD51" s="98">
        <f t="shared" si="50"/>
        <v>13.899999999999999</v>
      </c>
      <c r="AE51" s="98">
        <f t="shared" si="51"/>
        <v>24.9</v>
      </c>
      <c r="AF51" s="98">
        <f t="shared" si="52"/>
        <v>28.900000000000002</v>
      </c>
      <c r="AG51" s="98">
        <f t="shared" si="53"/>
        <v>22.9</v>
      </c>
      <c r="AH51" s="98">
        <f t="shared" si="54"/>
        <v>27.500000000000004</v>
      </c>
      <c r="AI51" s="98">
        <f t="shared" si="55"/>
        <v>54.4</v>
      </c>
      <c r="AJ51" s="98">
        <f t="shared" si="56"/>
        <v>47.3</v>
      </c>
      <c r="AK51" s="101">
        <f t="shared" si="57"/>
        <v>30.905263157894638</v>
      </c>
      <c r="AL51" s="120">
        <f t="shared" si="58"/>
        <v>29.910000000000004</v>
      </c>
      <c r="AM51"/>
      <c r="AN51"/>
    </row>
    <row r="52" spans="1:40" x14ac:dyDescent="0.2">
      <c r="B52" s="67" t="s">
        <v>90</v>
      </c>
      <c r="C52" s="75">
        <v>414.7</v>
      </c>
      <c r="D52" s="75">
        <v>0</v>
      </c>
      <c r="K52" s="67" t="s">
        <v>89</v>
      </c>
      <c r="L52" s="98">
        <f t="shared" si="32"/>
        <v>1.3</v>
      </c>
      <c r="M52" s="98">
        <f t="shared" si="33"/>
        <v>0</v>
      </c>
      <c r="N52" s="98">
        <f t="shared" si="34"/>
        <v>0</v>
      </c>
      <c r="O52" s="98">
        <f t="shared" si="35"/>
        <v>0.8</v>
      </c>
      <c r="P52" s="98">
        <f t="shared" si="36"/>
        <v>0.8</v>
      </c>
      <c r="Q52" s="98">
        <f t="shared" si="37"/>
        <v>0.5</v>
      </c>
      <c r="R52" s="98">
        <f t="shared" si="38"/>
        <v>2</v>
      </c>
      <c r="S52" s="98">
        <f t="shared" si="39"/>
        <v>0</v>
      </c>
      <c r="T52" s="98">
        <f t="shared" si="40"/>
        <v>0</v>
      </c>
      <c r="U52" s="98">
        <f t="shared" si="41"/>
        <v>3.7</v>
      </c>
      <c r="V52" s="98">
        <f t="shared" si="42"/>
        <v>11.600000000000001</v>
      </c>
      <c r="W52" s="98">
        <f t="shared" si="43"/>
        <v>1</v>
      </c>
      <c r="X52" s="98">
        <f t="shared" si="44"/>
        <v>0.3</v>
      </c>
      <c r="Y52" s="98">
        <f t="shared" si="45"/>
        <v>8.6999999999999993</v>
      </c>
      <c r="Z52" s="98">
        <f t="shared" si="46"/>
        <v>0</v>
      </c>
      <c r="AA52" s="98">
        <f t="shared" si="47"/>
        <v>20.200000000000003</v>
      </c>
      <c r="AB52" s="98">
        <f t="shared" si="48"/>
        <v>0</v>
      </c>
      <c r="AC52" s="98">
        <f t="shared" si="49"/>
        <v>0</v>
      </c>
      <c r="AD52" s="98">
        <f t="shared" si="50"/>
        <v>0.1</v>
      </c>
      <c r="AE52" s="98">
        <f t="shared" si="51"/>
        <v>0</v>
      </c>
      <c r="AF52" s="98">
        <f t="shared" si="52"/>
        <v>0.8</v>
      </c>
      <c r="AG52" s="98">
        <f t="shared" si="53"/>
        <v>4.1999999999999993</v>
      </c>
      <c r="AH52" s="98">
        <f t="shared" si="54"/>
        <v>4.5</v>
      </c>
      <c r="AI52" s="98">
        <f t="shared" si="55"/>
        <v>0.9</v>
      </c>
      <c r="AJ52" s="98">
        <f t="shared" si="56"/>
        <v>5.0999999999999996</v>
      </c>
      <c r="AK52" s="101">
        <f t="shared" si="57"/>
        <v>3.5021052631578939</v>
      </c>
      <c r="AL52" s="120">
        <f t="shared" si="58"/>
        <v>3.5800000000000005</v>
      </c>
      <c r="AM52"/>
      <c r="AN52"/>
    </row>
    <row r="53" spans="1:40" x14ac:dyDescent="0.2">
      <c r="B53" s="67" t="s">
        <v>92</v>
      </c>
      <c r="C53" s="75">
        <v>584.4</v>
      </c>
      <c r="D53" s="75">
        <v>0</v>
      </c>
      <c r="K53" s="67" t="s">
        <v>90</v>
      </c>
      <c r="L53" s="98">
        <f t="shared" si="32"/>
        <v>0</v>
      </c>
      <c r="M53" s="98">
        <f t="shared" si="33"/>
        <v>0</v>
      </c>
      <c r="N53" s="98">
        <f t="shared" si="34"/>
        <v>0</v>
      </c>
      <c r="O53" s="98">
        <f t="shared" si="35"/>
        <v>0</v>
      </c>
      <c r="P53" s="98">
        <f t="shared" si="36"/>
        <v>0</v>
      </c>
      <c r="Q53" s="98">
        <f t="shared" si="37"/>
        <v>0</v>
      </c>
      <c r="R53" s="98">
        <f t="shared" si="38"/>
        <v>0</v>
      </c>
      <c r="S53" s="98">
        <f t="shared" si="39"/>
        <v>0</v>
      </c>
      <c r="T53" s="98">
        <f t="shared" si="40"/>
        <v>0</v>
      </c>
      <c r="U53" s="98">
        <f t="shared" si="41"/>
        <v>0</v>
      </c>
      <c r="V53" s="98">
        <f t="shared" si="42"/>
        <v>0</v>
      </c>
      <c r="W53" s="98">
        <f t="shared" si="43"/>
        <v>0</v>
      </c>
      <c r="X53" s="98">
        <f t="shared" si="44"/>
        <v>0</v>
      </c>
      <c r="Y53" s="98">
        <f t="shared" si="45"/>
        <v>0</v>
      </c>
      <c r="Z53" s="98">
        <f t="shared" si="46"/>
        <v>0</v>
      </c>
      <c r="AA53" s="98">
        <f t="shared" si="47"/>
        <v>0</v>
      </c>
      <c r="AB53" s="98">
        <f t="shared" si="48"/>
        <v>0</v>
      </c>
      <c r="AC53" s="98">
        <f t="shared" si="49"/>
        <v>0</v>
      </c>
      <c r="AD53" s="98">
        <f t="shared" si="50"/>
        <v>0</v>
      </c>
      <c r="AE53" s="98">
        <f t="shared" si="51"/>
        <v>0</v>
      </c>
      <c r="AF53" s="98">
        <f t="shared" si="52"/>
        <v>0</v>
      </c>
      <c r="AG53" s="98">
        <f>D292</f>
        <v>0</v>
      </c>
      <c r="AH53" s="98">
        <f t="shared" si="54"/>
        <v>0</v>
      </c>
      <c r="AI53" s="98">
        <f t="shared" si="55"/>
        <v>0</v>
      </c>
      <c r="AJ53" s="98">
        <f t="shared" si="56"/>
        <v>0</v>
      </c>
      <c r="AK53" s="101">
        <f t="shared" si="57"/>
        <v>0</v>
      </c>
      <c r="AL53" s="120">
        <f t="shared" si="58"/>
        <v>0</v>
      </c>
      <c r="AM53"/>
      <c r="AN53"/>
    </row>
    <row r="54" spans="1:40" x14ac:dyDescent="0.2">
      <c r="A54" s="67">
        <v>1994</v>
      </c>
      <c r="B54" s="67" t="s">
        <v>80</v>
      </c>
      <c r="C54" s="75">
        <v>859.1</v>
      </c>
      <c r="D54" s="75">
        <v>0</v>
      </c>
      <c r="K54" s="67" t="s">
        <v>92</v>
      </c>
      <c r="L54" s="98">
        <f t="shared" si="32"/>
        <v>0</v>
      </c>
      <c r="M54" s="98">
        <f t="shared" si="33"/>
        <v>0</v>
      </c>
      <c r="N54" s="98">
        <f t="shared" si="34"/>
        <v>0</v>
      </c>
      <c r="O54" s="98">
        <f t="shared" si="35"/>
        <v>0</v>
      </c>
      <c r="P54" s="98">
        <f t="shared" si="36"/>
        <v>0</v>
      </c>
      <c r="Q54" s="98">
        <f t="shared" si="37"/>
        <v>0</v>
      </c>
      <c r="R54" s="98">
        <f t="shared" si="38"/>
        <v>0</v>
      </c>
      <c r="S54" s="98">
        <f t="shared" si="39"/>
        <v>0</v>
      </c>
      <c r="T54" s="98">
        <f t="shared" si="40"/>
        <v>0</v>
      </c>
      <c r="U54" s="98">
        <f t="shared" si="41"/>
        <v>0</v>
      </c>
      <c r="V54" s="98">
        <f t="shared" si="42"/>
        <v>0</v>
      </c>
      <c r="W54" s="98">
        <f t="shared" si="43"/>
        <v>0</v>
      </c>
      <c r="X54" s="98">
        <f t="shared" si="44"/>
        <v>0</v>
      </c>
      <c r="Y54" s="98">
        <f t="shared" si="45"/>
        <v>0</v>
      </c>
      <c r="Z54" s="98">
        <f t="shared" si="46"/>
        <v>0</v>
      </c>
      <c r="AA54" s="98">
        <f t="shared" si="47"/>
        <v>0</v>
      </c>
      <c r="AB54" s="98">
        <f t="shared" si="48"/>
        <v>0</v>
      </c>
      <c r="AC54" s="98">
        <f t="shared" si="49"/>
        <v>0</v>
      </c>
      <c r="AD54" s="98">
        <f t="shared" si="50"/>
        <v>0</v>
      </c>
      <c r="AE54" s="98">
        <f t="shared" si="51"/>
        <v>0</v>
      </c>
      <c r="AF54" s="98">
        <f t="shared" si="52"/>
        <v>0</v>
      </c>
      <c r="AG54" s="98">
        <f>D293</f>
        <v>0</v>
      </c>
      <c r="AH54" s="98">
        <f t="shared" ref="AH54" si="59">D305</f>
        <v>0</v>
      </c>
      <c r="AI54" s="98">
        <f t="shared" si="55"/>
        <v>0</v>
      </c>
      <c r="AJ54" s="98">
        <f t="shared" si="56"/>
        <v>0</v>
      </c>
      <c r="AK54" s="101">
        <f t="shared" si="57"/>
        <v>0</v>
      </c>
      <c r="AL54" s="120">
        <f t="shared" si="58"/>
        <v>0</v>
      </c>
      <c r="AM54"/>
      <c r="AN54"/>
    </row>
    <row r="55" spans="1:40" x14ac:dyDescent="0.2">
      <c r="B55" s="67" t="s">
        <v>81</v>
      </c>
      <c r="C55" s="75">
        <v>702.7</v>
      </c>
      <c r="D55" s="75">
        <v>0</v>
      </c>
      <c r="L55" s="98">
        <f t="shared" ref="L55:AJ55" si="60">SUM(L43:L54)</f>
        <v>158.80000000000001</v>
      </c>
      <c r="M55" s="98">
        <f t="shared" si="60"/>
        <v>350.4</v>
      </c>
      <c r="N55" s="98">
        <f t="shared" si="60"/>
        <v>290.79999999999995</v>
      </c>
      <c r="O55" s="98">
        <f t="shared" si="60"/>
        <v>392.3</v>
      </c>
      <c r="P55" s="98">
        <f t="shared" si="60"/>
        <v>264.89999999999998</v>
      </c>
      <c r="Q55" s="98">
        <f t="shared" si="60"/>
        <v>149.39999999999998</v>
      </c>
      <c r="R55" s="98">
        <f t="shared" si="60"/>
        <v>406.40000000000003</v>
      </c>
      <c r="S55" s="98">
        <f t="shared" si="60"/>
        <v>401.09999999999997</v>
      </c>
      <c r="T55" s="98">
        <f t="shared" si="60"/>
        <v>251.90000000000003</v>
      </c>
      <c r="U55" s="98">
        <f t="shared" si="60"/>
        <v>337.59999999999997</v>
      </c>
      <c r="V55" s="98">
        <f t="shared" si="60"/>
        <v>488.29999999999995</v>
      </c>
      <c r="W55" s="98">
        <f t="shared" si="60"/>
        <v>298.69999999999993</v>
      </c>
      <c r="X55" s="98">
        <f t="shared" si="60"/>
        <v>261.59999999999997</v>
      </c>
      <c r="Y55" s="98">
        <f t="shared" si="60"/>
        <v>534.5</v>
      </c>
      <c r="Z55" s="98">
        <f t="shared" si="60"/>
        <v>372.89999999999992</v>
      </c>
      <c r="AA55" s="98">
        <f t="shared" si="60"/>
        <v>345.7</v>
      </c>
      <c r="AB55" s="98">
        <f t="shared" si="60"/>
        <v>219.69999999999996</v>
      </c>
      <c r="AC55" s="98">
        <f t="shared" si="60"/>
        <v>153.09999999999997</v>
      </c>
      <c r="AD55" s="98">
        <f t="shared" si="60"/>
        <v>320.20000000000005</v>
      </c>
      <c r="AE55" s="98">
        <f t="shared" si="60"/>
        <v>325.39999999999998</v>
      </c>
      <c r="AF55" s="98">
        <f t="shared" si="60"/>
        <v>324.89999999999998</v>
      </c>
      <c r="AG55" s="98">
        <f t="shared" si="60"/>
        <v>268.7</v>
      </c>
      <c r="AH55" s="98">
        <f t="shared" si="60"/>
        <v>210.1</v>
      </c>
      <c r="AI55" s="98">
        <f t="shared" si="60"/>
        <v>256.2</v>
      </c>
      <c r="AJ55" s="98">
        <f t="shared" si="60"/>
        <v>428.5</v>
      </c>
      <c r="AL55"/>
      <c r="AM55"/>
      <c r="AN55"/>
    </row>
    <row r="56" spans="1:40" x14ac:dyDescent="0.2">
      <c r="B56" s="67" t="s">
        <v>82</v>
      </c>
      <c r="C56" s="75">
        <v>585</v>
      </c>
      <c r="D56" s="75">
        <v>0</v>
      </c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</row>
    <row r="57" spans="1:40" x14ac:dyDescent="0.2">
      <c r="B57" s="67" t="s">
        <v>83</v>
      </c>
      <c r="C57" s="75">
        <v>317.60000000000002</v>
      </c>
      <c r="D57" s="75">
        <v>0</v>
      </c>
    </row>
    <row r="58" spans="1:40" x14ac:dyDescent="0.2">
      <c r="B58" s="67" t="s">
        <v>84</v>
      </c>
      <c r="C58" s="75">
        <v>217.1</v>
      </c>
      <c r="D58" s="75">
        <v>2.5</v>
      </c>
    </row>
    <row r="59" spans="1:40" x14ac:dyDescent="0.2">
      <c r="B59" s="67" t="s">
        <v>85</v>
      </c>
      <c r="C59" s="75">
        <v>39</v>
      </c>
      <c r="D59" s="75">
        <v>73.7</v>
      </c>
    </row>
    <row r="60" spans="1:40" x14ac:dyDescent="0.2">
      <c r="B60" s="67" t="s">
        <v>86</v>
      </c>
      <c r="C60" s="75">
        <v>0.5</v>
      </c>
      <c r="D60" s="75">
        <v>132.5</v>
      </c>
    </row>
    <row r="61" spans="1:40" x14ac:dyDescent="0.2">
      <c r="B61" s="67" t="s">
        <v>87</v>
      </c>
      <c r="C61" s="75">
        <v>20.8</v>
      </c>
      <c r="D61" s="75">
        <v>64.099999999999994</v>
      </c>
    </row>
    <row r="62" spans="1:40" x14ac:dyDescent="0.2">
      <c r="B62" s="67" t="s">
        <v>88</v>
      </c>
      <c r="C62" s="75">
        <v>75.900000000000006</v>
      </c>
      <c r="D62" s="75">
        <v>18</v>
      </c>
    </row>
    <row r="63" spans="1:40" x14ac:dyDescent="0.2">
      <c r="B63" s="67" t="s">
        <v>89</v>
      </c>
      <c r="C63" s="75">
        <v>237.2</v>
      </c>
      <c r="D63" s="75">
        <v>0</v>
      </c>
    </row>
    <row r="64" spans="1:40" x14ac:dyDescent="0.2">
      <c r="B64" s="67" t="s">
        <v>90</v>
      </c>
      <c r="C64" s="75">
        <v>345.9</v>
      </c>
      <c r="D64" s="75">
        <v>0</v>
      </c>
    </row>
    <row r="65" spans="1:4" x14ac:dyDescent="0.2">
      <c r="B65" s="67" t="s">
        <v>92</v>
      </c>
      <c r="C65" s="75">
        <v>537.1</v>
      </c>
      <c r="D65" s="75">
        <v>0</v>
      </c>
    </row>
    <row r="66" spans="1:4" x14ac:dyDescent="0.2">
      <c r="A66" s="67">
        <v>1995</v>
      </c>
      <c r="B66" s="67" t="s">
        <v>80</v>
      </c>
      <c r="C66" s="75">
        <v>606.20000000000005</v>
      </c>
      <c r="D66" s="75">
        <v>0</v>
      </c>
    </row>
    <row r="67" spans="1:4" x14ac:dyDescent="0.2">
      <c r="B67" s="67" t="s">
        <v>81</v>
      </c>
      <c r="C67" s="75">
        <v>689.3</v>
      </c>
      <c r="D67" s="75">
        <v>0</v>
      </c>
    </row>
    <row r="68" spans="1:4" x14ac:dyDescent="0.2">
      <c r="B68" s="67" t="s">
        <v>82</v>
      </c>
      <c r="C68" s="75">
        <v>489.8</v>
      </c>
      <c r="D68" s="75">
        <v>0</v>
      </c>
    </row>
    <row r="69" spans="1:4" x14ac:dyDescent="0.2">
      <c r="B69" s="67" t="s">
        <v>83</v>
      </c>
      <c r="C69" s="75">
        <v>406.1</v>
      </c>
      <c r="D69" s="75">
        <v>0</v>
      </c>
    </row>
    <row r="70" spans="1:4" x14ac:dyDescent="0.2">
      <c r="B70" s="67" t="s">
        <v>84</v>
      </c>
      <c r="C70" s="75">
        <v>155.1</v>
      </c>
      <c r="D70" s="75">
        <v>0.5</v>
      </c>
    </row>
    <row r="71" spans="1:4" x14ac:dyDescent="0.2">
      <c r="B71" s="67" t="s">
        <v>85</v>
      </c>
      <c r="C71" s="75">
        <v>18.5</v>
      </c>
      <c r="D71" s="75">
        <v>87</v>
      </c>
    </row>
    <row r="72" spans="1:4" x14ac:dyDescent="0.2">
      <c r="B72" s="67" t="s">
        <v>86</v>
      </c>
      <c r="C72" s="75">
        <v>9.4</v>
      </c>
      <c r="D72" s="75">
        <v>139.6</v>
      </c>
    </row>
    <row r="73" spans="1:4" x14ac:dyDescent="0.2">
      <c r="B73" s="67" t="s">
        <v>87</v>
      </c>
      <c r="C73" s="75">
        <v>1</v>
      </c>
      <c r="D73" s="75">
        <v>150.5</v>
      </c>
    </row>
    <row r="74" spans="1:4" x14ac:dyDescent="0.2">
      <c r="B74" s="67" t="s">
        <v>88</v>
      </c>
      <c r="C74" s="75">
        <v>95.6</v>
      </c>
      <c r="D74" s="75">
        <v>13.9</v>
      </c>
    </row>
    <row r="75" spans="1:4" x14ac:dyDescent="0.2">
      <c r="B75" s="67" t="s">
        <v>89</v>
      </c>
      <c r="C75" s="75">
        <v>193.6</v>
      </c>
      <c r="D75" s="75">
        <v>0.8</v>
      </c>
    </row>
    <row r="76" spans="1:4" x14ac:dyDescent="0.2">
      <c r="B76" s="67" t="s">
        <v>90</v>
      </c>
      <c r="C76" s="75">
        <v>481.2</v>
      </c>
      <c r="D76" s="75">
        <v>0</v>
      </c>
    </row>
    <row r="77" spans="1:4" x14ac:dyDescent="0.2">
      <c r="B77" s="67" t="s">
        <v>92</v>
      </c>
      <c r="C77" s="75">
        <v>678.6</v>
      </c>
      <c r="D77" s="75">
        <v>0</v>
      </c>
    </row>
    <row r="78" spans="1:4" x14ac:dyDescent="0.2">
      <c r="A78" s="67">
        <v>1996</v>
      </c>
      <c r="B78" s="67" t="s">
        <v>80</v>
      </c>
      <c r="C78" s="75">
        <v>727.3</v>
      </c>
      <c r="D78" s="75">
        <v>0</v>
      </c>
    </row>
    <row r="79" spans="1:4" x14ac:dyDescent="0.2">
      <c r="B79" s="67" t="s">
        <v>81</v>
      </c>
      <c r="C79" s="75">
        <v>662.7</v>
      </c>
      <c r="D79" s="75">
        <v>0</v>
      </c>
    </row>
    <row r="80" spans="1:4" x14ac:dyDescent="0.2">
      <c r="B80" s="67" t="s">
        <v>82</v>
      </c>
      <c r="C80" s="75">
        <v>623</v>
      </c>
      <c r="D80" s="75">
        <v>0</v>
      </c>
    </row>
    <row r="81" spans="1:4" x14ac:dyDescent="0.2">
      <c r="B81" s="67" t="s">
        <v>83</v>
      </c>
      <c r="C81" s="75">
        <v>380.8</v>
      </c>
      <c r="D81" s="75">
        <v>0</v>
      </c>
    </row>
    <row r="82" spans="1:4" x14ac:dyDescent="0.2">
      <c r="B82" s="67" t="s">
        <v>84</v>
      </c>
      <c r="C82" s="75">
        <v>188</v>
      </c>
      <c r="D82" s="75">
        <v>9.5</v>
      </c>
    </row>
    <row r="83" spans="1:4" x14ac:dyDescent="0.2">
      <c r="B83" s="67" t="s">
        <v>85</v>
      </c>
      <c r="C83" s="75">
        <v>14.7</v>
      </c>
      <c r="D83" s="75">
        <v>54.2</v>
      </c>
    </row>
    <row r="84" spans="1:4" x14ac:dyDescent="0.2">
      <c r="B84" s="67" t="s">
        <v>86</v>
      </c>
      <c r="C84" s="75">
        <v>10.4</v>
      </c>
      <c r="D84" s="75">
        <v>77.5</v>
      </c>
    </row>
    <row r="85" spans="1:4" x14ac:dyDescent="0.2">
      <c r="B85" s="67" t="s">
        <v>87</v>
      </c>
      <c r="C85" s="75">
        <v>1.2</v>
      </c>
      <c r="D85" s="75">
        <v>93.7</v>
      </c>
    </row>
    <row r="86" spans="1:4" x14ac:dyDescent="0.2">
      <c r="B86" s="67" t="s">
        <v>88</v>
      </c>
      <c r="C86" s="75">
        <v>75.099999999999994</v>
      </c>
      <c r="D86" s="75">
        <v>29.2</v>
      </c>
    </row>
    <row r="87" spans="1:4" x14ac:dyDescent="0.2">
      <c r="B87" s="67" t="s">
        <v>89</v>
      </c>
      <c r="C87" s="75">
        <v>248.9</v>
      </c>
      <c r="D87" s="75">
        <v>0.8</v>
      </c>
    </row>
    <row r="88" spans="1:4" x14ac:dyDescent="0.2">
      <c r="B88" s="67" t="s">
        <v>90</v>
      </c>
      <c r="C88" s="75">
        <v>531.1</v>
      </c>
      <c r="D88" s="75">
        <v>0</v>
      </c>
    </row>
    <row r="89" spans="1:4" x14ac:dyDescent="0.2">
      <c r="B89" s="67" t="s">
        <v>92</v>
      </c>
      <c r="C89" s="75">
        <v>567.6</v>
      </c>
      <c r="D89" s="75">
        <v>0</v>
      </c>
    </row>
    <row r="90" spans="1:4" x14ac:dyDescent="0.2">
      <c r="A90" s="67">
        <v>1997</v>
      </c>
      <c r="B90" s="67" t="s">
        <v>80</v>
      </c>
      <c r="C90" s="75">
        <v>741.1</v>
      </c>
      <c r="D90" s="75">
        <v>0</v>
      </c>
    </row>
    <row r="91" spans="1:4" x14ac:dyDescent="0.2">
      <c r="B91" s="67" t="s">
        <v>81</v>
      </c>
      <c r="C91" s="75">
        <v>571.70000000000005</v>
      </c>
      <c r="D91" s="75">
        <v>0</v>
      </c>
    </row>
    <row r="92" spans="1:4" x14ac:dyDescent="0.2">
      <c r="B92" s="67" t="s">
        <v>82</v>
      </c>
      <c r="C92" s="75">
        <v>574.1</v>
      </c>
      <c r="D92" s="75">
        <v>0</v>
      </c>
    </row>
    <row r="93" spans="1:4" x14ac:dyDescent="0.2">
      <c r="B93" s="67" t="s">
        <v>83</v>
      </c>
      <c r="C93" s="75">
        <v>411.3</v>
      </c>
      <c r="D93" s="75">
        <v>0</v>
      </c>
    </row>
    <row r="94" spans="1:4" x14ac:dyDescent="0.2">
      <c r="B94" s="67" t="s">
        <v>84</v>
      </c>
      <c r="C94" s="75">
        <v>279.89999999999998</v>
      </c>
      <c r="D94" s="75">
        <v>0</v>
      </c>
    </row>
    <row r="95" spans="1:4" x14ac:dyDescent="0.2">
      <c r="B95" s="67" t="s">
        <v>85</v>
      </c>
      <c r="C95" s="75">
        <v>35.299999999999997</v>
      </c>
      <c r="D95" s="75">
        <v>37.4</v>
      </c>
    </row>
    <row r="96" spans="1:4" x14ac:dyDescent="0.2">
      <c r="B96" s="67" t="s">
        <v>86</v>
      </c>
      <c r="C96" s="75">
        <v>16.3</v>
      </c>
      <c r="D96" s="75">
        <v>66.3</v>
      </c>
    </row>
    <row r="97" spans="1:5" x14ac:dyDescent="0.2">
      <c r="B97" s="67" t="s">
        <v>87</v>
      </c>
      <c r="C97" s="75">
        <v>21.2</v>
      </c>
      <c r="D97" s="75">
        <v>38</v>
      </c>
    </row>
    <row r="98" spans="1:5" x14ac:dyDescent="0.2">
      <c r="B98" s="67" t="s">
        <v>88</v>
      </c>
      <c r="C98" s="75">
        <v>103.4</v>
      </c>
      <c r="D98" s="75">
        <v>7.2</v>
      </c>
    </row>
    <row r="99" spans="1:5" x14ac:dyDescent="0.2">
      <c r="B99" s="67" t="s">
        <v>89</v>
      </c>
      <c r="C99" s="75">
        <v>272.60000000000002</v>
      </c>
      <c r="D99" s="75">
        <v>0.5</v>
      </c>
    </row>
    <row r="100" spans="1:5" x14ac:dyDescent="0.2">
      <c r="B100" s="67" t="s">
        <v>90</v>
      </c>
      <c r="C100" s="75">
        <v>478.7</v>
      </c>
      <c r="D100" s="75">
        <v>0</v>
      </c>
    </row>
    <row r="101" spans="1:5" x14ac:dyDescent="0.2">
      <c r="B101" s="67" t="s">
        <v>92</v>
      </c>
      <c r="C101" s="75">
        <v>571.5</v>
      </c>
      <c r="D101" s="75">
        <v>0</v>
      </c>
    </row>
    <row r="102" spans="1:5" x14ac:dyDescent="0.2">
      <c r="A102" s="67">
        <v>1998</v>
      </c>
      <c r="B102" s="67" t="s">
        <v>80</v>
      </c>
      <c r="C102" s="75">
        <v>576.6</v>
      </c>
      <c r="D102" s="75">
        <v>0</v>
      </c>
    </row>
    <row r="103" spans="1:5" x14ac:dyDescent="0.2">
      <c r="B103" s="67" t="s">
        <v>81</v>
      </c>
      <c r="C103" s="75">
        <v>469.6</v>
      </c>
      <c r="D103" s="75">
        <v>0</v>
      </c>
      <c r="E103" s="71"/>
    </row>
    <row r="104" spans="1:5" x14ac:dyDescent="0.2">
      <c r="B104" s="67" t="s">
        <v>82</v>
      </c>
      <c r="C104" s="75">
        <v>462.6</v>
      </c>
      <c r="D104" s="75">
        <v>0.8</v>
      </c>
    </row>
    <row r="105" spans="1:5" x14ac:dyDescent="0.2">
      <c r="B105" s="67" t="s">
        <v>83</v>
      </c>
      <c r="C105" s="75">
        <v>272.60000000000002</v>
      </c>
      <c r="D105" s="75">
        <v>0</v>
      </c>
    </row>
    <row r="106" spans="1:5" x14ac:dyDescent="0.2">
      <c r="B106" s="67" t="s">
        <v>84</v>
      </c>
      <c r="C106" s="75">
        <v>51.3</v>
      </c>
      <c r="D106" s="75">
        <v>27.9</v>
      </c>
    </row>
    <row r="107" spans="1:5" x14ac:dyDescent="0.2">
      <c r="B107" s="67" t="s">
        <v>85</v>
      </c>
      <c r="C107" s="75">
        <v>57.7</v>
      </c>
      <c r="D107" s="75">
        <v>85.6</v>
      </c>
    </row>
    <row r="108" spans="1:5" x14ac:dyDescent="0.2">
      <c r="B108" s="67" t="s">
        <v>86</v>
      </c>
      <c r="C108" s="75">
        <v>0.2</v>
      </c>
      <c r="D108" s="75">
        <v>102.2</v>
      </c>
    </row>
    <row r="109" spans="1:5" x14ac:dyDescent="0.2">
      <c r="B109" s="67" t="s">
        <v>87</v>
      </c>
      <c r="C109" s="75">
        <v>4</v>
      </c>
      <c r="D109" s="75">
        <v>136.6</v>
      </c>
    </row>
    <row r="110" spans="1:5" x14ac:dyDescent="0.2">
      <c r="B110" s="67" t="s">
        <v>88</v>
      </c>
      <c r="C110" s="75">
        <v>36.9</v>
      </c>
      <c r="D110" s="75">
        <v>51.3</v>
      </c>
    </row>
    <row r="111" spans="1:5" x14ac:dyDescent="0.2">
      <c r="B111" s="67" t="s">
        <v>89</v>
      </c>
      <c r="C111" s="75">
        <v>196.4</v>
      </c>
      <c r="D111" s="75">
        <v>2</v>
      </c>
    </row>
    <row r="112" spans="1:5" x14ac:dyDescent="0.2">
      <c r="B112" s="67" t="s">
        <v>90</v>
      </c>
      <c r="C112" s="75">
        <v>363.3</v>
      </c>
      <c r="D112" s="75">
        <v>0</v>
      </c>
    </row>
    <row r="113" spans="1:7" x14ac:dyDescent="0.2">
      <c r="B113" s="67" t="s">
        <v>92</v>
      </c>
      <c r="C113" s="75">
        <v>502.2</v>
      </c>
      <c r="D113" s="75">
        <v>0</v>
      </c>
    </row>
    <row r="114" spans="1:7" x14ac:dyDescent="0.2">
      <c r="A114" s="67">
        <v>1999</v>
      </c>
      <c r="B114" s="67" t="s">
        <v>80</v>
      </c>
      <c r="C114" s="75">
        <v>627.6</v>
      </c>
      <c r="D114" s="75">
        <v>0</v>
      </c>
    </row>
    <row r="115" spans="1:7" x14ac:dyDescent="0.2">
      <c r="B115" s="67" t="s">
        <v>81</v>
      </c>
      <c r="C115" s="75">
        <v>512.9</v>
      </c>
      <c r="D115" s="75">
        <v>0</v>
      </c>
    </row>
    <row r="116" spans="1:7" x14ac:dyDescent="0.2">
      <c r="B116" s="67" t="s">
        <v>82</v>
      </c>
      <c r="C116" s="75">
        <v>516.4</v>
      </c>
      <c r="D116" s="75">
        <v>0</v>
      </c>
    </row>
    <row r="117" spans="1:7" x14ac:dyDescent="0.2">
      <c r="B117" s="67" t="s">
        <v>83</v>
      </c>
      <c r="C117" s="75">
        <v>284</v>
      </c>
      <c r="D117" s="75">
        <v>0</v>
      </c>
    </row>
    <row r="118" spans="1:7" x14ac:dyDescent="0.2">
      <c r="B118" s="67" t="s">
        <v>84</v>
      </c>
      <c r="C118" s="75">
        <v>87.4</v>
      </c>
      <c r="D118" s="75">
        <v>16.600000000000001</v>
      </c>
    </row>
    <row r="119" spans="1:7" x14ac:dyDescent="0.2">
      <c r="B119" s="67" t="s">
        <v>85</v>
      </c>
      <c r="C119" s="75">
        <v>25.6</v>
      </c>
      <c r="D119" s="75">
        <v>99.8</v>
      </c>
    </row>
    <row r="120" spans="1:7" x14ac:dyDescent="0.2">
      <c r="B120" s="67" t="s">
        <v>86</v>
      </c>
      <c r="C120" s="75">
        <v>1.2</v>
      </c>
      <c r="D120" s="75">
        <v>178.1</v>
      </c>
    </row>
    <row r="121" spans="1:7" x14ac:dyDescent="0.2">
      <c r="B121" s="67" t="s">
        <v>87</v>
      </c>
      <c r="C121" s="75">
        <v>11.5</v>
      </c>
      <c r="D121" s="75">
        <v>63.7</v>
      </c>
    </row>
    <row r="122" spans="1:7" x14ac:dyDescent="0.2">
      <c r="B122" s="67" t="s">
        <v>88</v>
      </c>
      <c r="C122" s="75">
        <v>57.9</v>
      </c>
      <c r="D122" s="75">
        <v>42.9</v>
      </c>
    </row>
    <row r="123" spans="1:7" x14ac:dyDescent="0.2">
      <c r="B123" s="67" t="s">
        <v>89</v>
      </c>
      <c r="C123" s="75">
        <v>257.60000000000002</v>
      </c>
      <c r="D123" s="75">
        <v>0</v>
      </c>
    </row>
    <row r="124" spans="1:7" x14ac:dyDescent="0.2">
      <c r="B124" s="67" t="s">
        <v>90</v>
      </c>
      <c r="C124" s="75">
        <v>356.8</v>
      </c>
      <c r="D124" s="75">
        <v>0</v>
      </c>
    </row>
    <row r="125" spans="1:7" x14ac:dyDescent="0.2">
      <c r="B125" s="67" t="s">
        <v>92</v>
      </c>
      <c r="C125" s="75">
        <v>548.20000000000005</v>
      </c>
      <c r="D125" s="75">
        <v>0</v>
      </c>
    </row>
    <row r="126" spans="1:7" x14ac:dyDescent="0.2">
      <c r="A126" s="67">
        <v>2000</v>
      </c>
      <c r="B126" s="67" t="s">
        <v>80</v>
      </c>
      <c r="C126" s="75">
        <v>701.1</v>
      </c>
      <c r="D126" s="75">
        <v>0</v>
      </c>
      <c r="G126" s="77"/>
    </row>
    <row r="127" spans="1:7" x14ac:dyDescent="0.2">
      <c r="B127" s="67" t="s">
        <v>81</v>
      </c>
      <c r="C127" s="75">
        <v>609.79999999999995</v>
      </c>
      <c r="D127" s="75">
        <v>0</v>
      </c>
    </row>
    <row r="128" spans="1:7" x14ac:dyDescent="0.2">
      <c r="B128" s="67" t="s">
        <v>82</v>
      </c>
      <c r="C128" s="75">
        <v>439.4</v>
      </c>
      <c r="D128" s="75">
        <v>0</v>
      </c>
    </row>
    <row r="129" spans="1:8" x14ac:dyDescent="0.2">
      <c r="B129" s="67" t="s">
        <v>83</v>
      </c>
      <c r="C129" s="75">
        <v>334.7</v>
      </c>
      <c r="D129" s="75">
        <v>0</v>
      </c>
    </row>
    <row r="130" spans="1:8" x14ac:dyDescent="0.2">
      <c r="B130" s="67" t="s">
        <v>84</v>
      </c>
      <c r="C130" s="75">
        <v>129.80000000000001</v>
      </c>
      <c r="D130" s="75">
        <v>12.5</v>
      </c>
    </row>
    <row r="131" spans="1:8" x14ac:dyDescent="0.2">
      <c r="B131" s="67" t="s">
        <v>85</v>
      </c>
      <c r="C131" s="75">
        <v>35.799999999999997</v>
      </c>
      <c r="D131" s="75">
        <v>53.2</v>
      </c>
    </row>
    <row r="132" spans="1:8" x14ac:dyDescent="0.2">
      <c r="B132" s="67" t="s">
        <v>86</v>
      </c>
      <c r="C132" s="75">
        <v>8.9</v>
      </c>
      <c r="D132" s="75">
        <v>70.400000000000006</v>
      </c>
    </row>
    <row r="133" spans="1:8" x14ac:dyDescent="0.2">
      <c r="B133" s="67" t="s">
        <v>87</v>
      </c>
      <c r="C133" s="75">
        <v>9.8000000000000007</v>
      </c>
      <c r="D133" s="75">
        <v>76.400000000000006</v>
      </c>
    </row>
    <row r="134" spans="1:8" x14ac:dyDescent="0.2">
      <c r="B134" s="67" t="s">
        <v>88</v>
      </c>
      <c r="C134" s="75">
        <v>94.7</v>
      </c>
      <c r="D134" s="75">
        <v>39.4</v>
      </c>
    </row>
    <row r="135" spans="1:8" x14ac:dyDescent="0.2">
      <c r="B135" s="67" t="s">
        <v>89</v>
      </c>
      <c r="C135" s="75">
        <v>210.8</v>
      </c>
      <c r="D135" s="75">
        <v>0</v>
      </c>
    </row>
    <row r="136" spans="1:8" x14ac:dyDescent="0.2">
      <c r="B136" s="67" t="s">
        <v>90</v>
      </c>
      <c r="C136" s="75">
        <v>416.5</v>
      </c>
      <c r="D136" s="75">
        <v>0</v>
      </c>
    </row>
    <row r="137" spans="1:8" x14ac:dyDescent="0.2">
      <c r="B137" s="67" t="s">
        <v>92</v>
      </c>
      <c r="C137" s="75">
        <v>761.5</v>
      </c>
      <c r="D137" s="75">
        <v>0</v>
      </c>
    </row>
    <row r="138" spans="1:8" x14ac:dyDescent="0.2">
      <c r="A138" s="67">
        <v>2001</v>
      </c>
      <c r="B138" s="67" t="s">
        <v>80</v>
      </c>
      <c r="C138" s="75">
        <v>645.19999999999993</v>
      </c>
      <c r="D138" s="75">
        <v>0</v>
      </c>
      <c r="G138" s="77"/>
      <c r="H138" s="77"/>
    </row>
    <row r="139" spans="1:8" x14ac:dyDescent="0.2">
      <c r="B139" s="67" t="s">
        <v>81</v>
      </c>
      <c r="C139" s="75">
        <v>558.29999999999995</v>
      </c>
      <c r="D139" s="75">
        <v>0</v>
      </c>
    </row>
    <row r="140" spans="1:8" x14ac:dyDescent="0.2">
      <c r="B140" s="67" t="s">
        <v>82</v>
      </c>
      <c r="C140" s="75">
        <v>561.60000000000014</v>
      </c>
      <c r="D140" s="75">
        <v>0</v>
      </c>
    </row>
    <row r="141" spans="1:8" x14ac:dyDescent="0.2">
      <c r="B141" s="67" t="s">
        <v>83</v>
      </c>
      <c r="C141" s="75">
        <v>278.09999999999991</v>
      </c>
      <c r="D141" s="75">
        <v>1.8</v>
      </c>
    </row>
    <row r="142" spans="1:8" x14ac:dyDescent="0.2">
      <c r="B142" s="67" t="s">
        <v>84</v>
      </c>
      <c r="C142" s="75">
        <v>119.50000000000001</v>
      </c>
      <c r="D142" s="75">
        <v>0.8</v>
      </c>
    </row>
    <row r="143" spans="1:8" x14ac:dyDescent="0.2">
      <c r="B143" s="67" t="s">
        <v>85</v>
      </c>
      <c r="C143" s="75">
        <v>35.6</v>
      </c>
      <c r="D143" s="75">
        <v>71.099999999999994</v>
      </c>
    </row>
    <row r="144" spans="1:8" x14ac:dyDescent="0.2">
      <c r="B144" s="67" t="s">
        <v>86</v>
      </c>
      <c r="C144" s="75">
        <v>11.399999999999999</v>
      </c>
      <c r="D144" s="75">
        <v>89.999999999999986</v>
      </c>
    </row>
    <row r="145" spans="1:11" x14ac:dyDescent="0.2">
      <c r="B145" s="67" t="s">
        <v>87</v>
      </c>
      <c r="C145" s="75">
        <v>0</v>
      </c>
      <c r="D145" s="75">
        <v>137.5</v>
      </c>
    </row>
    <row r="146" spans="1:11" x14ac:dyDescent="0.2">
      <c r="B146" s="67" t="s">
        <v>88</v>
      </c>
      <c r="C146" s="75">
        <v>71.400000000000006</v>
      </c>
      <c r="D146" s="75">
        <v>32.700000000000003</v>
      </c>
    </row>
    <row r="147" spans="1:11" x14ac:dyDescent="0.2">
      <c r="B147" s="67" t="s">
        <v>89</v>
      </c>
      <c r="C147" s="75">
        <v>209.49999999999997</v>
      </c>
      <c r="D147" s="75">
        <v>3.7</v>
      </c>
    </row>
    <row r="148" spans="1:11" x14ac:dyDescent="0.2">
      <c r="B148" s="67" t="s">
        <v>90</v>
      </c>
      <c r="C148" s="75">
        <v>303.99999999999994</v>
      </c>
      <c r="D148" s="75">
        <v>0</v>
      </c>
    </row>
    <row r="149" spans="1:11" x14ac:dyDescent="0.2">
      <c r="B149" s="67" t="s">
        <v>92</v>
      </c>
      <c r="C149" s="75">
        <v>502.90000000000003</v>
      </c>
      <c r="D149" s="75">
        <v>0</v>
      </c>
      <c r="J149" s="67">
        <f>SUM(G138:G149)</f>
        <v>0</v>
      </c>
      <c r="K149" s="67">
        <f>SUM(H138:H149)</f>
        <v>0</v>
      </c>
    </row>
    <row r="150" spans="1:11" x14ac:dyDescent="0.2">
      <c r="A150" s="67">
        <v>2002</v>
      </c>
      <c r="B150" s="67" t="s">
        <v>80</v>
      </c>
      <c r="C150" s="75">
        <v>558.79999999999984</v>
      </c>
      <c r="D150" s="75">
        <v>0</v>
      </c>
      <c r="G150" s="77"/>
      <c r="H150" s="77"/>
    </row>
    <row r="151" spans="1:11" x14ac:dyDescent="0.2">
      <c r="B151" s="67" t="s">
        <v>81</v>
      </c>
      <c r="C151" s="75">
        <v>518.9</v>
      </c>
      <c r="D151" s="75">
        <v>0</v>
      </c>
    </row>
    <row r="152" spans="1:11" x14ac:dyDescent="0.2">
      <c r="B152" s="67" t="s">
        <v>82</v>
      </c>
      <c r="C152" s="75">
        <v>512.29999999999995</v>
      </c>
      <c r="D152" s="75">
        <v>0</v>
      </c>
    </row>
    <row r="153" spans="1:11" x14ac:dyDescent="0.2">
      <c r="B153" s="67" t="s">
        <v>83</v>
      </c>
      <c r="C153" s="75">
        <v>306.79999999999995</v>
      </c>
      <c r="D153" s="75">
        <v>5.0999999999999996</v>
      </c>
    </row>
    <row r="154" spans="1:11" x14ac:dyDescent="0.2">
      <c r="B154" s="67" t="s">
        <v>84</v>
      </c>
      <c r="C154" s="75">
        <v>220.39999999999998</v>
      </c>
      <c r="D154" s="75">
        <v>8.8000000000000007</v>
      </c>
    </row>
    <row r="155" spans="1:11" x14ac:dyDescent="0.2">
      <c r="B155" s="67" t="s">
        <v>85</v>
      </c>
      <c r="C155" s="75">
        <v>26.999999999999996</v>
      </c>
      <c r="D155" s="75">
        <v>74.699999999999989</v>
      </c>
    </row>
    <row r="156" spans="1:11" x14ac:dyDescent="0.2">
      <c r="B156" s="67" t="s">
        <v>86</v>
      </c>
      <c r="C156" s="75">
        <v>0.7</v>
      </c>
      <c r="D156" s="75">
        <v>169.20000000000002</v>
      </c>
    </row>
    <row r="157" spans="1:11" x14ac:dyDescent="0.2">
      <c r="B157" s="67" t="s">
        <v>87</v>
      </c>
      <c r="C157" s="75">
        <v>0.5</v>
      </c>
      <c r="D157" s="75">
        <v>141.59999999999997</v>
      </c>
    </row>
    <row r="158" spans="1:11" x14ac:dyDescent="0.2">
      <c r="B158" s="67" t="s">
        <v>88</v>
      </c>
      <c r="C158" s="75">
        <v>21.3</v>
      </c>
      <c r="D158" s="75">
        <v>77.299999999999983</v>
      </c>
    </row>
    <row r="159" spans="1:11" x14ac:dyDescent="0.2">
      <c r="B159" s="67" t="s">
        <v>89</v>
      </c>
      <c r="C159" s="75">
        <v>259.89999999999998</v>
      </c>
      <c r="D159" s="75">
        <v>11.600000000000001</v>
      </c>
    </row>
    <row r="160" spans="1:11" x14ac:dyDescent="0.2">
      <c r="B160" s="67" t="s">
        <v>90</v>
      </c>
      <c r="C160" s="75">
        <v>412.89999999999992</v>
      </c>
      <c r="D160" s="75">
        <v>0</v>
      </c>
    </row>
    <row r="161" spans="1:11" x14ac:dyDescent="0.2">
      <c r="B161" s="67" t="s">
        <v>92</v>
      </c>
      <c r="C161" s="75">
        <v>610.90000000000009</v>
      </c>
      <c r="D161" s="75">
        <v>0</v>
      </c>
      <c r="J161" s="67">
        <f>SUM(G150:G161)</f>
        <v>0</v>
      </c>
      <c r="K161" s="67">
        <f>SUM(H150:H161)</f>
        <v>0</v>
      </c>
    </row>
    <row r="162" spans="1:11" x14ac:dyDescent="0.2">
      <c r="A162" s="67">
        <v>2003</v>
      </c>
      <c r="B162" s="67" t="s">
        <v>80</v>
      </c>
      <c r="C162" s="75">
        <v>781.49999999999977</v>
      </c>
      <c r="D162" s="75">
        <v>0</v>
      </c>
      <c r="G162" s="77"/>
      <c r="H162" s="77"/>
    </row>
    <row r="163" spans="1:11" x14ac:dyDescent="0.2">
      <c r="B163" s="67" t="s">
        <v>81</v>
      </c>
      <c r="C163" s="75">
        <v>681.19999999999993</v>
      </c>
      <c r="D163" s="75">
        <v>0</v>
      </c>
    </row>
    <row r="164" spans="1:11" x14ac:dyDescent="0.2">
      <c r="B164" s="67" t="s">
        <v>82</v>
      </c>
      <c r="C164" s="75">
        <v>529.79999999999995</v>
      </c>
      <c r="D164" s="75">
        <v>0</v>
      </c>
    </row>
    <row r="165" spans="1:11" x14ac:dyDescent="0.2">
      <c r="B165" s="67" t="s">
        <v>83</v>
      </c>
      <c r="C165" s="75">
        <v>360.39999999999992</v>
      </c>
      <c r="D165" s="75">
        <v>0</v>
      </c>
    </row>
    <row r="166" spans="1:11" x14ac:dyDescent="0.2">
      <c r="B166" s="67" t="s">
        <v>84</v>
      </c>
      <c r="C166" s="75">
        <v>149.20000000000002</v>
      </c>
      <c r="D166" s="75">
        <v>0</v>
      </c>
    </row>
    <row r="167" spans="1:11" x14ac:dyDescent="0.2">
      <c r="B167" s="67" t="s">
        <v>85</v>
      </c>
      <c r="C167" s="75">
        <v>33.199999999999996</v>
      </c>
      <c r="D167" s="75">
        <v>35.6</v>
      </c>
    </row>
    <row r="168" spans="1:11" x14ac:dyDescent="0.2">
      <c r="B168" s="67" t="s">
        <v>86</v>
      </c>
      <c r="C168" s="75">
        <v>0.7</v>
      </c>
      <c r="D168" s="75">
        <v>105.29999999999997</v>
      </c>
    </row>
    <row r="169" spans="1:11" x14ac:dyDescent="0.2">
      <c r="B169" s="67" t="s">
        <v>87</v>
      </c>
      <c r="C169" s="75">
        <v>4.2</v>
      </c>
      <c r="D169" s="75">
        <v>127.79999999999997</v>
      </c>
    </row>
    <row r="170" spans="1:11" x14ac:dyDescent="0.2">
      <c r="B170" s="67" t="s">
        <v>88</v>
      </c>
      <c r="C170" s="75">
        <v>51.1</v>
      </c>
      <c r="D170" s="75">
        <v>29.000000000000004</v>
      </c>
    </row>
    <row r="171" spans="1:11" x14ac:dyDescent="0.2">
      <c r="B171" s="67" t="s">
        <v>89</v>
      </c>
      <c r="C171" s="75">
        <v>263.59999999999997</v>
      </c>
      <c r="D171" s="75">
        <v>1</v>
      </c>
    </row>
    <row r="172" spans="1:11" x14ac:dyDescent="0.2">
      <c r="B172" s="67" t="s">
        <v>90</v>
      </c>
      <c r="C172" s="75">
        <v>352.09999999999991</v>
      </c>
      <c r="D172" s="75">
        <v>0</v>
      </c>
    </row>
    <row r="173" spans="1:11" x14ac:dyDescent="0.2">
      <c r="B173" s="67" t="s">
        <v>92</v>
      </c>
      <c r="C173" s="75">
        <v>531.20000000000005</v>
      </c>
      <c r="D173" s="75">
        <v>0</v>
      </c>
      <c r="J173" s="67">
        <f>SUM(G162:G173)</f>
        <v>0</v>
      </c>
      <c r="K173" s="67">
        <f>SUM(H162:H173)</f>
        <v>0</v>
      </c>
    </row>
    <row r="174" spans="1:11" x14ac:dyDescent="0.2">
      <c r="A174" s="67">
        <v>2004</v>
      </c>
      <c r="B174" s="67" t="s">
        <v>80</v>
      </c>
      <c r="C174" s="75">
        <v>805.39999999999986</v>
      </c>
      <c r="D174" s="75">
        <v>0</v>
      </c>
      <c r="G174" s="77"/>
      <c r="H174" s="77"/>
    </row>
    <row r="175" spans="1:11" x14ac:dyDescent="0.2">
      <c r="B175" s="67" t="s">
        <v>81</v>
      </c>
      <c r="C175" s="75">
        <v>616.79999999999995</v>
      </c>
      <c r="D175" s="75">
        <v>0</v>
      </c>
    </row>
    <row r="176" spans="1:11" x14ac:dyDescent="0.2">
      <c r="B176" s="67" t="s">
        <v>82</v>
      </c>
      <c r="C176" s="75">
        <v>478.59999999999997</v>
      </c>
      <c r="D176" s="75">
        <v>0</v>
      </c>
    </row>
    <row r="177" spans="1:11" x14ac:dyDescent="0.2">
      <c r="B177" s="67" t="s">
        <v>83</v>
      </c>
      <c r="C177" s="75">
        <v>302.89999999999992</v>
      </c>
      <c r="D177" s="75">
        <v>0.8</v>
      </c>
    </row>
    <row r="178" spans="1:11" x14ac:dyDescent="0.2">
      <c r="B178" s="67" t="s">
        <v>84</v>
      </c>
      <c r="C178" s="75">
        <v>117.30000000000003</v>
      </c>
      <c r="D178" s="75">
        <v>17.100000000000001</v>
      </c>
    </row>
    <row r="179" spans="1:11" x14ac:dyDescent="0.2">
      <c r="B179" s="67" t="s">
        <v>85</v>
      </c>
      <c r="C179" s="75">
        <v>47</v>
      </c>
      <c r="D179" s="75">
        <v>41.999999999999986</v>
      </c>
    </row>
    <row r="180" spans="1:11" x14ac:dyDescent="0.2">
      <c r="B180" s="67" t="s">
        <v>86</v>
      </c>
      <c r="C180" s="75">
        <v>0.89999999999999991</v>
      </c>
      <c r="D180" s="75">
        <v>93.09999999999998</v>
      </c>
    </row>
    <row r="181" spans="1:11" x14ac:dyDescent="0.2">
      <c r="B181" s="67" t="s">
        <v>87</v>
      </c>
      <c r="C181" s="75">
        <v>11.7</v>
      </c>
      <c r="D181" s="75">
        <v>61.599999999999994</v>
      </c>
    </row>
    <row r="182" spans="1:11" x14ac:dyDescent="0.2">
      <c r="B182" s="67" t="s">
        <v>88</v>
      </c>
      <c r="C182" s="75">
        <v>27.7</v>
      </c>
      <c r="D182" s="75">
        <v>46.699999999999996</v>
      </c>
    </row>
    <row r="183" spans="1:11" x14ac:dyDescent="0.2">
      <c r="B183" s="67" t="s">
        <v>89</v>
      </c>
      <c r="C183" s="75">
        <v>208.99999999999994</v>
      </c>
      <c r="D183" s="75">
        <v>0.3</v>
      </c>
    </row>
    <row r="184" spans="1:11" x14ac:dyDescent="0.2">
      <c r="B184" s="67" t="s">
        <v>90</v>
      </c>
      <c r="C184" s="75">
        <v>364.79999999999995</v>
      </c>
      <c r="D184" s="75">
        <v>0</v>
      </c>
    </row>
    <row r="185" spans="1:11" x14ac:dyDescent="0.2">
      <c r="B185" s="67" t="s">
        <v>92</v>
      </c>
      <c r="C185" s="75">
        <v>590.80000000000007</v>
      </c>
      <c r="D185" s="75">
        <v>0</v>
      </c>
      <c r="J185" s="67">
        <f>SUM(G174:G185)</f>
        <v>0</v>
      </c>
      <c r="K185" s="67">
        <f>SUM(H174:H185)</f>
        <v>0</v>
      </c>
    </row>
    <row r="186" spans="1:11" x14ac:dyDescent="0.2">
      <c r="A186" s="67">
        <v>2005</v>
      </c>
      <c r="B186" s="67" t="s">
        <v>80</v>
      </c>
      <c r="C186" s="75">
        <v>716.69999999999982</v>
      </c>
      <c r="D186" s="75">
        <v>0</v>
      </c>
      <c r="G186" s="77"/>
      <c r="H186" s="77"/>
    </row>
    <row r="187" spans="1:11" x14ac:dyDescent="0.2">
      <c r="B187" s="67" t="s">
        <v>81</v>
      </c>
      <c r="C187" s="75">
        <v>594.69999999999993</v>
      </c>
      <c r="D187" s="75">
        <v>0</v>
      </c>
    </row>
    <row r="188" spans="1:11" x14ac:dyDescent="0.2">
      <c r="B188" s="67" t="s">
        <v>82</v>
      </c>
      <c r="C188" s="75">
        <v>591.40000000000009</v>
      </c>
      <c r="D188" s="75">
        <v>0</v>
      </c>
    </row>
    <row r="189" spans="1:11" x14ac:dyDescent="0.2">
      <c r="B189" s="67" t="s">
        <v>83</v>
      </c>
      <c r="C189" s="75">
        <v>303.49999999999989</v>
      </c>
      <c r="D189" s="75">
        <v>0</v>
      </c>
    </row>
    <row r="190" spans="1:11" x14ac:dyDescent="0.2">
      <c r="B190" s="67" t="s">
        <v>84</v>
      </c>
      <c r="C190" s="75">
        <v>178.59999999999991</v>
      </c>
      <c r="D190" s="75">
        <v>0</v>
      </c>
    </row>
    <row r="191" spans="1:11" x14ac:dyDescent="0.2">
      <c r="B191" s="67" t="s">
        <v>85</v>
      </c>
      <c r="C191" s="75">
        <v>5.7</v>
      </c>
      <c r="D191" s="75">
        <v>141.19999999999999</v>
      </c>
    </row>
    <row r="192" spans="1:11" x14ac:dyDescent="0.2">
      <c r="B192" s="67" t="s">
        <v>86</v>
      </c>
      <c r="C192" s="75">
        <v>0</v>
      </c>
      <c r="D192" s="75">
        <v>190.70000000000005</v>
      </c>
    </row>
    <row r="193" spans="1:11" x14ac:dyDescent="0.2">
      <c r="B193" s="67" t="s">
        <v>87</v>
      </c>
      <c r="C193" s="75">
        <v>0.7</v>
      </c>
      <c r="D193" s="75">
        <v>144.1</v>
      </c>
    </row>
    <row r="194" spans="1:11" x14ac:dyDescent="0.2">
      <c r="B194" s="67" t="s">
        <v>88</v>
      </c>
      <c r="C194" s="75">
        <v>20.399999999999999</v>
      </c>
      <c r="D194" s="75">
        <v>49.79999999999999</v>
      </c>
    </row>
    <row r="195" spans="1:11" x14ac:dyDescent="0.2">
      <c r="B195" s="67" t="s">
        <v>89</v>
      </c>
      <c r="C195" s="75">
        <v>212.19999999999996</v>
      </c>
      <c r="D195" s="75">
        <v>8.6999999999999993</v>
      </c>
    </row>
    <row r="196" spans="1:11" x14ac:dyDescent="0.2">
      <c r="B196" s="67" t="s">
        <v>90</v>
      </c>
      <c r="C196" s="75">
        <v>361.1</v>
      </c>
      <c r="D196" s="75">
        <v>0</v>
      </c>
    </row>
    <row r="197" spans="1:11" x14ac:dyDescent="0.2">
      <c r="B197" s="67" t="s">
        <v>92</v>
      </c>
      <c r="C197" s="75">
        <v>651.50000000000034</v>
      </c>
      <c r="D197" s="75">
        <v>0</v>
      </c>
      <c r="J197" s="67">
        <f>SUM(G186:G197)</f>
        <v>0</v>
      </c>
      <c r="K197" s="67">
        <f>SUM(H186:H197)</f>
        <v>0</v>
      </c>
    </row>
    <row r="198" spans="1:11" x14ac:dyDescent="0.2">
      <c r="A198" s="67">
        <v>2006</v>
      </c>
      <c r="B198" s="67" t="s">
        <v>80</v>
      </c>
      <c r="C198" s="75">
        <v>524.29999999999995</v>
      </c>
      <c r="D198" s="75">
        <v>0</v>
      </c>
      <c r="G198" s="77"/>
      <c r="H198" s="77"/>
    </row>
    <row r="199" spans="1:11" x14ac:dyDescent="0.2">
      <c r="B199" s="67" t="s">
        <v>81</v>
      </c>
      <c r="C199" s="75">
        <v>570.29999999999995</v>
      </c>
      <c r="D199" s="75">
        <v>0</v>
      </c>
    </row>
    <row r="200" spans="1:11" x14ac:dyDescent="0.2">
      <c r="B200" s="67" t="s">
        <v>82</v>
      </c>
      <c r="C200" s="75">
        <v>514.6</v>
      </c>
      <c r="D200" s="75">
        <v>0</v>
      </c>
    </row>
    <row r="201" spans="1:11" x14ac:dyDescent="0.2">
      <c r="B201" s="67" t="s">
        <v>83</v>
      </c>
      <c r="C201" s="75">
        <v>269.99999999999994</v>
      </c>
      <c r="D201" s="75">
        <v>0</v>
      </c>
    </row>
    <row r="202" spans="1:11" x14ac:dyDescent="0.2">
      <c r="B202" s="67" t="s">
        <v>84</v>
      </c>
      <c r="C202" s="75">
        <v>127.30000000000003</v>
      </c>
      <c r="D202" s="75">
        <v>24.3</v>
      </c>
    </row>
    <row r="203" spans="1:11" x14ac:dyDescent="0.2">
      <c r="B203" s="67" t="s">
        <v>85</v>
      </c>
      <c r="C203" s="75">
        <v>18.899999999999999</v>
      </c>
      <c r="D203" s="75">
        <v>69.899999999999977</v>
      </c>
    </row>
    <row r="204" spans="1:11" x14ac:dyDescent="0.2">
      <c r="B204" s="67" t="s">
        <v>86</v>
      </c>
      <c r="C204" s="75">
        <v>1</v>
      </c>
      <c r="D204" s="75">
        <v>161.4</v>
      </c>
    </row>
    <row r="205" spans="1:11" x14ac:dyDescent="0.2">
      <c r="B205" s="67" t="s">
        <v>87</v>
      </c>
      <c r="C205" s="75">
        <v>1.4</v>
      </c>
      <c r="D205" s="75">
        <v>100.1</v>
      </c>
    </row>
    <row r="206" spans="1:11" x14ac:dyDescent="0.2">
      <c r="B206" s="67" t="s">
        <v>88</v>
      </c>
      <c r="C206" s="75">
        <v>68.800000000000011</v>
      </c>
      <c r="D206" s="75">
        <v>17.2</v>
      </c>
    </row>
    <row r="207" spans="1:11" x14ac:dyDescent="0.2">
      <c r="B207" s="67" t="s">
        <v>89</v>
      </c>
      <c r="C207" s="75">
        <v>269.89999999999998</v>
      </c>
      <c r="D207" s="75">
        <v>0</v>
      </c>
    </row>
    <row r="208" spans="1:11" x14ac:dyDescent="0.2">
      <c r="B208" s="67" t="s">
        <v>90</v>
      </c>
      <c r="C208" s="75">
        <v>361.09999999999997</v>
      </c>
      <c r="D208" s="75">
        <v>0</v>
      </c>
    </row>
    <row r="209" spans="1:11" x14ac:dyDescent="0.2">
      <c r="B209" s="67" t="s">
        <v>92</v>
      </c>
      <c r="C209" s="75">
        <v>469.39999999999992</v>
      </c>
      <c r="D209" s="75">
        <v>0</v>
      </c>
      <c r="J209" s="67">
        <f>SUM(G198:G209)</f>
        <v>0</v>
      </c>
      <c r="K209" s="67">
        <f>SUM(H198:H209)</f>
        <v>0</v>
      </c>
    </row>
    <row r="210" spans="1:11" x14ac:dyDescent="0.2">
      <c r="A210" s="67">
        <v>2007</v>
      </c>
      <c r="B210" s="67" t="s">
        <v>80</v>
      </c>
      <c r="C210" s="75">
        <v>625.70000000000005</v>
      </c>
      <c r="D210" s="75">
        <v>0</v>
      </c>
      <c r="G210" s="77"/>
      <c r="H210" s="77"/>
    </row>
    <row r="211" spans="1:11" x14ac:dyDescent="0.2">
      <c r="B211" s="67" t="s">
        <v>81</v>
      </c>
      <c r="C211" s="75">
        <v>739.30000000000018</v>
      </c>
      <c r="D211" s="75">
        <v>0</v>
      </c>
    </row>
    <row r="212" spans="1:11" x14ac:dyDescent="0.2">
      <c r="B212" s="67" t="s">
        <v>82</v>
      </c>
      <c r="C212" s="75">
        <v>538.79999999999984</v>
      </c>
      <c r="D212" s="75">
        <v>0</v>
      </c>
    </row>
    <row r="213" spans="1:11" x14ac:dyDescent="0.2">
      <c r="B213" s="67" t="s">
        <v>83</v>
      </c>
      <c r="C213" s="75">
        <v>376.09999999999997</v>
      </c>
      <c r="D213" s="75">
        <v>0</v>
      </c>
    </row>
    <row r="214" spans="1:11" x14ac:dyDescent="0.2">
      <c r="B214" s="67" t="s">
        <v>84</v>
      </c>
      <c r="C214" s="75">
        <v>144.19999999999999</v>
      </c>
      <c r="D214" s="75">
        <v>15.4</v>
      </c>
    </row>
    <row r="215" spans="1:11" x14ac:dyDescent="0.2">
      <c r="B215" s="67" t="s">
        <v>85</v>
      </c>
      <c r="C215" s="75">
        <v>19.599999999999998</v>
      </c>
      <c r="D215" s="75">
        <v>84.3</v>
      </c>
    </row>
    <row r="216" spans="1:11" x14ac:dyDescent="0.2">
      <c r="B216" s="67" t="s">
        <v>86</v>
      </c>
      <c r="C216" s="75">
        <v>7.3999999999999995</v>
      </c>
      <c r="D216" s="75">
        <v>77.499999999999986</v>
      </c>
    </row>
    <row r="217" spans="1:11" x14ac:dyDescent="0.2">
      <c r="B217" s="67" t="s">
        <v>87</v>
      </c>
      <c r="C217" s="75">
        <v>6</v>
      </c>
      <c r="D217" s="75">
        <v>106.49999999999999</v>
      </c>
    </row>
    <row r="218" spans="1:11" x14ac:dyDescent="0.2">
      <c r="B218" s="67" t="s">
        <v>88</v>
      </c>
      <c r="C218" s="75">
        <v>51.8</v>
      </c>
      <c r="D218" s="75">
        <v>41.800000000000004</v>
      </c>
    </row>
    <row r="219" spans="1:11" x14ac:dyDescent="0.2">
      <c r="B219" s="67" t="s">
        <v>89</v>
      </c>
      <c r="C219" s="75">
        <v>131</v>
      </c>
      <c r="D219" s="75">
        <v>20.200000000000003</v>
      </c>
    </row>
    <row r="220" spans="1:11" x14ac:dyDescent="0.2">
      <c r="B220" s="67" t="s">
        <v>90</v>
      </c>
      <c r="C220" s="75">
        <v>438.2000000000001</v>
      </c>
      <c r="D220" s="75">
        <v>0</v>
      </c>
    </row>
    <row r="221" spans="1:11" x14ac:dyDescent="0.2">
      <c r="B221" s="67" t="s">
        <v>92</v>
      </c>
      <c r="C221" s="75">
        <v>612.80000000000007</v>
      </c>
      <c r="D221" s="75">
        <v>0</v>
      </c>
      <c r="J221" s="67">
        <f>SUM(G210:G221)</f>
        <v>0</v>
      </c>
      <c r="K221" s="67">
        <f>SUM(H210:H221)</f>
        <v>0</v>
      </c>
    </row>
    <row r="222" spans="1:11" x14ac:dyDescent="0.2">
      <c r="A222" s="67">
        <v>2008</v>
      </c>
      <c r="B222" s="67" t="s">
        <v>80</v>
      </c>
      <c r="C222" s="75">
        <v>604.19999999999993</v>
      </c>
      <c r="D222" s="75">
        <v>0</v>
      </c>
      <c r="G222" s="77"/>
      <c r="H222" s="77"/>
    </row>
    <row r="223" spans="1:11" x14ac:dyDescent="0.2">
      <c r="B223" s="67" t="s">
        <v>81</v>
      </c>
      <c r="C223" s="75">
        <v>653.5</v>
      </c>
      <c r="D223" s="75">
        <v>0</v>
      </c>
    </row>
    <row r="224" spans="1:11" x14ac:dyDescent="0.2">
      <c r="B224" s="67" t="s">
        <v>82</v>
      </c>
      <c r="C224" s="75">
        <v>602</v>
      </c>
      <c r="D224" s="75">
        <v>0</v>
      </c>
    </row>
    <row r="225" spans="1:11" x14ac:dyDescent="0.2">
      <c r="B225" s="67" t="s">
        <v>83</v>
      </c>
      <c r="C225" s="75">
        <v>272.8</v>
      </c>
      <c r="D225" s="75">
        <v>0</v>
      </c>
    </row>
    <row r="226" spans="1:11" x14ac:dyDescent="0.2">
      <c r="B226" s="67" t="s">
        <v>84</v>
      </c>
      <c r="C226" s="75">
        <v>216.7</v>
      </c>
      <c r="D226" s="75">
        <v>0</v>
      </c>
    </row>
    <row r="227" spans="1:11" x14ac:dyDescent="0.2">
      <c r="B227" s="67" t="s">
        <v>85</v>
      </c>
      <c r="C227" s="75">
        <v>27.2</v>
      </c>
      <c r="D227" s="75">
        <v>61.499999999999986</v>
      </c>
    </row>
    <row r="228" spans="1:11" x14ac:dyDescent="0.2">
      <c r="B228" s="67" t="s">
        <v>86</v>
      </c>
      <c r="C228" s="75">
        <v>5.2</v>
      </c>
      <c r="D228" s="75">
        <v>90.299999999999983</v>
      </c>
    </row>
    <row r="229" spans="1:11" x14ac:dyDescent="0.2">
      <c r="B229" s="67" t="s">
        <v>87</v>
      </c>
      <c r="C229" s="75">
        <v>19</v>
      </c>
      <c r="D229" s="75">
        <v>42.4</v>
      </c>
    </row>
    <row r="230" spans="1:11" x14ac:dyDescent="0.2">
      <c r="B230" s="67" t="s">
        <v>88</v>
      </c>
      <c r="C230" s="75">
        <v>70.100000000000009</v>
      </c>
      <c r="D230" s="75">
        <v>25.500000000000004</v>
      </c>
    </row>
    <row r="231" spans="1:11" x14ac:dyDescent="0.2">
      <c r="B231" s="67" t="s">
        <v>89</v>
      </c>
      <c r="C231" s="75">
        <v>293.29999999999995</v>
      </c>
      <c r="D231" s="75">
        <v>0</v>
      </c>
    </row>
    <row r="232" spans="1:11" x14ac:dyDescent="0.2">
      <c r="B232" s="67" t="s">
        <v>90</v>
      </c>
      <c r="C232" s="75">
        <v>447.40000000000003</v>
      </c>
      <c r="D232" s="75">
        <v>0</v>
      </c>
    </row>
    <row r="233" spans="1:11" x14ac:dyDescent="0.2">
      <c r="B233" s="67" t="s">
        <v>92</v>
      </c>
      <c r="C233" s="75">
        <v>614.79999999999984</v>
      </c>
      <c r="D233" s="75">
        <v>0</v>
      </c>
      <c r="E233" s="72"/>
      <c r="J233" s="67">
        <f>SUM(G222:G233)</f>
        <v>0</v>
      </c>
      <c r="K233" s="67">
        <f>SUM(H222:H233)</f>
        <v>0</v>
      </c>
    </row>
    <row r="234" spans="1:11" x14ac:dyDescent="0.2">
      <c r="A234" s="67">
        <v>2009</v>
      </c>
      <c r="B234" s="67" t="s">
        <v>80</v>
      </c>
      <c r="C234" s="75">
        <v>829.40000000000009</v>
      </c>
      <c r="D234" s="75">
        <v>0</v>
      </c>
      <c r="E234" s="73"/>
      <c r="G234" s="77"/>
      <c r="H234" s="77"/>
    </row>
    <row r="235" spans="1:11" x14ac:dyDescent="0.2">
      <c r="B235" s="67" t="s">
        <v>81</v>
      </c>
      <c r="C235" s="75">
        <v>605.50000000000011</v>
      </c>
      <c r="D235" s="75">
        <v>0</v>
      </c>
      <c r="E235" s="73"/>
    </row>
    <row r="236" spans="1:11" x14ac:dyDescent="0.2">
      <c r="B236" s="67" t="s">
        <v>82</v>
      </c>
      <c r="C236" s="75">
        <v>528.69999999999993</v>
      </c>
      <c r="D236" s="75">
        <v>0</v>
      </c>
      <c r="E236" s="73"/>
    </row>
    <row r="237" spans="1:11" x14ac:dyDescent="0.2">
      <c r="B237" s="67" t="s">
        <v>83</v>
      </c>
      <c r="C237" s="75">
        <v>316.50000000000006</v>
      </c>
      <c r="D237" s="75">
        <v>2</v>
      </c>
      <c r="E237" s="73"/>
    </row>
    <row r="238" spans="1:11" x14ac:dyDescent="0.2">
      <c r="B238" s="67" t="s">
        <v>84</v>
      </c>
      <c r="C238" s="75">
        <v>157.19999999999996</v>
      </c>
      <c r="D238" s="75">
        <v>1.8</v>
      </c>
      <c r="E238" s="73"/>
    </row>
    <row r="239" spans="1:11" x14ac:dyDescent="0.2">
      <c r="B239" s="67" t="s">
        <v>85</v>
      </c>
      <c r="C239" s="75">
        <v>44.4</v>
      </c>
      <c r="D239" s="75">
        <v>29.999999999999996</v>
      </c>
      <c r="E239" s="73"/>
    </row>
    <row r="240" spans="1:11" x14ac:dyDescent="0.2">
      <c r="B240" s="67" t="s">
        <v>86</v>
      </c>
      <c r="C240" s="75">
        <v>19.600000000000001</v>
      </c>
      <c r="D240" s="75">
        <v>33.1</v>
      </c>
      <c r="E240" s="73"/>
    </row>
    <row r="241" spans="1:11" x14ac:dyDescent="0.2">
      <c r="B241" s="67" t="s">
        <v>87</v>
      </c>
      <c r="C241" s="75">
        <v>14.200000000000001</v>
      </c>
      <c r="D241" s="75">
        <v>74.199999999999974</v>
      </c>
      <c r="E241" s="73"/>
    </row>
    <row r="242" spans="1:11" x14ac:dyDescent="0.2">
      <c r="B242" s="67" t="s">
        <v>88</v>
      </c>
      <c r="C242" s="75">
        <v>70.8</v>
      </c>
      <c r="D242" s="75">
        <v>12</v>
      </c>
      <c r="E242" s="73"/>
    </row>
    <row r="243" spans="1:11" x14ac:dyDescent="0.2">
      <c r="B243" s="67" t="s">
        <v>89</v>
      </c>
      <c r="C243" s="75">
        <v>290</v>
      </c>
      <c r="D243" s="75">
        <v>0</v>
      </c>
      <c r="E243" s="73"/>
    </row>
    <row r="244" spans="1:11" x14ac:dyDescent="0.2">
      <c r="B244" s="67" t="s">
        <v>90</v>
      </c>
      <c r="C244" s="75">
        <v>336.4</v>
      </c>
      <c r="D244" s="75">
        <v>0</v>
      </c>
      <c r="E244" s="73"/>
    </row>
    <row r="245" spans="1:11" x14ac:dyDescent="0.2">
      <c r="B245" s="67" t="s">
        <v>92</v>
      </c>
      <c r="C245" s="75">
        <v>612.29999999999984</v>
      </c>
      <c r="D245" s="75">
        <v>0</v>
      </c>
      <c r="E245" s="73"/>
      <c r="J245" s="67">
        <f>SUM(G234:G245)</f>
        <v>0</v>
      </c>
      <c r="K245" s="67">
        <f>SUM(H234:H245)</f>
        <v>0</v>
      </c>
    </row>
    <row r="246" spans="1:11" x14ac:dyDescent="0.2">
      <c r="A246" s="67">
        <v>2010</v>
      </c>
      <c r="B246" s="67" t="s">
        <v>80</v>
      </c>
      <c r="C246" s="75">
        <v>711.09999999999991</v>
      </c>
      <c r="D246" s="75">
        <v>0</v>
      </c>
      <c r="G246" s="77"/>
      <c r="H246" s="77"/>
    </row>
    <row r="247" spans="1:11" x14ac:dyDescent="0.2">
      <c r="B247" s="67" t="s">
        <v>81</v>
      </c>
      <c r="C247" s="75">
        <v>632.5</v>
      </c>
      <c r="D247" s="75">
        <v>0</v>
      </c>
    </row>
    <row r="248" spans="1:11" x14ac:dyDescent="0.2">
      <c r="B248" s="67" t="s">
        <v>82</v>
      </c>
      <c r="C248" s="75">
        <v>468</v>
      </c>
      <c r="D248" s="75">
        <v>0</v>
      </c>
    </row>
    <row r="249" spans="1:11" x14ac:dyDescent="0.2">
      <c r="B249" s="67" t="s">
        <v>83</v>
      </c>
      <c r="C249" s="75">
        <v>243</v>
      </c>
      <c r="D249" s="75">
        <v>0</v>
      </c>
    </row>
    <row r="250" spans="1:11" x14ac:dyDescent="0.2">
      <c r="B250" s="67" t="s">
        <v>84</v>
      </c>
      <c r="C250" s="75">
        <v>125.40000000000003</v>
      </c>
      <c r="D250" s="75">
        <v>27.5</v>
      </c>
    </row>
    <row r="251" spans="1:11" x14ac:dyDescent="0.2">
      <c r="B251" s="67" t="s">
        <v>85</v>
      </c>
      <c r="C251" s="75">
        <v>23.599999999999994</v>
      </c>
      <c r="D251" s="75">
        <v>51.300000000000011</v>
      </c>
    </row>
    <row r="252" spans="1:11" x14ac:dyDescent="0.2">
      <c r="B252" s="67" t="s">
        <v>86</v>
      </c>
      <c r="C252" s="75">
        <v>4.5999999999999996</v>
      </c>
      <c r="D252" s="75">
        <v>123.99999999999999</v>
      </c>
    </row>
    <row r="253" spans="1:11" x14ac:dyDescent="0.2">
      <c r="A253" s="76"/>
      <c r="B253" s="76" t="s">
        <v>87</v>
      </c>
      <c r="C253" s="75">
        <v>7.6999999999999993</v>
      </c>
      <c r="D253" s="75">
        <v>103.40000000000003</v>
      </c>
    </row>
    <row r="254" spans="1:11" x14ac:dyDescent="0.2">
      <c r="A254" s="76"/>
      <c r="B254" s="76" t="s">
        <v>88</v>
      </c>
      <c r="C254" s="75">
        <v>69.599999999999994</v>
      </c>
      <c r="D254" s="75">
        <v>13.899999999999999</v>
      </c>
    </row>
    <row r="255" spans="1:11" x14ac:dyDescent="0.2">
      <c r="A255" s="76"/>
      <c r="B255" s="76" t="s">
        <v>89</v>
      </c>
      <c r="C255" s="75">
        <v>247.29999999999998</v>
      </c>
      <c r="D255" s="75">
        <v>0.1</v>
      </c>
    </row>
    <row r="256" spans="1:11" x14ac:dyDescent="0.2">
      <c r="A256" s="76"/>
      <c r="B256" s="76" t="s">
        <v>90</v>
      </c>
      <c r="C256" s="75">
        <v>239.9</v>
      </c>
      <c r="D256" s="75">
        <v>0</v>
      </c>
    </row>
    <row r="257" spans="1:11" x14ac:dyDescent="0.2">
      <c r="A257" s="76"/>
      <c r="B257" s="76" t="s">
        <v>92</v>
      </c>
      <c r="C257" s="75">
        <v>671.3</v>
      </c>
      <c r="D257" s="75">
        <v>0</v>
      </c>
      <c r="J257" s="67">
        <f>SUM(G246:G257)</f>
        <v>0</v>
      </c>
      <c r="K257" s="67">
        <f>SUM(H246:H257)</f>
        <v>0</v>
      </c>
    </row>
    <row r="258" spans="1:11" x14ac:dyDescent="0.2">
      <c r="A258" s="76">
        <v>2011</v>
      </c>
      <c r="B258" s="76" t="s">
        <v>80</v>
      </c>
      <c r="C258" s="75">
        <v>794.6</v>
      </c>
      <c r="D258" s="75">
        <v>0</v>
      </c>
      <c r="G258" s="77"/>
      <c r="H258" s="77"/>
    </row>
    <row r="259" spans="1:11" x14ac:dyDescent="0.2">
      <c r="A259" s="76"/>
      <c r="B259" s="76" t="s">
        <v>81</v>
      </c>
      <c r="C259" s="75">
        <v>645.30000000000007</v>
      </c>
      <c r="D259" s="75">
        <v>0</v>
      </c>
    </row>
    <row r="260" spans="1:11" x14ac:dyDescent="0.2">
      <c r="A260" s="76"/>
      <c r="B260" s="76" t="s">
        <v>82</v>
      </c>
      <c r="C260" s="75">
        <v>550.6</v>
      </c>
      <c r="D260" s="75">
        <v>0</v>
      </c>
    </row>
    <row r="261" spans="1:11" x14ac:dyDescent="0.2">
      <c r="A261" s="76"/>
      <c r="B261" s="76" t="s">
        <v>83</v>
      </c>
      <c r="C261" s="75">
        <v>324.89999999999998</v>
      </c>
      <c r="D261" s="75">
        <v>0.4</v>
      </c>
    </row>
    <row r="262" spans="1:11" x14ac:dyDescent="0.2">
      <c r="A262" s="76"/>
      <c r="B262" s="76" t="s">
        <v>84</v>
      </c>
      <c r="C262" s="75">
        <v>136.00000000000003</v>
      </c>
      <c r="D262" s="75">
        <v>12.5</v>
      </c>
    </row>
    <row r="263" spans="1:11" x14ac:dyDescent="0.2">
      <c r="A263" s="76"/>
      <c r="B263" s="76" t="s">
        <v>85</v>
      </c>
      <c r="C263" s="75">
        <v>22.700000000000003</v>
      </c>
      <c r="D263" s="75">
        <v>40.200000000000003</v>
      </c>
    </row>
    <row r="264" spans="1:11" x14ac:dyDescent="0.2">
      <c r="A264" s="76"/>
      <c r="B264" s="76" t="s">
        <v>86</v>
      </c>
      <c r="C264" s="75">
        <v>0.2</v>
      </c>
      <c r="D264" s="75">
        <v>158.6</v>
      </c>
    </row>
    <row r="265" spans="1:11" x14ac:dyDescent="0.2">
      <c r="A265" s="76"/>
      <c r="B265" s="76" t="s">
        <v>87</v>
      </c>
      <c r="C265" s="75">
        <v>4.0999999999999996</v>
      </c>
      <c r="D265" s="75">
        <v>88.8</v>
      </c>
    </row>
    <row r="266" spans="1:11" x14ac:dyDescent="0.2">
      <c r="A266" s="76"/>
      <c r="B266" s="76" t="s">
        <v>88</v>
      </c>
      <c r="C266" s="75">
        <v>53.8</v>
      </c>
      <c r="D266" s="75">
        <v>24.9</v>
      </c>
    </row>
    <row r="267" spans="1:11" x14ac:dyDescent="0.2">
      <c r="A267" s="76"/>
      <c r="B267" s="76" t="s">
        <v>89</v>
      </c>
      <c r="C267" s="75">
        <v>234.5</v>
      </c>
      <c r="D267" s="75">
        <v>0</v>
      </c>
    </row>
    <row r="268" spans="1:11" x14ac:dyDescent="0.2">
      <c r="A268" s="76"/>
      <c r="B268" s="76" t="s">
        <v>90</v>
      </c>
      <c r="C268" s="75">
        <v>320.00000000000006</v>
      </c>
      <c r="D268" s="75">
        <v>0</v>
      </c>
    </row>
    <row r="269" spans="1:11" x14ac:dyDescent="0.2">
      <c r="A269" s="76"/>
      <c r="B269" s="76" t="s">
        <v>92</v>
      </c>
      <c r="C269" s="75">
        <v>512</v>
      </c>
      <c r="D269" s="75">
        <v>0</v>
      </c>
      <c r="J269" s="67">
        <f>SUM(G258:G269)</f>
        <v>0</v>
      </c>
      <c r="K269" s="67">
        <f>SUM(H258:H269)</f>
        <v>0</v>
      </c>
    </row>
    <row r="270" spans="1:11" x14ac:dyDescent="0.2">
      <c r="A270" s="76">
        <v>2012</v>
      </c>
      <c r="B270" s="76" t="s">
        <v>80</v>
      </c>
      <c r="C270" s="75">
        <v>600.80000000000007</v>
      </c>
      <c r="D270" s="75">
        <v>0</v>
      </c>
    </row>
    <row r="271" spans="1:11" x14ac:dyDescent="0.2">
      <c r="A271" s="76"/>
      <c r="B271" s="76" t="s">
        <v>81</v>
      </c>
      <c r="C271" s="75">
        <v>533.20000000000005</v>
      </c>
      <c r="D271" s="75">
        <v>0</v>
      </c>
    </row>
    <row r="272" spans="1:11" x14ac:dyDescent="0.2">
      <c r="A272" s="76"/>
      <c r="B272" s="76" t="s">
        <v>82</v>
      </c>
      <c r="C272" s="75">
        <v>333.80000000000007</v>
      </c>
      <c r="D272" s="75">
        <v>0</v>
      </c>
    </row>
    <row r="273" spans="1:4" x14ac:dyDescent="0.2">
      <c r="A273" s="76"/>
      <c r="B273" s="76" t="s">
        <v>83</v>
      </c>
      <c r="C273" s="75">
        <v>330.9</v>
      </c>
      <c r="D273" s="75">
        <v>0</v>
      </c>
    </row>
    <row r="274" spans="1:4" x14ac:dyDescent="0.2">
      <c r="A274" s="76"/>
      <c r="B274" s="76" t="s">
        <v>84</v>
      </c>
      <c r="C274" s="75">
        <v>82.300000000000011</v>
      </c>
      <c r="D274" s="75">
        <v>28.9</v>
      </c>
    </row>
    <row r="275" spans="1:4" x14ac:dyDescent="0.2">
      <c r="A275" s="76"/>
      <c r="B275" s="76" t="s">
        <v>85</v>
      </c>
      <c r="C275" s="75">
        <v>31.599999999999998</v>
      </c>
      <c r="D275" s="75">
        <v>58.8</v>
      </c>
    </row>
    <row r="276" spans="1:4" x14ac:dyDescent="0.2">
      <c r="A276" s="76"/>
      <c r="B276" s="76" t="s">
        <v>86</v>
      </c>
      <c r="C276" s="75">
        <v>0</v>
      </c>
      <c r="D276" s="75">
        <v>130.89999999999998</v>
      </c>
    </row>
    <row r="277" spans="1:4" x14ac:dyDescent="0.2">
      <c r="A277" s="76"/>
      <c r="B277" s="76" t="s">
        <v>87</v>
      </c>
      <c r="C277" s="75">
        <v>6</v>
      </c>
      <c r="D277" s="75">
        <v>76.600000000000009</v>
      </c>
    </row>
    <row r="278" spans="1:4" x14ac:dyDescent="0.2">
      <c r="A278" s="76"/>
      <c r="B278" s="76" t="s">
        <v>88</v>
      </c>
      <c r="C278" s="75">
        <v>86.1</v>
      </c>
      <c r="D278" s="75">
        <v>28.900000000000002</v>
      </c>
    </row>
    <row r="279" spans="1:4" x14ac:dyDescent="0.2">
      <c r="A279" s="76"/>
      <c r="B279" s="76" t="s">
        <v>89</v>
      </c>
      <c r="C279" s="75">
        <v>227.39999999999998</v>
      </c>
      <c r="D279" s="75">
        <v>0.8</v>
      </c>
    </row>
    <row r="280" spans="1:4" x14ac:dyDescent="0.2">
      <c r="A280" s="76"/>
      <c r="B280" s="76" t="s">
        <v>90</v>
      </c>
      <c r="C280" s="75">
        <v>415.19999999999993</v>
      </c>
      <c r="D280" s="75">
        <v>0</v>
      </c>
    </row>
    <row r="281" spans="1:4" x14ac:dyDescent="0.2">
      <c r="A281" s="76"/>
      <c r="B281" s="76" t="s">
        <v>92</v>
      </c>
      <c r="C281" s="75">
        <v>505.1</v>
      </c>
      <c r="D281" s="75">
        <v>0</v>
      </c>
    </row>
    <row r="282" spans="1:4" x14ac:dyDescent="0.2">
      <c r="A282" s="76">
        <v>2013</v>
      </c>
      <c r="B282" s="76" t="s">
        <v>80</v>
      </c>
      <c r="C282" s="75">
        <v>617.29999999999995</v>
      </c>
      <c r="D282" s="75">
        <v>0</v>
      </c>
    </row>
    <row r="283" spans="1:4" x14ac:dyDescent="0.2">
      <c r="A283" s="76"/>
      <c r="B283" s="76" t="s">
        <v>81</v>
      </c>
      <c r="C283" s="75">
        <v>640.1</v>
      </c>
      <c r="D283" s="75">
        <v>0</v>
      </c>
    </row>
    <row r="284" spans="1:4" x14ac:dyDescent="0.2">
      <c r="A284" s="76"/>
      <c r="B284" s="76" t="s">
        <v>82</v>
      </c>
      <c r="C284" s="75">
        <v>555.40000000000009</v>
      </c>
      <c r="D284" s="75">
        <v>0</v>
      </c>
    </row>
    <row r="285" spans="1:4" x14ac:dyDescent="0.2">
      <c r="A285" s="76"/>
      <c r="B285" s="76" t="s">
        <v>83</v>
      </c>
      <c r="C285" s="75">
        <v>339.90000000000003</v>
      </c>
      <c r="D285" s="75">
        <v>0</v>
      </c>
    </row>
    <row r="286" spans="1:4" x14ac:dyDescent="0.2">
      <c r="A286" s="76"/>
      <c r="B286" s="76" t="s">
        <v>84</v>
      </c>
      <c r="C286" s="75">
        <v>116.5</v>
      </c>
      <c r="D286" s="75">
        <v>24.200000000000003</v>
      </c>
    </row>
    <row r="287" spans="1:4" x14ac:dyDescent="0.2">
      <c r="A287" s="76"/>
      <c r="B287" s="76" t="s">
        <v>85</v>
      </c>
      <c r="C287" s="75">
        <v>42.8</v>
      </c>
      <c r="D287" s="75">
        <v>48.5</v>
      </c>
    </row>
    <row r="288" spans="1:4" x14ac:dyDescent="0.2">
      <c r="A288" s="76"/>
      <c r="B288" s="76" t="s">
        <v>86</v>
      </c>
      <c r="C288" s="75">
        <v>5.5</v>
      </c>
      <c r="D288" s="75">
        <v>117.00000000000001</v>
      </c>
    </row>
    <row r="289" spans="1:4" x14ac:dyDescent="0.2">
      <c r="A289" s="76"/>
      <c r="B289" s="76" t="s">
        <v>87</v>
      </c>
      <c r="C289" s="75">
        <v>15</v>
      </c>
      <c r="D289" s="75">
        <v>51.900000000000006</v>
      </c>
    </row>
    <row r="290" spans="1:4" x14ac:dyDescent="0.2">
      <c r="A290" s="76"/>
      <c r="B290" s="76" t="s">
        <v>88</v>
      </c>
      <c r="C290" s="75">
        <v>110.40000000000002</v>
      </c>
      <c r="D290" s="75">
        <v>22.9</v>
      </c>
    </row>
    <row r="291" spans="1:4" x14ac:dyDescent="0.2">
      <c r="A291" s="76"/>
      <c r="B291" s="76" t="s">
        <v>89</v>
      </c>
      <c r="C291" s="75">
        <v>197.7</v>
      </c>
      <c r="D291" s="75">
        <v>4.1999999999999993</v>
      </c>
    </row>
    <row r="292" spans="1:4" x14ac:dyDescent="0.2">
      <c r="A292" s="76"/>
      <c r="B292" s="76" t="s">
        <v>90</v>
      </c>
      <c r="C292" s="75">
        <v>450.90000000000003</v>
      </c>
      <c r="D292" s="75">
        <v>0</v>
      </c>
    </row>
    <row r="293" spans="1:4" x14ac:dyDescent="0.2">
      <c r="A293" s="76"/>
      <c r="B293" s="76" t="s">
        <v>92</v>
      </c>
      <c r="C293" s="75">
        <v>640.80000000000007</v>
      </c>
      <c r="D293" s="75">
        <v>0</v>
      </c>
    </row>
    <row r="294" spans="1:4" x14ac:dyDescent="0.2">
      <c r="A294" s="76">
        <v>2014</v>
      </c>
      <c r="B294" s="76" t="s">
        <v>80</v>
      </c>
      <c r="C294" s="75">
        <v>783.19999999999993</v>
      </c>
      <c r="D294" s="75">
        <v>0</v>
      </c>
    </row>
    <row r="295" spans="1:4" x14ac:dyDescent="0.2">
      <c r="A295" s="76"/>
      <c r="B295" s="76" t="s">
        <v>81</v>
      </c>
      <c r="C295" s="75">
        <v>743.69999999999993</v>
      </c>
      <c r="D295" s="75">
        <v>0</v>
      </c>
    </row>
    <row r="296" spans="1:4" x14ac:dyDescent="0.2">
      <c r="A296" s="76"/>
      <c r="B296" s="76" t="s">
        <v>82</v>
      </c>
      <c r="C296" s="75">
        <v>692.30000000000007</v>
      </c>
      <c r="D296" s="75">
        <v>0</v>
      </c>
    </row>
    <row r="297" spans="1:4" x14ac:dyDescent="0.2">
      <c r="A297" s="76"/>
      <c r="B297" s="76" t="s">
        <v>83</v>
      </c>
      <c r="C297" s="75">
        <v>338.40000000000009</v>
      </c>
      <c r="D297" s="75">
        <v>0</v>
      </c>
    </row>
    <row r="298" spans="1:4" x14ac:dyDescent="0.2">
      <c r="A298" s="76"/>
      <c r="B298" s="76" t="s">
        <v>84</v>
      </c>
      <c r="C298" s="75">
        <v>143.89999999999995</v>
      </c>
      <c r="D298" s="75">
        <v>7.3</v>
      </c>
    </row>
    <row r="299" spans="1:4" x14ac:dyDescent="0.2">
      <c r="A299" s="76"/>
      <c r="B299" s="76" t="s">
        <v>85</v>
      </c>
      <c r="C299" s="75">
        <v>21.3</v>
      </c>
      <c r="D299" s="75">
        <v>62.800000000000004</v>
      </c>
    </row>
    <row r="300" spans="1:4" x14ac:dyDescent="0.2">
      <c r="A300" s="76"/>
      <c r="B300" s="76" t="s">
        <v>86</v>
      </c>
      <c r="C300" s="75">
        <v>13.700000000000001</v>
      </c>
      <c r="D300" s="75">
        <v>51</v>
      </c>
    </row>
    <row r="301" spans="1:4" x14ac:dyDescent="0.2">
      <c r="A301" s="76"/>
      <c r="B301" s="76" t="s">
        <v>87</v>
      </c>
      <c r="C301" s="75">
        <v>11.999999999999998</v>
      </c>
      <c r="D301" s="75">
        <v>56.999999999999993</v>
      </c>
    </row>
    <row r="302" spans="1:4" x14ac:dyDescent="0.2">
      <c r="A302" s="76"/>
      <c r="B302" s="76" t="s">
        <v>88</v>
      </c>
      <c r="C302" s="75">
        <v>85.300000000000011</v>
      </c>
      <c r="D302" s="75">
        <v>27.500000000000004</v>
      </c>
    </row>
    <row r="303" spans="1:4" x14ac:dyDescent="0.2">
      <c r="A303" s="76"/>
      <c r="B303" s="76" t="s">
        <v>89</v>
      </c>
      <c r="C303" s="75">
        <v>223.09999999999997</v>
      </c>
      <c r="D303" s="75">
        <v>4.5</v>
      </c>
    </row>
    <row r="304" spans="1:4" x14ac:dyDescent="0.2">
      <c r="A304" s="76"/>
      <c r="B304" s="76" t="s">
        <v>90</v>
      </c>
      <c r="C304" s="75">
        <v>465.7</v>
      </c>
      <c r="D304" s="75">
        <v>0</v>
      </c>
    </row>
    <row r="305" spans="1:4" x14ac:dyDescent="0.2">
      <c r="A305" s="76"/>
      <c r="B305" s="76" t="s">
        <v>92</v>
      </c>
      <c r="C305" s="75">
        <v>540.79999999999995</v>
      </c>
      <c r="D305" s="75">
        <v>0</v>
      </c>
    </row>
    <row r="306" spans="1:4" x14ac:dyDescent="0.2">
      <c r="A306" s="76">
        <v>2015</v>
      </c>
      <c r="B306" s="76" t="s">
        <v>80</v>
      </c>
      <c r="C306" s="75">
        <v>753.1</v>
      </c>
      <c r="D306" s="75">
        <v>0</v>
      </c>
    </row>
    <row r="307" spans="1:4" x14ac:dyDescent="0.2">
      <c r="A307" s="76"/>
      <c r="B307" s="76" t="s">
        <v>81</v>
      </c>
      <c r="C307" s="75">
        <v>871.9</v>
      </c>
      <c r="D307" s="75">
        <v>0</v>
      </c>
    </row>
    <row r="308" spans="1:4" x14ac:dyDescent="0.2">
      <c r="A308" s="76"/>
      <c r="B308" s="76" t="s">
        <v>82</v>
      </c>
      <c r="C308" s="75">
        <v>637</v>
      </c>
      <c r="D308" s="75">
        <v>0</v>
      </c>
    </row>
    <row r="309" spans="1:4" x14ac:dyDescent="0.2">
      <c r="A309" s="76"/>
      <c r="B309" s="76" t="s">
        <v>83</v>
      </c>
      <c r="C309" s="75">
        <v>319.59999999999997</v>
      </c>
      <c r="D309" s="75">
        <v>0</v>
      </c>
    </row>
    <row r="310" spans="1:4" x14ac:dyDescent="0.2">
      <c r="A310" s="76"/>
      <c r="B310" s="76" t="s">
        <v>84</v>
      </c>
      <c r="C310" s="75">
        <v>96.5</v>
      </c>
      <c r="D310" s="75">
        <v>34.200000000000003</v>
      </c>
    </row>
    <row r="311" spans="1:4" x14ac:dyDescent="0.2">
      <c r="A311" s="76"/>
      <c r="B311" s="76" t="s">
        <v>85</v>
      </c>
      <c r="C311" s="75">
        <v>35.9</v>
      </c>
      <c r="D311" s="75">
        <v>28.599999999999998</v>
      </c>
    </row>
    <row r="312" spans="1:4" x14ac:dyDescent="0.2">
      <c r="A312" s="76"/>
      <c r="B312" s="76" t="s">
        <v>86</v>
      </c>
      <c r="C312" s="75">
        <v>7.6</v>
      </c>
      <c r="D312" s="75">
        <v>79.100000000000009</v>
      </c>
    </row>
    <row r="313" spans="1:4" x14ac:dyDescent="0.2">
      <c r="A313" s="76"/>
      <c r="B313" s="76" t="s">
        <v>87</v>
      </c>
      <c r="C313" s="75">
        <v>12</v>
      </c>
      <c r="D313" s="75">
        <v>59</v>
      </c>
    </row>
    <row r="314" spans="1:4" x14ac:dyDescent="0.2">
      <c r="A314" s="76"/>
      <c r="B314" s="76" t="s">
        <v>88</v>
      </c>
      <c r="C314" s="75">
        <v>37</v>
      </c>
      <c r="D314" s="75">
        <v>54.4</v>
      </c>
    </row>
    <row r="315" spans="1:4" x14ac:dyDescent="0.2">
      <c r="A315" s="76"/>
      <c r="B315" s="76" t="s">
        <v>89</v>
      </c>
      <c r="C315" s="75">
        <v>252.3</v>
      </c>
      <c r="D315" s="75">
        <v>0.9</v>
      </c>
    </row>
    <row r="316" spans="1:4" x14ac:dyDescent="0.2">
      <c r="A316" s="76"/>
      <c r="B316" s="76" t="s">
        <v>90</v>
      </c>
      <c r="C316" s="75">
        <v>337</v>
      </c>
      <c r="D316" s="75">
        <v>0</v>
      </c>
    </row>
    <row r="317" spans="1:4" x14ac:dyDescent="0.2">
      <c r="A317" s="76"/>
      <c r="B317" s="76" t="s">
        <v>92</v>
      </c>
      <c r="C317" s="75">
        <v>408.99999999999989</v>
      </c>
      <c r="D317" s="75">
        <v>0</v>
      </c>
    </row>
    <row r="318" spans="1:4" x14ac:dyDescent="0.2">
      <c r="A318" s="76">
        <v>2016</v>
      </c>
      <c r="B318" s="76" t="s">
        <v>80</v>
      </c>
      <c r="C318" s="75">
        <f>'[21]eng-daily-01012016-12312016'!$M$57</f>
        <v>657.2</v>
      </c>
      <c r="D318" s="75">
        <f>'[21]eng-daily-01012016-12312016'!$O$57</f>
        <v>0</v>
      </c>
    </row>
    <row r="319" spans="1:4" x14ac:dyDescent="0.2">
      <c r="A319" s="76"/>
      <c r="B319" s="76" t="s">
        <v>81</v>
      </c>
      <c r="C319" s="75">
        <f>'[21]eng-daily-01012016-12312016'!$M$86</f>
        <v>587.1</v>
      </c>
      <c r="D319" s="75">
        <f>'[21]eng-daily-01012016-12312016'!$O$86</f>
        <v>0</v>
      </c>
    </row>
    <row r="320" spans="1:4" x14ac:dyDescent="0.2">
      <c r="A320" s="76"/>
      <c r="B320" s="76" t="s">
        <v>82</v>
      </c>
      <c r="C320" s="75">
        <f>'[21]eng-daily-01012016-12312016'!$M$117</f>
        <v>448.80000000000007</v>
      </c>
      <c r="D320" s="75">
        <f>'[21]eng-daily-01012016-12312016'!$O$117</f>
        <v>0</v>
      </c>
    </row>
    <row r="321" spans="1:4" x14ac:dyDescent="0.2">
      <c r="A321" s="76"/>
      <c r="B321" s="76" t="s">
        <v>83</v>
      </c>
      <c r="C321" s="75">
        <f>'[21]eng-daily-01012016-12312016'!$M$147</f>
        <v>352.8</v>
      </c>
      <c r="D321" s="75">
        <f>'[21]eng-daily-01012016-12312016'!$O$147</f>
        <v>0</v>
      </c>
    </row>
    <row r="322" spans="1:4" x14ac:dyDescent="0.2">
      <c r="A322" s="76"/>
      <c r="B322" s="76" t="s">
        <v>84</v>
      </c>
      <c r="C322" s="75">
        <f>'[21]eng-daily-01012016-12312016'!$M$178</f>
        <v>144.60000000000002</v>
      </c>
      <c r="D322" s="75">
        <f>'[21]eng-daily-01012016-12312016'!$O$178</f>
        <v>24.400000000000002</v>
      </c>
    </row>
    <row r="323" spans="1:4" x14ac:dyDescent="0.2">
      <c r="A323" s="76"/>
      <c r="B323" s="76" t="s">
        <v>85</v>
      </c>
      <c r="C323" s="75">
        <f>'[21]eng-daily-01012016-12312016'!$M$208</f>
        <v>29.2</v>
      </c>
      <c r="D323" s="75">
        <f>'[21]eng-daily-01012016-12312016'!$O$208</f>
        <v>51.699999999999996</v>
      </c>
    </row>
    <row r="324" spans="1:4" x14ac:dyDescent="0.2">
      <c r="A324" s="76"/>
      <c r="B324" s="76" t="s">
        <v>86</v>
      </c>
      <c r="C324" s="75">
        <f>'[21]eng-daily-01012016-12312016'!$M$239</f>
        <v>0</v>
      </c>
      <c r="D324" s="75">
        <f>'[21]eng-daily-01012016-12312016'!$O$239</f>
        <v>140.69999999999996</v>
      </c>
    </row>
    <row r="325" spans="1:4" x14ac:dyDescent="0.2">
      <c r="A325" s="76"/>
      <c r="B325" s="76" t="s">
        <v>87</v>
      </c>
      <c r="C325" s="75">
        <f>'[21]eng-daily-01012016-12312016'!$M$270</f>
        <v>0.1</v>
      </c>
      <c r="D325" s="75">
        <f>'[21]eng-daily-01012016-12312016'!$O$270</f>
        <v>159.30000000000001</v>
      </c>
    </row>
    <row r="326" spans="1:4" x14ac:dyDescent="0.2">
      <c r="A326" s="76"/>
      <c r="B326" s="76" t="s">
        <v>88</v>
      </c>
      <c r="C326" s="75">
        <f>'[21]eng-daily-01012016-12312016'!$M$300</f>
        <v>34.299999999999997</v>
      </c>
      <c r="D326" s="75">
        <f>'[21]eng-daily-01012016-12312016'!$O$300</f>
        <v>47.3</v>
      </c>
    </row>
    <row r="327" spans="1:4" x14ac:dyDescent="0.2">
      <c r="A327" s="76"/>
      <c r="B327" s="76" t="s">
        <v>89</v>
      </c>
      <c r="C327" s="75">
        <f>'[21]eng-daily-01012016-12312016'!$M$331</f>
        <v>184.50000000000003</v>
      </c>
      <c r="D327" s="75">
        <f>'[21]eng-daily-01012016-12312016'!$O$331</f>
        <v>5.0999999999999996</v>
      </c>
    </row>
    <row r="328" spans="1:4" x14ac:dyDescent="0.2">
      <c r="A328" s="76"/>
      <c r="B328" s="76" t="s">
        <v>90</v>
      </c>
      <c r="C328" s="75">
        <f>'[21]eng-daily-01012016-12312016'!$M$361</f>
        <v>356.7</v>
      </c>
      <c r="D328" s="75">
        <f>'[21]eng-daily-01012016-12312016'!$O$361</f>
        <v>0</v>
      </c>
    </row>
    <row r="329" spans="1:4" x14ac:dyDescent="0.2">
      <c r="A329" s="76"/>
      <c r="B329" s="76" t="s">
        <v>92</v>
      </c>
      <c r="C329" s="75">
        <f>'[21]eng-daily-01012016-12312016'!$M$392</f>
        <v>567.70000000000005</v>
      </c>
      <c r="D329" s="75">
        <f>'[21]eng-daily-01012016-12312016'!$O$392</f>
        <v>0</v>
      </c>
    </row>
  </sheetData>
  <mergeCells count="1">
    <mergeCell ref="C3:D3"/>
  </mergeCells>
  <phoneticPr fontId="9" type="noConversion"/>
  <pageMargins left="0.7" right="0.7" top="0.75" bottom="0.75" header="0.3" footer="0.3"/>
  <pageSetup orientation="portrait" verticalDpi="0" r:id="rId1"/>
  <headerFooter alignWithMargins="0"/>
  <cellWatches>
    <cellWatch r="C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CDM Activity</vt:lpstr>
      <vt:lpstr>Historical HDD &amp; CDD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2012-08-14T01:12:26Z</cp:lastPrinted>
  <dcterms:created xsi:type="dcterms:W3CDTF">2008-02-06T18:24:44Z</dcterms:created>
  <dcterms:modified xsi:type="dcterms:W3CDTF">2017-04-04T20:24:21Z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