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ooperative Hydro Embrun\CHE 2018 CoS\Models\Unlinked Final Models\"/>
    </mc:Choice>
  </mc:AlternateContent>
  <bookViews>
    <workbookView xWindow="0" yWindow="0" windowWidth="28800" windowHeight="1191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1" l="1"/>
  <c r="J21" i="4" l="1"/>
  <c r="J20" i="4"/>
  <c r="G17" i="4"/>
  <c r="J122" i="4"/>
  <c r="I122" i="4"/>
  <c r="H122" i="4"/>
  <c r="J37" i="4"/>
  <c r="I37" i="4"/>
  <c r="H37" i="4"/>
  <c r="I22" i="4"/>
  <c r="H22" i="4"/>
  <c r="J16" i="4"/>
  <c r="I16" i="4"/>
  <c r="J78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H115" i="4"/>
  <c r="H35" i="4" s="1"/>
  <c r="H27" i="4" s="1"/>
  <c r="K115" i="4"/>
  <c r="K29" i="4" s="1"/>
  <c r="L115" i="4"/>
  <c r="L29" i="4" s="1"/>
  <c r="I29" i="4" l="1"/>
  <c r="I35" i="4"/>
  <c r="I27" i="4" s="1"/>
  <c r="J29" i="4"/>
  <c r="J35" i="4"/>
  <c r="J27" i="4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H16" i="4" s="1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9" i="1"/>
  <c r="H156" i="1"/>
  <c r="H220" i="1" s="1"/>
  <c r="I143" i="1"/>
  <c r="H154" i="1"/>
  <c r="H208" i="1" s="1"/>
  <c r="H215" i="1" s="1"/>
  <c r="H218" i="1"/>
  <c r="H211" i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H256" i="1" l="1"/>
  <c r="H122" i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I122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J122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H248" i="1" s="1"/>
  <c r="H257" i="1" s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G12" i="5"/>
  <c r="H261" i="1"/>
  <c r="H258" i="1"/>
  <c r="H259" i="1" s="1"/>
  <c r="K177" i="1"/>
  <c r="J241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G16" i="5"/>
  <c r="G22" i="5" s="1"/>
  <c r="G14" i="5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8" i="1" l="1"/>
  <c r="J130" i="1" s="1"/>
  <c r="I98" i="1"/>
  <c r="I130" i="1" s="1"/>
  <c r="I131" i="1" s="1"/>
  <c r="J97" i="1"/>
  <c r="I97" i="1"/>
  <c r="J96" i="1"/>
  <c r="I96" i="1"/>
  <c r="I155" i="1" l="1"/>
  <c r="I209" i="1" s="1"/>
  <c r="I129" i="1"/>
  <c r="I128" i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129" i="1"/>
  <c r="J155" i="1"/>
  <c r="J209" i="1" s="1"/>
  <c r="I154" i="1"/>
  <c r="I208" i="1" s="1"/>
  <c r="J131" i="1"/>
  <c r="J213" i="1" l="1"/>
  <c r="J234" i="1" s="1"/>
  <c r="J216" i="1"/>
  <c r="J237" i="1" s="1"/>
  <c r="J230" i="1"/>
  <c r="I211" i="1"/>
  <c r="I232" i="1" s="1"/>
  <c r="I218" i="1"/>
  <c r="I239" i="1" s="1"/>
  <c r="I214" i="1"/>
  <c r="I235" i="1" s="1"/>
  <c r="I217" i="1"/>
  <c r="I238" i="1" s="1"/>
  <c r="I228" i="1"/>
  <c r="K131" i="1"/>
  <c r="J154" i="1"/>
  <c r="J208" i="1" s="1"/>
  <c r="J217" i="1" s="1"/>
  <c r="J238" i="1" s="1"/>
  <c r="I219" i="1"/>
  <c r="I240" i="1" s="1"/>
  <c r="I215" i="1"/>
  <c r="I236" i="1" s="1"/>
  <c r="I212" i="1"/>
  <c r="I233" i="1" s="1"/>
  <c r="I229" i="1"/>
  <c r="J211" i="1"/>
  <c r="J232" i="1" s="1"/>
  <c r="J218" i="1"/>
  <c r="J239" i="1" s="1"/>
  <c r="J214" i="1"/>
  <c r="J235" i="1" s="1"/>
  <c r="J228" i="1"/>
  <c r="I213" i="1"/>
  <c r="I234" i="1" s="1"/>
  <c r="I216" i="1"/>
  <c r="I237" i="1" s="1"/>
  <c r="I230" i="1"/>
  <c r="I245" i="1" l="1"/>
  <c r="I246" i="1" s="1"/>
  <c r="I248" i="1" s="1"/>
  <c r="I257" i="1" s="1"/>
  <c r="J219" i="1"/>
  <c r="J240" i="1" s="1"/>
  <c r="J212" i="1"/>
  <c r="J233" i="1" s="1"/>
  <c r="J215" i="1"/>
  <c r="J236" i="1" s="1"/>
  <c r="J229" i="1"/>
  <c r="K154" i="1"/>
  <c r="K208" i="1" s="1"/>
  <c r="L131" i="1"/>
  <c r="J245" i="1" l="1"/>
  <c r="J246" i="1" s="1"/>
  <c r="J248" i="1" s="1"/>
  <c r="J257" i="1" s="1"/>
  <c r="I12" i="5" s="1"/>
  <c r="I10" i="5" s="1"/>
  <c r="I14" i="5" s="1"/>
  <c r="I16" i="5" s="1"/>
  <c r="M131" i="1"/>
  <c r="M154" i="1" s="1"/>
  <c r="M208" i="1" s="1"/>
  <c r="L154" i="1"/>
  <c r="L208" i="1" s="1"/>
  <c r="K215" i="1"/>
  <c r="K236" i="1" s="1"/>
  <c r="K219" i="1"/>
  <c r="K240" i="1" s="1"/>
  <c r="K212" i="1"/>
  <c r="K233" i="1" s="1"/>
  <c r="K217" i="1"/>
  <c r="K238" i="1" s="1"/>
  <c r="K229" i="1"/>
  <c r="I261" i="1"/>
  <c r="H12" i="5"/>
  <c r="I258" i="1"/>
  <c r="I259" i="1" s="1"/>
  <c r="J261" i="1" l="1"/>
  <c r="J258" i="1"/>
  <c r="J259" i="1" s="1"/>
  <c r="H14" i="5"/>
  <c r="H16" i="5"/>
  <c r="I18" i="5" s="1"/>
  <c r="M219" i="1"/>
  <c r="M240" i="1" s="1"/>
  <c r="M217" i="1"/>
  <c r="M238" i="1" s="1"/>
  <c r="M212" i="1"/>
  <c r="M233" i="1" s="1"/>
  <c r="M215" i="1"/>
  <c r="M236" i="1" s="1"/>
  <c r="M229" i="1"/>
  <c r="L217" i="1"/>
  <c r="L238" i="1" s="1"/>
  <c r="L212" i="1"/>
  <c r="L233" i="1" s="1"/>
  <c r="L215" i="1"/>
  <c r="L236" i="1" s="1"/>
  <c r="L219" i="1"/>
  <c r="L240" i="1" s="1"/>
  <c r="L229" i="1"/>
  <c r="I22" i="5"/>
  <c r="H22" i="5" l="1"/>
  <c r="H18" i="5"/>
  <c r="H24" i="5" s="1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<sst xmlns="http://schemas.openxmlformats.org/spreadsheetml/2006/main" count="520" uniqueCount="278">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</sst>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zoomScaleNormal="100" workbookViewId="0">
      <selection activeCell="J14" sqref="J1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Cooperative Hydro Embrun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216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369452</v>
      </c>
      <c r="H9" s="125">
        <v>458644.94000000006</v>
      </c>
      <c r="I9" s="125">
        <v>1706996</v>
      </c>
      <c r="J9" s="125">
        <v>150205</v>
      </c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270288</v>
      </c>
      <c r="H10" s="125"/>
      <c r="I10" s="125">
        <v>1517396</v>
      </c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2059</v>
      </c>
      <c r="H13" s="125">
        <v>2137</v>
      </c>
      <c r="I13" s="125">
        <v>2217</v>
      </c>
      <c r="J13" s="125">
        <v>2281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28288106</v>
      </c>
      <c r="H14" s="125">
        <v>28472872</v>
      </c>
      <c r="I14" s="125">
        <v>30114361.068542439</v>
      </c>
      <c r="J14" s="125">
        <v>29963503.745880112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6635</v>
      </c>
      <c r="H15" s="125">
        <v>12975</v>
      </c>
      <c r="I15" s="125">
        <v>13290.709899802026</v>
      </c>
      <c r="J15" s="125">
        <v>13339.320805544068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36</v>
      </c>
      <c r="H16" s="125">
        <f>G16</f>
        <v>36</v>
      </c>
      <c r="I16" s="125">
        <f>G16</f>
        <v>36</v>
      </c>
      <c r="J16" s="125">
        <f>G16</f>
        <v>36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0.14963707426018985</v>
      </c>
      <c r="H17" s="119">
        <v>4.2999999999999997E-2</v>
      </c>
      <c r="I17" s="119">
        <v>3.8199999999999998E-2</v>
      </c>
      <c r="J17" s="119">
        <v>2.9399999999999999E-2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 t="shared" si="0"/>
        <v>1.574491305654421E-2</v>
      </c>
      <c r="I21" s="124">
        <f t="shared" si="0"/>
        <v>1.574491305654421E-2</v>
      </c>
      <c r="J21" s="124">
        <f t="shared" si="0"/>
        <v>1.574491305654421E-2</v>
      </c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f>G22</f>
        <v>6.5054666666666677E-2</v>
      </c>
      <c r="I22" s="124">
        <f>G22</f>
        <v>6.5054666666666677E-2</v>
      </c>
      <c r="J22" s="124">
        <v>5.2064000000000013E-2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613272.34000000008</v>
      </c>
      <c r="H27" s="51">
        <f t="shared" ref="H27:M27" si="1">H35-H36+H37</f>
        <v>599309.76</v>
      </c>
      <c r="I27" s="51">
        <f t="shared" si="1"/>
        <v>639617.24</v>
      </c>
      <c r="J27" s="51">
        <f t="shared" si="1"/>
        <v>709612.24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2">G115-G121+G122</f>
        <v>613272.34000000008</v>
      </c>
      <c r="H29" s="51">
        <f t="shared" si="2"/>
        <v>599309.76</v>
      </c>
      <c r="I29" s="51">
        <f t="shared" si="2"/>
        <v>639617.24</v>
      </c>
      <c r="J29" s="51">
        <f t="shared" si="2"/>
        <v>709612.24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613272.34000000008</v>
      </c>
      <c r="H31" s="51">
        <f t="shared" si="3"/>
        <v>599309.76</v>
      </c>
      <c r="I31" s="51">
        <f t="shared" si="3"/>
        <v>639617.24</v>
      </c>
      <c r="J31" s="51">
        <f t="shared" si="3"/>
        <v>709612.24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606071.10000000009</v>
      </c>
      <c r="H35" s="120">
        <f>H115</f>
        <v>592108.52</v>
      </c>
      <c r="I35" s="120">
        <f>I115</f>
        <v>632416</v>
      </c>
      <c r="J35" s="120">
        <f>J115</f>
        <v>702411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7201.24</v>
      </c>
      <c r="H37" s="125">
        <f>G37</f>
        <v>7201.24</v>
      </c>
      <c r="I37" s="125">
        <f>G37</f>
        <v>7201.24</v>
      </c>
      <c r="J37" s="120">
        <f>G37</f>
        <v>7201.24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>
        <v>0</v>
      </c>
      <c r="I44" s="142">
        <v>0</v>
      </c>
      <c r="J44" s="142">
        <v>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>
        <v>0</v>
      </c>
      <c r="I45" s="142">
        <v>0</v>
      </c>
      <c r="J45" s="142">
        <v>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1449.78</v>
      </c>
      <c r="H46" s="142">
        <v>1306.48</v>
      </c>
      <c r="I46" s="142">
        <v>1380</v>
      </c>
      <c r="J46" s="142">
        <v>1449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2">
        <v>0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2">
        <v>0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0</v>
      </c>
      <c r="H49" s="142">
        <v>0</v>
      </c>
      <c r="I49" s="142">
        <v>0</v>
      </c>
      <c r="J49" s="142">
        <v>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0</v>
      </c>
      <c r="H50" s="142">
        <v>0</v>
      </c>
      <c r="I50" s="142">
        <v>0</v>
      </c>
      <c r="J50" s="142">
        <v>0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0</v>
      </c>
      <c r="H51" s="142">
        <v>0</v>
      </c>
      <c r="I51" s="142">
        <v>0</v>
      </c>
      <c r="J51" s="142">
        <v>0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0</v>
      </c>
      <c r="H52" s="142">
        <v>0</v>
      </c>
      <c r="I52" s="142">
        <v>0</v>
      </c>
      <c r="J52" s="142">
        <v>0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1512.5</v>
      </c>
      <c r="H53" s="142">
        <v>3185.14</v>
      </c>
      <c r="I53" s="142">
        <v>3350</v>
      </c>
      <c r="J53" s="142">
        <v>3500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0</v>
      </c>
      <c r="H54" s="142"/>
      <c r="I54" s="142"/>
      <c r="J54" s="142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0</v>
      </c>
      <c r="I55" s="142">
        <v>0</v>
      </c>
      <c r="J55" s="142">
        <v>0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>
        <v>0</v>
      </c>
      <c r="I56" s="142">
        <v>0</v>
      </c>
      <c r="J56" s="142">
        <v>0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1595</v>
      </c>
      <c r="H57" s="142">
        <v>907.5</v>
      </c>
      <c r="I57" s="142">
        <v>1200</v>
      </c>
      <c r="J57" s="142">
        <v>1400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v>0</v>
      </c>
      <c r="I58" s="142">
        <v>0</v>
      </c>
      <c r="J58" s="142"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25524.58</v>
      </c>
      <c r="H59" s="142">
        <v>19441.63</v>
      </c>
      <c r="I59" s="142">
        <v>20400</v>
      </c>
      <c r="J59" s="142">
        <v>21420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9682.09</v>
      </c>
      <c r="H60" s="142">
        <v>9368.08</v>
      </c>
      <c r="I60" s="142">
        <v>9500</v>
      </c>
      <c r="J60" s="142">
        <v>10000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2"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0</v>
      </c>
      <c r="H62" s="142">
        <v>0</v>
      </c>
      <c r="I62" s="142">
        <v>0</v>
      </c>
      <c r="J62" s="142">
        <v>0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2"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39763.949999999997</v>
      </c>
      <c r="H64" s="81">
        <f>SUM(H44:H63)</f>
        <v>34208.83</v>
      </c>
      <c r="I64" s="81">
        <f t="shared" ref="I64:M64" si="4">SUM(I44:I63)</f>
        <v>35830</v>
      </c>
      <c r="J64" s="81">
        <f t="shared" si="4"/>
        <v>37769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0</v>
      </c>
      <c r="H65" s="142">
        <v>0</v>
      </c>
      <c r="I65" s="142">
        <v>0</v>
      </c>
      <c r="J65" s="142">
        <v>0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7947.74</v>
      </c>
      <c r="H66" s="142">
        <v>8420.64</v>
      </c>
      <c r="I66" s="142">
        <v>9000</v>
      </c>
      <c r="J66" s="142">
        <v>9450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2"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5093.05</v>
      </c>
      <c r="H68" s="142">
        <v>6133.54</v>
      </c>
      <c r="I68" s="142">
        <v>6450</v>
      </c>
      <c r="J68" s="142">
        <v>9950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2693</v>
      </c>
      <c r="H69" s="142">
        <v>6652.08</v>
      </c>
      <c r="I69" s="142">
        <v>6985</v>
      </c>
      <c r="J69" s="142">
        <v>7335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4521.75</v>
      </c>
      <c r="H70" s="142">
        <v>5419.25</v>
      </c>
      <c r="I70" s="142">
        <v>5690</v>
      </c>
      <c r="J70" s="142">
        <v>5975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0</v>
      </c>
      <c r="H71" s="142">
        <v>0</v>
      </c>
      <c r="I71" s="142">
        <v>0</v>
      </c>
      <c r="J71" s="142">
        <v>0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5995</v>
      </c>
      <c r="H72" s="142">
        <v>7672.5</v>
      </c>
      <c r="I72" s="142">
        <v>8000</v>
      </c>
      <c r="J72" s="142">
        <v>8400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0</v>
      </c>
      <c r="H73" s="142">
        <v>0</v>
      </c>
      <c r="I73" s="142">
        <v>0</v>
      </c>
      <c r="J73" s="142">
        <v>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0</v>
      </c>
      <c r="H74" s="142">
        <v>9924.75</v>
      </c>
      <c r="I74" s="142">
        <v>10420</v>
      </c>
      <c r="J74" s="142">
        <v>10900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0</v>
      </c>
      <c r="H75" s="142">
        <v>2000</v>
      </c>
      <c r="I75" s="142">
        <v>2100</v>
      </c>
      <c r="J75" s="142">
        <v>2205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0</v>
      </c>
      <c r="H76" s="142">
        <v>0</v>
      </c>
      <c r="I76" s="142">
        <v>2000</v>
      </c>
      <c r="J76" s="142">
        <v>2000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0</v>
      </c>
      <c r="H77" s="142">
        <v>0</v>
      </c>
      <c r="I77" s="142">
        <v>0</v>
      </c>
      <c r="J77" s="142">
        <v>0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26250.54</v>
      </c>
      <c r="H78" s="81">
        <f>SUM(H65:H77)</f>
        <v>46222.76</v>
      </c>
      <c r="I78" s="81">
        <f t="shared" ref="I78:M78" si="5">SUM(I65:I77)</f>
        <v>50645</v>
      </c>
      <c r="J78" s="81">
        <f>SUM(J65:J77)</f>
        <v>56215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>
        <v>0</v>
      </c>
      <c r="I79" s="142">
        <v>0</v>
      </c>
      <c r="J79" s="142">
        <v>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0</v>
      </c>
      <c r="H80" s="142">
        <v>0</v>
      </c>
      <c r="I80" s="142">
        <v>0</v>
      </c>
      <c r="J80" s="142">
        <v>0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201913.39</v>
      </c>
      <c r="H81" s="142">
        <v>168889.18</v>
      </c>
      <c r="I81" s="142">
        <v>183718</v>
      </c>
      <c r="J81" s="142">
        <v>195450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0</v>
      </c>
      <c r="H82" s="142">
        <v>0</v>
      </c>
      <c r="I82" s="142">
        <v>0</v>
      </c>
      <c r="J82" s="142">
        <v>0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v>0</v>
      </c>
      <c r="I83" s="142">
        <v>0</v>
      </c>
      <c r="J83" s="142">
        <v>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3650</v>
      </c>
      <c r="H84" s="142">
        <v>3930</v>
      </c>
      <c r="I84" s="142">
        <v>4305</v>
      </c>
      <c r="J84" s="142">
        <v>4520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>
        <v>0</v>
      </c>
      <c r="I85" s="142">
        <v>0</v>
      </c>
      <c r="J85" s="142">
        <v>0</v>
      </c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205563.39</v>
      </c>
      <c r="H86" s="81">
        <f>SUM(H79:H85)</f>
        <v>172819.18</v>
      </c>
      <c r="I86" s="81">
        <f t="shared" ref="I86:M86" si="6">SUM(I79:I85)</f>
        <v>188023</v>
      </c>
      <c r="J86" s="81">
        <f t="shared" si="6"/>
        <v>199970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8362.7000000000007</v>
      </c>
      <c r="H88" s="142">
        <v>7862.84</v>
      </c>
      <c r="I88" s="142">
        <v>4500</v>
      </c>
      <c r="J88" s="142">
        <v>4725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8362.7000000000007</v>
      </c>
      <c r="H91" s="81">
        <f>SUM(H87:H90)</f>
        <v>7862.84</v>
      </c>
      <c r="I91" s="81">
        <f t="shared" ref="I91:M91" si="7">SUM(I87:I90)</f>
        <v>4500</v>
      </c>
      <c r="J91" s="81">
        <f t="shared" si="7"/>
        <v>4725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27661.8</v>
      </c>
      <c r="H92" s="142">
        <v>29694</v>
      </c>
      <c r="I92" s="142">
        <v>33600</v>
      </c>
      <c r="J92" s="142">
        <v>35100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93234.78</v>
      </c>
      <c r="H93" s="142">
        <v>93979.87</v>
      </c>
      <c r="I93" s="142">
        <v>100289</v>
      </c>
      <c r="J93" s="142">
        <v>102000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64691.06</v>
      </c>
      <c r="H94" s="142">
        <v>65744.33</v>
      </c>
      <c r="I94" s="142">
        <v>69000</v>
      </c>
      <c r="J94" s="142">
        <v>72000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42007.040000000001</v>
      </c>
      <c r="H95" s="142">
        <v>37793.61</v>
      </c>
      <c r="I95" s="142">
        <v>39294</v>
      </c>
      <c r="J95" s="142">
        <v>41259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2"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42412.13</v>
      </c>
      <c r="H97" s="142">
        <v>45071.360000000001</v>
      </c>
      <c r="I97" s="142">
        <v>47325</v>
      </c>
      <c r="J97" s="142">
        <v>49691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2062.4</v>
      </c>
      <c r="H98" s="142">
        <v>2772.15</v>
      </c>
      <c r="I98" s="142">
        <v>3440</v>
      </c>
      <c r="J98" s="142">
        <v>3612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0</v>
      </c>
      <c r="H99" s="142">
        <v>0</v>
      </c>
      <c r="I99" s="142">
        <v>0</v>
      </c>
      <c r="J99" s="142">
        <v>0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2">
        <v>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2">
        <v>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2"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36194.21</v>
      </c>
      <c r="H103" s="142">
        <v>39811.699999999997</v>
      </c>
      <c r="I103" s="142">
        <v>43500</v>
      </c>
      <c r="J103" s="142">
        <v>81800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0</v>
      </c>
      <c r="H104" s="142">
        <v>0</v>
      </c>
      <c r="I104" s="142">
        <v>0</v>
      </c>
      <c r="J104" s="142">
        <v>0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14100</v>
      </c>
      <c r="H105" s="142">
        <v>14252.75</v>
      </c>
      <c r="I105" s="142">
        <v>15000</v>
      </c>
      <c r="J105" s="142">
        <v>16200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2"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0</v>
      </c>
      <c r="H107" s="142">
        <v>0</v>
      </c>
      <c r="I107" s="142">
        <v>0</v>
      </c>
      <c r="J107" s="142">
        <v>0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1913.1</v>
      </c>
      <c r="H108" s="142">
        <v>1875.14</v>
      </c>
      <c r="I108" s="142">
        <v>1970</v>
      </c>
      <c r="J108" s="142">
        <v>2070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324276.52</v>
      </c>
      <c r="H109" s="81">
        <f>SUM(H92:H108)</f>
        <v>330994.91000000003</v>
      </c>
      <c r="I109" s="81">
        <f t="shared" ref="I109:M109" si="8">SUM(I92:I108)</f>
        <v>353418</v>
      </c>
      <c r="J109" s="81">
        <f t="shared" si="8"/>
        <v>403732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1854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1854</v>
      </c>
      <c r="H112" s="81">
        <f>H110+H111</f>
        <v>0</v>
      </c>
      <c r="I112" s="81">
        <f t="shared" ref="I112:M112" si="9">I110+I111</f>
        <v>0</v>
      </c>
      <c r="J112" s="81">
        <f t="shared" si="9"/>
        <v>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606071.10000000009</v>
      </c>
      <c r="H115" s="81">
        <f>H114+H112+H109+H91+H86+H78+H64</f>
        <v>592108.52</v>
      </c>
      <c r="I115" s="81">
        <f t="shared" ref="I115:M115" si="11">I114+I112+I109+I91+I86+I78+I64</f>
        <v>632416</v>
      </c>
      <c r="J115" s="81">
        <f t="shared" si="11"/>
        <v>702411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7201.24</v>
      </c>
      <c r="H122" s="176">
        <f>G122</f>
        <v>7201.24</v>
      </c>
      <c r="I122" s="176">
        <f>G122</f>
        <v>7201.24</v>
      </c>
      <c r="J122" s="176">
        <f>G122</f>
        <v>7201.24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93" activePane="bottomLeft" state="frozen"/>
      <selection activeCell="G33" sqref="G33"/>
      <selection pane="bottomLeft" activeCell="J122" sqref="G122:J12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Cooperative Hydro Embrun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1449.78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0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1512.5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1595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25524.58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9682.09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39763.949999999997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7947.74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5093.05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2693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4521.75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0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5995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0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0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0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26250.54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0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201913.39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0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3650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205563.39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8362.7000000000007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8362.7000000000007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27661.8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93234.78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64691.06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42007.040000000001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42412.13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2062.4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36194.21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0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14100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1913.1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324276.52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1854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1854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606071.10000000009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7201.24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613272.34000000008</v>
      </c>
      <c r="H89" s="186">
        <f>'Model Inputs'!H31</f>
        <v>599309.76</v>
      </c>
      <c r="I89" s="187">
        <f>'Model Inputs'!I31</f>
        <v>639617.24</v>
      </c>
      <c r="J89" s="187">
        <f>'Model Inputs'!J31</f>
        <v>709612.24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369452</v>
      </c>
      <c r="H92" s="186">
        <f>'Model Inputs'!H9</f>
        <v>458644.94000000006</v>
      </c>
      <c r="I92" s="187">
        <f>'Model Inputs'!I9</f>
        <v>1706996</v>
      </c>
      <c r="J92" s="187">
        <f>'Model Inputs'!J9</f>
        <v>150205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270288</v>
      </c>
      <c r="H93" s="186">
        <f>'Model Inputs'!H10</f>
        <v>0</v>
      </c>
      <c r="I93" s="187">
        <f>'Model Inputs'!I10</f>
        <v>1517396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2059</v>
      </c>
      <c r="H96" s="186">
        <f>'Model Inputs'!H13</f>
        <v>2137</v>
      </c>
      <c r="I96" s="187">
        <f>'Model Inputs'!I13</f>
        <v>2217</v>
      </c>
      <c r="J96" s="187">
        <f>'Model Inputs'!J13</f>
        <v>2281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28288106</v>
      </c>
      <c r="H97" s="186">
        <f>'Model Inputs'!H14</f>
        <v>28472872</v>
      </c>
      <c r="I97" s="187">
        <f>'Model Inputs'!I14</f>
        <v>30114361.068542439</v>
      </c>
      <c r="J97" s="187">
        <f>'Model Inputs'!J14</f>
        <v>29963503.745880112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6635</v>
      </c>
      <c r="H98" s="186">
        <f>'Model Inputs'!H15</f>
        <v>12975</v>
      </c>
      <c r="I98" s="187">
        <f>'Model Inputs'!I15</f>
        <v>13290.709899802026</v>
      </c>
      <c r="J98" s="187">
        <f>'Model Inputs'!J15</f>
        <v>13339.320805544068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36</v>
      </c>
      <c r="H99" s="186">
        <f>'Model Inputs'!H16</f>
        <v>36</v>
      </c>
      <c r="I99" s="187">
        <f>'Model Inputs'!I16</f>
        <v>36</v>
      </c>
      <c r="J99" s="187">
        <f>'Model Inputs'!J16</f>
        <v>36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613272.34000000008</v>
      </c>
      <c r="H107" s="29">
        <f t="shared" ref="H107:K107" si="4">H89</f>
        <v>599309.76</v>
      </c>
      <c r="I107" s="29">
        <f t="shared" si="4"/>
        <v>639617.24</v>
      </c>
      <c r="J107" s="29">
        <f t="shared" si="4"/>
        <v>709612.24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6.5054666666666677E-2</v>
      </c>
      <c r="I110" s="202">
        <f>'Model Inputs'!I22</f>
        <v>6.5054666666666677E-2</v>
      </c>
      <c r="J110" s="202">
        <f>'Model Inputs'!J22</f>
        <v>5.2064000000000013E-2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171.00798788639747</v>
      </c>
      <c r="K112" s="205">
        <f>J112*EXP('Model Inputs'!K21)</f>
        <v>171.00798788639747</v>
      </c>
      <c r="L112" s="205">
        <f>K112*EXP('Model Inputs'!L21)</f>
        <v>171.00798788639747</v>
      </c>
      <c r="M112" s="206">
        <f>L112*EXP('Model Inputs'!M21)</f>
        <v>171.00798788639747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18.217550546821649</v>
      </c>
      <c r="I113" s="29">
        <f t="shared" si="7"/>
        <v>18.506654280427806</v>
      </c>
      <c r="J113" s="29">
        <f t="shared" si="7"/>
        <v>16.613541710494008</v>
      </c>
      <c r="K113" s="29">
        <f t="shared" si="7"/>
        <v>7.8492666439856444</v>
      </c>
      <c r="L113" s="29">
        <f t="shared" si="7"/>
        <v>7.8492666439856444</v>
      </c>
      <c r="M113" s="29">
        <f t="shared" si="7"/>
        <v>7.8492666439856444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369452</v>
      </c>
      <c r="H114" s="207">
        <f>H92</f>
        <v>458644.94000000006</v>
      </c>
      <c r="I114" s="208">
        <f t="shared" ref="I114:L114" si="8">I92</f>
        <v>1706996</v>
      </c>
      <c r="J114" s="208">
        <f t="shared" si="8"/>
        <v>150205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270288</v>
      </c>
      <c r="H115" s="210">
        <f>H93</f>
        <v>0</v>
      </c>
      <c r="I115" s="211">
        <f t="shared" ref="I115:L115" si="10">I93</f>
        <v>1517396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607.92699160188852</v>
      </c>
      <c r="H116" s="8">
        <f t="shared" ref="H116:K116" si="12">(H114-H115)/H112</f>
        <v>2767.8086815586757</v>
      </c>
      <c r="I116" s="8">
        <f t="shared" si="12"/>
        <v>1126.3149918379597</v>
      </c>
      <c r="J116" s="8">
        <f t="shared" si="12"/>
        <v>878.3507826533978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1269.9935354535601</v>
      </c>
      <c r="H117" s="25">
        <f t="shared" ref="H117:M117" si="14">H111*G118</f>
        <v>1239.6046810907685</v>
      </c>
      <c r="I117" s="25">
        <f t="shared" si="14"/>
        <v>1309.7492447122454</v>
      </c>
      <c r="J117" s="25">
        <f t="shared" si="14"/>
        <v>1301.3296125053157</v>
      </c>
      <c r="K117" s="25">
        <f t="shared" si="14"/>
        <v>1281.9148842151126</v>
      </c>
      <c r="L117" s="25">
        <f t="shared" si="14"/>
        <v>1223.074991029639</v>
      </c>
      <c r="M117" s="25">
        <f t="shared" si="14"/>
        <v>1166.9358489413785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27006.63793226075</v>
      </c>
      <c r="H118" s="25">
        <f t="shared" ref="H118:M118" si="15">G118+H116-H117</f>
        <v>28534.841932728657</v>
      </c>
      <c r="I118" s="25">
        <f t="shared" si="15"/>
        <v>28351.407679854372</v>
      </c>
      <c r="J118" s="25">
        <f t="shared" si="15"/>
        <v>27928.428850002452</v>
      </c>
      <c r="K118" s="25">
        <f t="shared" si="15"/>
        <v>26646.513965787341</v>
      </c>
      <c r="L118" s="25">
        <f t="shared" si="15"/>
        <v>25423.438974757701</v>
      </c>
      <c r="M118" s="25">
        <f t="shared" si="15"/>
        <v>24256.503125816322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484184.68259761768</v>
      </c>
      <c r="H119" s="25">
        <f t="shared" ref="H119:K119" si="16">H113*H118</f>
        <v>519834.92525505024</v>
      </c>
      <c r="I119" s="25">
        <f t="shared" si="16"/>
        <v>524689.70029453072</v>
      </c>
      <c r="J119" s="25">
        <f t="shared" si="16"/>
        <v>463990.11760807992</v>
      </c>
      <c r="K119" s="25">
        <f t="shared" si="16"/>
        <v>209155.59325015222</v>
      </c>
      <c r="L119" s="25">
        <f t="shared" ref="L119:M119" si="17">L113*L118</f>
        <v>199555.35151997022</v>
      </c>
      <c r="M119" s="25">
        <f t="shared" si="17"/>
        <v>190395.76088520358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1097457.0225976177</v>
      </c>
      <c r="H121" s="25">
        <f t="shared" ref="H121:K121" si="18">H107+H119</f>
        <v>1119144.6852550502</v>
      </c>
      <c r="I121" s="25">
        <f t="shared" si="18"/>
        <v>1164306.9402945307</v>
      </c>
      <c r="J121" s="25">
        <f t="shared" si="18"/>
        <v>1173602.3576080799</v>
      </c>
      <c r="K121" s="25">
        <f t="shared" si="18"/>
        <v>209155.59325015222</v>
      </c>
      <c r="L121" s="25">
        <f t="shared" ref="L121:M121" si="19">L107+L119</f>
        <v>199555.35151997022</v>
      </c>
      <c r="M121" s="25">
        <f t="shared" si="19"/>
        <v>190395.76088520358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G122" s="25">
        <f>G121/G142</f>
        <v>30484.917294378269</v>
      </c>
      <c r="H122" s="25">
        <f t="shared" ref="H122:J122" si="20">H121/H142</f>
        <v>31087.35236819584</v>
      </c>
      <c r="I122" s="25">
        <f t="shared" si="20"/>
        <v>32341.859452625853</v>
      </c>
      <c r="J122" s="25">
        <f t="shared" si="20"/>
        <v>32600.065489113331</v>
      </c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2059</v>
      </c>
      <c r="H128" s="8">
        <f t="shared" ref="H128:K130" si="21">H96</f>
        <v>2137</v>
      </c>
      <c r="I128" s="8">
        <f t="shared" si="21"/>
        <v>2217</v>
      </c>
      <c r="J128" s="8">
        <f t="shared" si="21"/>
        <v>2281</v>
      </c>
      <c r="K128" s="8">
        <f t="shared" si="21"/>
        <v>0</v>
      </c>
      <c r="L128" s="8">
        <f t="shared" ref="L128:M128" si="22">L96</f>
        <v>0</v>
      </c>
      <c r="M128" s="8">
        <f t="shared" si="22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28288106</v>
      </c>
      <c r="H129" s="39">
        <f t="shared" si="21"/>
        <v>28472872</v>
      </c>
      <c r="I129" s="39">
        <f t="shared" si="21"/>
        <v>30114361.068542439</v>
      </c>
      <c r="J129" s="39">
        <f t="shared" si="21"/>
        <v>29963503.745880112</v>
      </c>
      <c r="K129" s="39">
        <f t="shared" si="21"/>
        <v>0</v>
      </c>
      <c r="L129" s="39">
        <f t="shared" ref="L129:M129" si="23">L97</f>
        <v>0</v>
      </c>
      <c r="M129" s="39">
        <f t="shared" si="2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6635</v>
      </c>
      <c r="H130" s="8">
        <f t="shared" si="21"/>
        <v>12975</v>
      </c>
      <c r="I130" s="8">
        <f t="shared" si="21"/>
        <v>13290.709899802026</v>
      </c>
      <c r="J130" s="8">
        <f t="shared" si="21"/>
        <v>13339.320805544068</v>
      </c>
      <c r="K130" s="8">
        <f t="shared" si="21"/>
        <v>0</v>
      </c>
      <c r="L130" s="8">
        <f t="shared" ref="L130:M130" si="24">L98</f>
        <v>0</v>
      </c>
      <c r="M130" s="8">
        <f t="shared" si="24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7251</v>
      </c>
      <c r="H131" s="8">
        <f t="shared" ref="H131:M131" si="25">MAX(G131,H130)</f>
        <v>12975</v>
      </c>
      <c r="I131" s="8">
        <f t="shared" si="25"/>
        <v>13290.709899802026</v>
      </c>
      <c r="J131" s="8">
        <f t="shared" si="25"/>
        <v>13339.320805544068</v>
      </c>
      <c r="K131" s="8">
        <f t="shared" si="25"/>
        <v>13339.320805544068</v>
      </c>
      <c r="L131" s="8">
        <f t="shared" si="25"/>
        <v>13339.320805544068</v>
      </c>
      <c r="M131" s="8">
        <f t="shared" si="25"/>
        <v>13339.320805544068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120.79821124012295</v>
      </c>
      <c r="K134" s="214">
        <f>J134*EXP('Model Inputs'!K21)</f>
        <v>120.79821124012295</v>
      </c>
      <c r="L134" s="214">
        <f>K134*EXP('Model Inputs'!L21)</f>
        <v>120.79821124012295</v>
      </c>
      <c r="M134" s="215">
        <f>L134*EXP('Model Inputs'!M21)</f>
        <v>120.79821124012295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6">LN(I134/H134)*0.3+LN(I135/H135)*0.7</f>
        <v>2.2671003495575846E-2</v>
      </c>
      <c r="J136" s="40">
        <f t="shared" si="26"/>
        <v>2.2671003495575846E-2</v>
      </c>
      <c r="K136" s="40">
        <f t="shared" si="26"/>
        <v>0</v>
      </c>
      <c r="L136" s="40">
        <f t="shared" si="26"/>
        <v>0</v>
      </c>
      <c r="M136" s="40">
        <f t="shared" si="26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139.7281787609837</v>
      </c>
      <c r="H137" s="29">
        <f t="shared" ref="H137:M137" si="27">G137*EXP(H136)</f>
        <v>142.93213804795639</v>
      </c>
      <c r="I137" s="29">
        <f t="shared" si="27"/>
        <v>146.20956394133304</v>
      </c>
      <c r="J137" s="29">
        <f t="shared" si="27"/>
        <v>149.5621410262701</v>
      </c>
      <c r="K137" s="29">
        <f t="shared" si="27"/>
        <v>149.5621410262701</v>
      </c>
      <c r="L137" s="29">
        <f t="shared" si="27"/>
        <v>149.5621410262701</v>
      </c>
      <c r="M137" s="29">
        <f t="shared" si="27"/>
        <v>149.5621410262701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8">H113</f>
        <v>18.217550546821649</v>
      </c>
      <c r="I139" s="29">
        <f t="shared" si="28"/>
        <v>18.506654280427806</v>
      </c>
      <c r="J139" s="29">
        <f t="shared" si="28"/>
        <v>16.613541710494008</v>
      </c>
      <c r="K139" s="29">
        <f t="shared" si="28"/>
        <v>7.8492666439856444</v>
      </c>
      <c r="L139" s="29">
        <f t="shared" ref="L139:M139" si="29">L113</f>
        <v>7.8492666439856444</v>
      </c>
      <c r="M139" s="29">
        <f t="shared" si="29"/>
        <v>7.8492666439856444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36</v>
      </c>
      <c r="H142" s="42">
        <f>'Model Inputs'!H16</f>
        <v>36</v>
      </c>
      <c r="I142" s="42">
        <f>'Model Inputs'!I16</f>
        <v>36</v>
      </c>
      <c r="J142" s="42">
        <f>'Model Inputs'!J16</f>
        <v>36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28.435714285714287</v>
      </c>
      <c r="H143" s="41">
        <f>(G143*14+H142)/15</f>
        <v>28.94</v>
      </c>
      <c r="I143" s="41">
        <f>(H143*15+I142)/16</f>
        <v>29.381250000000001</v>
      </c>
      <c r="J143" s="41">
        <f>(I143*16+J142)/17</f>
        <v>29.77058823529412</v>
      </c>
      <c r="K143" s="41">
        <f>(J143*17+K142)/18</f>
        <v>28.116666666666667</v>
      </c>
      <c r="L143" s="41">
        <f>(K143*17+L142)/18</f>
        <v>26.55462962962963</v>
      </c>
      <c r="M143" s="41">
        <f>(L143*17+M142)/18</f>
        <v>25.079372427983539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1791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0.14963707426018985</v>
      </c>
      <c r="H145" s="30">
        <f>'Model Inputs'!H17</f>
        <v>4.2999999999999997E-2</v>
      </c>
      <c r="I145" s="30">
        <f>'Model Inputs'!I17</f>
        <v>3.8199999999999998E-2</v>
      </c>
      <c r="J145" s="30">
        <f>'Model Inputs'!J17</f>
        <v>2.9399999999999999E-2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0">HLOOKUP($E$3,$P$3:$CI$269,O151,FALSE)</f>
        <v>1</v>
      </c>
      <c r="H151" s="32">
        <f t="shared" ref="H151:M151" si="31">G151</f>
        <v>1</v>
      </c>
      <c r="I151" s="32">
        <f t="shared" si="31"/>
        <v>1</v>
      </c>
      <c r="J151" s="32">
        <f t="shared" si="31"/>
        <v>1</v>
      </c>
      <c r="K151" s="32">
        <f t="shared" si="31"/>
        <v>1</v>
      </c>
      <c r="L151" s="32">
        <f t="shared" si="31"/>
        <v>1</v>
      </c>
      <c r="M151" s="32">
        <f t="shared" si="31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0"/>
        <v>0.12830882436162983</v>
      </c>
      <c r="H152" s="44">
        <f t="shared" ref="H152:K152" si="32">H113/H137</f>
        <v>0.12745594374799965</v>
      </c>
      <c r="I152" s="44">
        <f t="shared" si="32"/>
        <v>0.12657622238620209</v>
      </c>
      <c r="J152" s="44">
        <f t="shared" si="32"/>
        <v>0.11108119739724703</v>
      </c>
      <c r="K152" s="44">
        <f t="shared" si="32"/>
        <v>5.248164134402801E-2</v>
      </c>
      <c r="L152" s="44">
        <f t="shared" ref="L152:M152" si="33">L113/L137</f>
        <v>5.248164134402801E-2</v>
      </c>
      <c r="M152" s="44">
        <f t="shared" si="33"/>
        <v>5.248164134402801E-2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0"/>
        <v>2059</v>
      </c>
      <c r="H153" s="25">
        <f t="shared" ref="H153:K153" si="34">H96</f>
        <v>2137</v>
      </c>
      <c r="I153" s="25">
        <f t="shared" si="34"/>
        <v>2217</v>
      </c>
      <c r="J153" s="25">
        <f t="shared" si="34"/>
        <v>2281</v>
      </c>
      <c r="K153" s="25">
        <f t="shared" si="34"/>
        <v>0</v>
      </c>
      <c r="L153" s="25">
        <f t="shared" ref="L153:M153" si="35">L96</f>
        <v>0</v>
      </c>
      <c r="M153" s="25">
        <f t="shared" si="35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0"/>
        <v>7251</v>
      </c>
      <c r="H154" s="25">
        <f t="shared" ref="H154:K154" si="36">H131</f>
        <v>12975</v>
      </c>
      <c r="I154" s="25">
        <f t="shared" si="36"/>
        <v>13290.709899802026</v>
      </c>
      <c r="J154" s="25">
        <f t="shared" si="36"/>
        <v>13339.320805544068</v>
      </c>
      <c r="K154" s="25">
        <f t="shared" si="36"/>
        <v>13339.320805544068</v>
      </c>
      <c r="L154" s="25">
        <f t="shared" ref="L154:M154" si="37">L131</f>
        <v>13339.320805544068</v>
      </c>
      <c r="M154" s="25">
        <f t="shared" si="37"/>
        <v>13339.320805544068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0"/>
        <v>28288106</v>
      </c>
      <c r="H155" s="39">
        <f t="shared" ref="H155:K155" si="38">H97</f>
        <v>28472872</v>
      </c>
      <c r="I155" s="39">
        <f t="shared" si="38"/>
        <v>30114361.068542439</v>
      </c>
      <c r="J155" s="39">
        <f t="shared" si="38"/>
        <v>29963503.745880112</v>
      </c>
      <c r="K155" s="39">
        <f t="shared" si="38"/>
        <v>0</v>
      </c>
      <c r="L155" s="39">
        <f t="shared" ref="L155:M155" si="39">L97</f>
        <v>0</v>
      </c>
      <c r="M155" s="39">
        <f t="shared" si="39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0"/>
        <v>28.435714285714287</v>
      </c>
      <c r="H156" s="45">
        <f t="shared" ref="H156:K156" si="40">H143</f>
        <v>28.94</v>
      </c>
      <c r="I156" s="45">
        <f t="shared" si="40"/>
        <v>29.381250000000001</v>
      </c>
      <c r="J156" s="45">
        <f t="shared" si="40"/>
        <v>29.77058823529412</v>
      </c>
      <c r="K156" s="45">
        <f t="shared" si="40"/>
        <v>28.116666666666667</v>
      </c>
      <c r="L156" s="45">
        <f t="shared" ref="L156:M156" si="41">L143</f>
        <v>26.55462962962963</v>
      </c>
      <c r="M156" s="45">
        <f t="shared" si="41"/>
        <v>25.079372427983539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0"/>
        <v>0.14963707426018985</v>
      </c>
      <c r="H157" s="31">
        <f t="shared" ref="H157:L157" si="42">H145</f>
        <v>4.2999999999999997E-2</v>
      </c>
      <c r="I157" s="31">
        <f t="shared" si="42"/>
        <v>3.8199999999999998E-2</v>
      </c>
      <c r="J157" s="31">
        <f t="shared" si="42"/>
        <v>2.9399999999999999E-2</v>
      </c>
      <c r="K157" s="31">
        <f t="shared" si="42"/>
        <v>0</v>
      </c>
      <c r="L157" s="31">
        <f t="shared" si="42"/>
        <v>0</v>
      </c>
      <c r="M157" s="31">
        <f t="shared" ref="M157" si="43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0"/>
        <v>9</v>
      </c>
      <c r="H158" s="3">
        <f t="shared" ref="H158:K158" si="44">H5-2006</f>
        <v>10</v>
      </c>
      <c r="I158" s="3">
        <f t="shared" si="44"/>
        <v>11</v>
      </c>
      <c r="J158" s="3">
        <f t="shared" si="44"/>
        <v>12</v>
      </c>
      <c r="K158" s="3">
        <f t="shared" si="44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5">HLOOKUP($E$3,$P$3:$CI$269,O162,FALSE)</f>
        <v>12.810934558134596</v>
      </c>
      <c r="H162" s="49">
        <f t="shared" ref="H162:M179" si="46">G162</f>
        <v>12.810934558134596</v>
      </c>
      <c r="I162" s="49">
        <f t="shared" si="46"/>
        <v>12.810934558134596</v>
      </c>
      <c r="J162" s="49">
        <f t="shared" si="46"/>
        <v>12.810934558134596</v>
      </c>
      <c r="K162" s="49">
        <f t="shared" si="46"/>
        <v>12.810934558134596</v>
      </c>
      <c r="L162" s="49">
        <f t="shared" si="46"/>
        <v>12.810934558134596</v>
      </c>
      <c r="M162" s="49">
        <f t="shared" si="46"/>
        <v>12.810934558134596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5"/>
        <v>0.63118119214696933</v>
      </c>
      <c r="H163" s="49">
        <f t="shared" si="46"/>
        <v>0.63118119214696933</v>
      </c>
      <c r="I163" s="49">
        <f t="shared" si="46"/>
        <v>0.63118119214696933</v>
      </c>
      <c r="J163" s="49">
        <f t="shared" si="46"/>
        <v>0.63118119214696933</v>
      </c>
      <c r="K163" s="49">
        <f t="shared" si="46"/>
        <v>0.63118119214696933</v>
      </c>
      <c r="L163" s="49">
        <f t="shared" si="46"/>
        <v>0.63118119214696933</v>
      </c>
      <c r="M163" s="49">
        <f t="shared" si="46"/>
        <v>0.63118119214696933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5"/>
        <v>0.44745410998208301</v>
      </c>
      <c r="H164" s="49">
        <f t="shared" si="46"/>
        <v>0.44745410998208301</v>
      </c>
      <c r="I164" s="49">
        <f t="shared" si="46"/>
        <v>0.44745410998208301</v>
      </c>
      <c r="J164" s="49">
        <f t="shared" si="46"/>
        <v>0.44745410998208301</v>
      </c>
      <c r="K164" s="49">
        <f t="shared" si="46"/>
        <v>0.44745410998208301</v>
      </c>
      <c r="L164" s="49">
        <f t="shared" si="46"/>
        <v>0.44745410998208301</v>
      </c>
      <c r="M164" s="49">
        <f t="shared" si="46"/>
        <v>0.44745410998208301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5"/>
        <v>0.16256292839174574</v>
      </c>
      <c r="H165" s="49">
        <f t="shared" si="46"/>
        <v>0.16256292839174574</v>
      </c>
      <c r="I165" s="49">
        <f t="shared" si="46"/>
        <v>0.16256292839174574</v>
      </c>
      <c r="J165" s="49">
        <f t="shared" si="46"/>
        <v>0.16256292839174574</v>
      </c>
      <c r="K165" s="49">
        <f t="shared" si="46"/>
        <v>0.16256292839174574</v>
      </c>
      <c r="L165" s="49">
        <f t="shared" si="46"/>
        <v>0.16256292839174574</v>
      </c>
      <c r="M165" s="49">
        <f t="shared" si="46"/>
        <v>0.16256292839174574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5"/>
        <v>0.10661130436832145</v>
      </c>
      <c r="H166" s="49">
        <f t="shared" si="46"/>
        <v>0.10661130436832145</v>
      </c>
      <c r="I166" s="49">
        <f t="shared" si="46"/>
        <v>0.10661130436832145</v>
      </c>
      <c r="J166" s="49">
        <f t="shared" si="46"/>
        <v>0.10661130436832145</v>
      </c>
      <c r="K166" s="49">
        <f t="shared" si="46"/>
        <v>0.10661130436832145</v>
      </c>
      <c r="L166" s="49">
        <f t="shared" si="46"/>
        <v>0.10661130436832145</v>
      </c>
      <c r="M166" s="49">
        <f t="shared" si="46"/>
        <v>0.10661130436832145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5"/>
        <v>0.13706018401500897</v>
      </c>
      <c r="H167" s="49">
        <f t="shared" si="46"/>
        <v>0.13706018401500897</v>
      </c>
      <c r="I167" s="49">
        <f t="shared" si="46"/>
        <v>0.13706018401500897</v>
      </c>
      <c r="J167" s="49">
        <f t="shared" si="46"/>
        <v>0.13706018401500897</v>
      </c>
      <c r="K167" s="49">
        <f t="shared" si="46"/>
        <v>0.13706018401500897</v>
      </c>
      <c r="L167" s="49">
        <f t="shared" si="46"/>
        <v>0.13706018401500897</v>
      </c>
      <c r="M167" s="49">
        <f t="shared" si="46"/>
        <v>0.13706018401500897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5"/>
        <v>-0.33467907529638907</v>
      </c>
      <c r="H168" s="49">
        <f t="shared" si="46"/>
        <v>-0.33467907529638907</v>
      </c>
      <c r="I168" s="49">
        <f t="shared" si="46"/>
        <v>-0.33467907529638907</v>
      </c>
      <c r="J168" s="49">
        <f t="shared" si="46"/>
        <v>-0.33467907529638907</v>
      </c>
      <c r="K168" s="49">
        <f t="shared" si="46"/>
        <v>-0.33467907529638907</v>
      </c>
      <c r="L168" s="49">
        <f t="shared" si="46"/>
        <v>-0.33467907529638907</v>
      </c>
      <c r="M168" s="49">
        <f t="shared" si="46"/>
        <v>-0.33467907529638907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5"/>
        <v>0.20463766697671296</v>
      </c>
      <c r="H169" s="49">
        <f t="shared" si="46"/>
        <v>0.20463766697671296</v>
      </c>
      <c r="I169" s="49">
        <f t="shared" si="46"/>
        <v>0.20463766697671296</v>
      </c>
      <c r="J169" s="49">
        <f t="shared" si="46"/>
        <v>0.20463766697671296</v>
      </c>
      <c r="K169" s="49">
        <f t="shared" si="46"/>
        <v>0.20463766697671296</v>
      </c>
      <c r="L169" s="49">
        <f t="shared" si="46"/>
        <v>0.20463766697671296</v>
      </c>
      <c r="M169" s="49">
        <f t="shared" si="46"/>
        <v>0.20463766697671296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5"/>
        <v>0.16941256687878514</v>
      </c>
      <c r="H170" s="49">
        <f t="shared" si="46"/>
        <v>0.16941256687878514</v>
      </c>
      <c r="I170" s="49">
        <f t="shared" si="46"/>
        <v>0.16941256687878514</v>
      </c>
      <c r="J170" s="49">
        <f t="shared" si="46"/>
        <v>0.16941256687878514</v>
      </c>
      <c r="K170" s="49">
        <f t="shared" si="46"/>
        <v>0.16941256687878514</v>
      </c>
      <c r="L170" s="49">
        <f t="shared" si="46"/>
        <v>0.16941256687878514</v>
      </c>
      <c r="M170" s="49">
        <f t="shared" si="46"/>
        <v>0.16941256687878514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5"/>
        <v>5.0296776035877011E-2</v>
      </c>
      <c r="H171" s="49">
        <f t="shared" si="46"/>
        <v>5.0296776035877011E-2</v>
      </c>
      <c r="I171" s="49">
        <f t="shared" si="46"/>
        <v>5.0296776035877011E-2</v>
      </c>
      <c r="J171" s="49">
        <f t="shared" si="46"/>
        <v>5.0296776035877011E-2</v>
      </c>
      <c r="K171" s="49">
        <f t="shared" si="46"/>
        <v>5.0296776035877011E-2</v>
      </c>
      <c r="L171" s="49">
        <f t="shared" si="46"/>
        <v>5.0296776035877011E-2</v>
      </c>
      <c r="M171" s="49">
        <f t="shared" si="46"/>
        <v>5.0296776035877011E-2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5"/>
        <v>1.3605974269170984E-2</v>
      </c>
      <c r="H172" s="49">
        <f t="shared" si="46"/>
        <v>1.3605974269170984E-2</v>
      </c>
      <c r="I172" s="49">
        <f t="shared" si="46"/>
        <v>1.3605974269170984E-2</v>
      </c>
      <c r="J172" s="49">
        <f t="shared" si="46"/>
        <v>1.3605974269170984E-2</v>
      </c>
      <c r="K172" s="49">
        <f t="shared" si="46"/>
        <v>1.3605974269170984E-2</v>
      </c>
      <c r="L172" s="49">
        <f t="shared" si="46"/>
        <v>1.3605974269170984E-2</v>
      </c>
      <c r="M172" s="49">
        <f t="shared" si="46"/>
        <v>1.3605974269170984E-2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5"/>
        <v>6.8268178762295739E-4</v>
      </c>
      <c r="H173" s="49">
        <f t="shared" si="46"/>
        <v>6.8268178762295739E-4</v>
      </c>
      <c r="I173" s="49">
        <f t="shared" si="46"/>
        <v>6.8268178762295739E-4</v>
      </c>
      <c r="J173" s="49">
        <f t="shared" si="46"/>
        <v>6.8268178762295739E-4</v>
      </c>
      <c r="K173" s="49">
        <f t="shared" si="46"/>
        <v>6.8268178762295739E-4</v>
      </c>
      <c r="L173" s="49">
        <f t="shared" si="46"/>
        <v>6.8268178762295739E-4</v>
      </c>
      <c r="M173" s="49">
        <f t="shared" si="46"/>
        <v>6.8268178762295739E-4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5"/>
        <v>0.11405953951133221</v>
      </c>
      <c r="H174" s="49">
        <f t="shared" si="46"/>
        <v>0.11405953951133221</v>
      </c>
      <c r="I174" s="49">
        <f t="shared" si="46"/>
        <v>0.11405953951133221</v>
      </c>
      <c r="J174" s="49">
        <f t="shared" si="46"/>
        <v>0.11405953951133221</v>
      </c>
      <c r="K174" s="49">
        <f t="shared" si="46"/>
        <v>0.11405953951133221</v>
      </c>
      <c r="L174" s="49">
        <f t="shared" si="46"/>
        <v>0.11405953951133221</v>
      </c>
      <c r="M174" s="49">
        <f t="shared" si="46"/>
        <v>0.11405953951133221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5"/>
        <v>5.0262202405579666E-2</v>
      </c>
      <c r="H175" s="49">
        <f t="shared" si="46"/>
        <v>5.0262202405579666E-2</v>
      </c>
      <c r="I175" s="49">
        <f t="shared" si="46"/>
        <v>5.0262202405579666E-2</v>
      </c>
      <c r="J175" s="49">
        <f t="shared" si="46"/>
        <v>5.0262202405579666E-2</v>
      </c>
      <c r="K175" s="49">
        <f t="shared" si="46"/>
        <v>5.0262202405579666E-2</v>
      </c>
      <c r="L175" s="49">
        <f t="shared" si="46"/>
        <v>5.0262202405579666E-2</v>
      </c>
      <c r="M175" s="49">
        <f t="shared" si="46"/>
        <v>5.0262202405579666E-2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5"/>
        <v>-0.18345276323003798</v>
      </c>
      <c r="H176" s="49">
        <f t="shared" si="46"/>
        <v>-0.18345276323003798</v>
      </c>
      <c r="I176" s="49">
        <f t="shared" si="46"/>
        <v>-0.18345276323003798</v>
      </c>
      <c r="J176" s="49">
        <f t="shared" si="46"/>
        <v>-0.18345276323003798</v>
      </c>
      <c r="K176" s="49">
        <f t="shared" si="46"/>
        <v>-0.18345276323003798</v>
      </c>
      <c r="L176" s="49">
        <f t="shared" si="46"/>
        <v>-0.18345276323003798</v>
      </c>
      <c r="M176" s="49">
        <f t="shared" si="46"/>
        <v>-0.18345276323003798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5"/>
        <v>0.28175998233412042</v>
      </c>
      <c r="H177" s="49">
        <f t="shared" si="46"/>
        <v>0.28175998233412042</v>
      </c>
      <c r="I177" s="49">
        <f t="shared" si="46"/>
        <v>0.28175998233412042</v>
      </c>
      <c r="J177" s="49">
        <f t="shared" si="46"/>
        <v>0.28175998233412042</v>
      </c>
      <c r="K177" s="49">
        <f t="shared" si="46"/>
        <v>0.28175998233412042</v>
      </c>
      <c r="L177" s="49">
        <f t="shared" si="46"/>
        <v>0.28175998233412042</v>
      </c>
      <c r="M177" s="49">
        <f t="shared" si="46"/>
        <v>0.28175998233412042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5"/>
        <v>1.7148540698927305E-2</v>
      </c>
      <c r="H178" s="49">
        <f t="shared" si="46"/>
        <v>1.7148540698927305E-2</v>
      </c>
      <c r="I178" s="49">
        <f t="shared" si="46"/>
        <v>1.7148540698927305E-2</v>
      </c>
      <c r="J178" s="49">
        <f t="shared" si="46"/>
        <v>1.7148540698927305E-2</v>
      </c>
      <c r="K178" s="49">
        <f t="shared" si="46"/>
        <v>1.7148540698927305E-2</v>
      </c>
      <c r="L178" s="49">
        <f t="shared" si="46"/>
        <v>1.7148540698927305E-2</v>
      </c>
      <c r="M178" s="49">
        <f t="shared" si="46"/>
        <v>1.7148540698927305E-2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5"/>
        <v>1.7414061292593028E-2</v>
      </c>
      <c r="H179" s="49">
        <f t="shared" si="46"/>
        <v>1.7414061292593028E-2</v>
      </c>
      <c r="I179" s="49">
        <f t="shared" si="46"/>
        <v>1.7414061292593028E-2</v>
      </c>
      <c r="J179" s="49">
        <f t="shared" si="46"/>
        <v>1.7414061292593028E-2</v>
      </c>
      <c r="K179" s="49">
        <f t="shared" si="46"/>
        <v>1.7414061292593028E-2</v>
      </c>
      <c r="L179" s="49">
        <f t="shared" si="46"/>
        <v>1.7414061292593028E-2</v>
      </c>
      <c r="M179" s="49">
        <f t="shared" si="46"/>
        <v>1.7414061292593028E-2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7">HLOOKUP($E$3,$P$3:$CI$269,O183,FALSE)</f>
        <v>1</v>
      </c>
      <c r="H183" s="49">
        <f t="shared" ref="H183:M199" si="48">G183</f>
        <v>1</v>
      </c>
      <c r="I183" s="49">
        <f t="shared" si="48"/>
        <v>1</v>
      </c>
      <c r="J183" s="49">
        <f t="shared" si="48"/>
        <v>1</v>
      </c>
      <c r="K183" s="49">
        <f t="shared" si="48"/>
        <v>1</v>
      </c>
      <c r="L183" s="49">
        <f t="shared" si="48"/>
        <v>1</v>
      </c>
      <c r="M183" s="49">
        <f t="shared" si="48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7"/>
        <v>0.16439999999999999</v>
      </c>
      <c r="H184" s="49">
        <f t="shared" si="48"/>
        <v>0.16439999999999999</v>
      </c>
      <c r="I184" s="49">
        <f t="shared" si="48"/>
        <v>0.16439999999999999</v>
      </c>
      <c r="J184" s="49">
        <f t="shared" si="48"/>
        <v>0.16439999999999999</v>
      </c>
      <c r="K184" s="49">
        <f t="shared" si="48"/>
        <v>0.16439999999999999</v>
      </c>
      <c r="L184" s="49">
        <f t="shared" si="48"/>
        <v>0.16439999999999999</v>
      </c>
      <c r="M184" s="49">
        <f t="shared" si="48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7"/>
        <v>63422.311800000003</v>
      </c>
      <c r="H185" s="49">
        <f t="shared" si="48"/>
        <v>63422.311800000003</v>
      </c>
      <c r="I185" s="49">
        <f t="shared" si="48"/>
        <v>63422.311800000003</v>
      </c>
      <c r="J185" s="49">
        <f t="shared" si="48"/>
        <v>63422.311800000003</v>
      </c>
      <c r="K185" s="49">
        <f t="shared" si="48"/>
        <v>63422.311800000003</v>
      </c>
      <c r="L185" s="49">
        <f t="shared" si="48"/>
        <v>63422.311800000003</v>
      </c>
      <c r="M185" s="49">
        <f t="shared" si="48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7"/>
        <v>345129.01459999999</v>
      </c>
      <c r="H186" s="49">
        <f t="shared" si="48"/>
        <v>345129.01459999999</v>
      </c>
      <c r="I186" s="49">
        <f t="shared" si="48"/>
        <v>345129.01459999999</v>
      </c>
      <c r="J186" s="49">
        <f t="shared" si="48"/>
        <v>345129.01459999999</v>
      </c>
      <c r="K186" s="49">
        <f t="shared" si="48"/>
        <v>345129.01459999999</v>
      </c>
      <c r="L186" s="49">
        <f t="shared" si="48"/>
        <v>345129.01459999999</v>
      </c>
      <c r="M186" s="49">
        <f t="shared" si="48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7"/>
        <v>1630327994.0632999</v>
      </c>
      <c r="H187" s="52">
        <f t="shared" si="48"/>
        <v>1630327994.0632999</v>
      </c>
      <c r="I187" s="52">
        <f t="shared" si="48"/>
        <v>1630327994.0632999</v>
      </c>
      <c r="J187" s="52">
        <f t="shared" si="48"/>
        <v>1630327994.0632999</v>
      </c>
      <c r="K187" s="52">
        <f t="shared" si="48"/>
        <v>1630327994.0632999</v>
      </c>
      <c r="L187" s="52">
        <f t="shared" si="48"/>
        <v>1630327994.0632999</v>
      </c>
      <c r="M187" s="52">
        <f t="shared" si="48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7"/>
        <v>1</v>
      </c>
      <c r="H188" s="49">
        <f t="shared" si="48"/>
        <v>1</v>
      </c>
      <c r="I188" s="49">
        <f t="shared" si="48"/>
        <v>1</v>
      </c>
      <c r="J188" s="49">
        <f t="shared" si="48"/>
        <v>1</v>
      </c>
      <c r="K188" s="49">
        <f t="shared" si="48"/>
        <v>1</v>
      </c>
      <c r="L188" s="49">
        <f t="shared" si="48"/>
        <v>1</v>
      </c>
      <c r="M188" s="49">
        <f t="shared" si="48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7"/>
        <v>1</v>
      </c>
      <c r="H189" s="49">
        <f t="shared" si="48"/>
        <v>1</v>
      </c>
      <c r="I189" s="49">
        <f t="shared" si="48"/>
        <v>1</v>
      </c>
      <c r="J189" s="49">
        <f t="shared" si="48"/>
        <v>1</v>
      </c>
      <c r="K189" s="49">
        <f t="shared" si="48"/>
        <v>1</v>
      </c>
      <c r="L189" s="49">
        <f t="shared" si="48"/>
        <v>1</v>
      </c>
      <c r="M189" s="49">
        <f t="shared" si="48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7"/>
        <v>1</v>
      </c>
      <c r="H190" s="49">
        <f t="shared" si="48"/>
        <v>1</v>
      </c>
      <c r="I190" s="49">
        <f t="shared" si="48"/>
        <v>1</v>
      </c>
      <c r="J190" s="49">
        <f t="shared" si="48"/>
        <v>1</v>
      </c>
      <c r="K190" s="49">
        <f t="shared" si="48"/>
        <v>1</v>
      </c>
      <c r="L190" s="49">
        <f t="shared" si="48"/>
        <v>1</v>
      </c>
      <c r="M190" s="49">
        <f t="shared" si="48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7"/>
        <v>1</v>
      </c>
      <c r="H191" s="49">
        <f t="shared" si="48"/>
        <v>1</v>
      </c>
      <c r="I191" s="49">
        <f t="shared" si="48"/>
        <v>1</v>
      </c>
      <c r="J191" s="49">
        <f t="shared" si="48"/>
        <v>1</v>
      </c>
      <c r="K191" s="49">
        <f t="shared" si="48"/>
        <v>1</v>
      </c>
      <c r="L191" s="49">
        <f t="shared" si="48"/>
        <v>1</v>
      </c>
      <c r="M191" s="49">
        <f t="shared" si="48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7"/>
        <v>1</v>
      </c>
      <c r="H192" s="49">
        <f t="shared" si="48"/>
        <v>1</v>
      </c>
      <c r="I192" s="49">
        <f t="shared" si="48"/>
        <v>1</v>
      </c>
      <c r="J192" s="49">
        <f t="shared" si="48"/>
        <v>1</v>
      </c>
      <c r="K192" s="49">
        <f t="shared" si="48"/>
        <v>1</v>
      </c>
      <c r="L192" s="49">
        <f t="shared" si="48"/>
        <v>1</v>
      </c>
      <c r="M192" s="49">
        <f t="shared" si="48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7"/>
        <v>1</v>
      </c>
      <c r="H193" s="49">
        <f t="shared" si="48"/>
        <v>1</v>
      </c>
      <c r="I193" s="49">
        <f t="shared" si="48"/>
        <v>1</v>
      </c>
      <c r="J193" s="49">
        <f t="shared" si="48"/>
        <v>1</v>
      </c>
      <c r="K193" s="49">
        <f t="shared" si="48"/>
        <v>1</v>
      </c>
      <c r="L193" s="49">
        <f t="shared" si="48"/>
        <v>1</v>
      </c>
      <c r="M193" s="49">
        <f t="shared" si="48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7"/>
        <v>1</v>
      </c>
      <c r="H194" s="49">
        <f t="shared" si="48"/>
        <v>1</v>
      </c>
      <c r="I194" s="49">
        <f t="shared" si="48"/>
        <v>1</v>
      </c>
      <c r="J194" s="49">
        <f t="shared" si="48"/>
        <v>1</v>
      </c>
      <c r="K194" s="49">
        <f t="shared" si="48"/>
        <v>1</v>
      </c>
      <c r="L194" s="49">
        <f t="shared" si="48"/>
        <v>1</v>
      </c>
      <c r="M194" s="49">
        <f t="shared" si="48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7"/>
        <v>1</v>
      </c>
      <c r="H195" s="49">
        <f t="shared" si="48"/>
        <v>1</v>
      </c>
      <c r="I195" s="49">
        <f t="shared" si="48"/>
        <v>1</v>
      </c>
      <c r="J195" s="49">
        <f t="shared" si="48"/>
        <v>1</v>
      </c>
      <c r="K195" s="49">
        <f t="shared" si="48"/>
        <v>1</v>
      </c>
      <c r="L195" s="49">
        <f t="shared" si="48"/>
        <v>1</v>
      </c>
      <c r="M195" s="49">
        <f t="shared" si="48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7"/>
        <v>1</v>
      </c>
      <c r="H196" s="49">
        <f t="shared" si="48"/>
        <v>1</v>
      </c>
      <c r="I196" s="49">
        <f t="shared" si="48"/>
        <v>1</v>
      </c>
      <c r="J196" s="49">
        <f t="shared" si="48"/>
        <v>1</v>
      </c>
      <c r="K196" s="49">
        <f t="shared" si="48"/>
        <v>1</v>
      </c>
      <c r="L196" s="49">
        <f t="shared" si="48"/>
        <v>1</v>
      </c>
      <c r="M196" s="49">
        <f t="shared" si="48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7"/>
        <v>1</v>
      </c>
      <c r="H197" s="49">
        <f t="shared" si="48"/>
        <v>1</v>
      </c>
      <c r="I197" s="49">
        <f t="shared" si="48"/>
        <v>1</v>
      </c>
      <c r="J197" s="49">
        <f t="shared" si="48"/>
        <v>1</v>
      </c>
      <c r="K197" s="49">
        <f t="shared" si="48"/>
        <v>1</v>
      </c>
      <c r="L197" s="49">
        <f t="shared" si="48"/>
        <v>1</v>
      </c>
      <c r="M197" s="49">
        <f t="shared" si="48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7"/>
        <v>2722.7979999999998</v>
      </c>
      <c r="H198" s="52">
        <f t="shared" si="48"/>
        <v>2722.7979999999998</v>
      </c>
      <c r="I198" s="52">
        <f t="shared" si="48"/>
        <v>2722.7979999999998</v>
      </c>
      <c r="J198" s="52">
        <f t="shared" si="48"/>
        <v>2722.7979999999998</v>
      </c>
      <c r="K198" s="52">
        <f t="shared" si="48"/>
        <v>2722.7979999999998</v>
      </c>
      <c r="L198" s="52">
        <f t="shared" si="48"/>
        <v>2722.7979999999998</v>
      </c>
      <c r="M198" s="52">
        <f t="shared" si="48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7"/>
        <v>0.12859999999999999</v>
      </c>
      <c r="H199" s="49">
        <f t="shared" si="48"/>
        <v>0.12859999999999999</v>
      </c>
      <c r="I199" s="49">
        <f t="shared" si="48"/>
        <v>0.12859999999999999</v>
      </c>
      <c r="J199" s="49">
        <f t="shared" si="48"/>
        <v>0.12859999999999999</v>
      </c>
      <c r="K199" s="49">
        <f t="shared" si="48"/>
        <v>0.12859999999999999</v>
      </c>
      <c r="L199" s="49">
        <f t="shared" si="48"/>
        <v>0.12859999999999999</v>
      </c>
      <c r="M199" s="49">
        <f t="shared" si="48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9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9"/>
        <v>-0.2478624342415035</v>
      </c>
      <c r="H206" s="48">
        <f t="shared" ref="H206:K209" si="50">LN(H152/H184)</f>
        <v>-0.25453171696740984</v>
      </c>
      <c r="I206" s="48">
        <f t="shared" si="50"/>
        <v>-0.26145780740644176</v>
      </c>
      <c r="J206" s="48">
        <f t="shared" si="50"/>
        <v>-0.39204104064807066</v>
      </c>
      <c r="K206" s="48">
        <f t="shared" si="50"/>
        <v>-1.1418390628650277</v>
      </c>
      <c r="L206" s="48">
        <f t="shared" ref="L206:M206" si="51">LN(L152/L184)</f>
        <v>-1.1418390628650277</v>
      </c>
      <c r="M206" s="48">
        <f t="shared" si="51"/>
        <v>-1.1418390628650277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9"/>
        <v>-3.4275952926234563</v>
      </c>
      <c r="H207" s="48">
        <f t="shared" si="50"/>
        <v>-3.3904127443320982</v>
      </c>
      <c r="I207" s="48">
        <f t="shared" si="50"/>
        <v>-3.353660790034934</v>
      </c>
      <c r="J207" s="48">
        <f t="shared" si="50"/>
        <v>-3.3252017773668578</v>
      </c>
      <c r="K207" s="48" t="e">
        <f t="shared" si="50"/>
        <v>#NUM!</v>
      </c>
      <c r="L207" s="48" t="e">
        <f t="shared" ref="L207:M207" si="52">LN(L153/L185)</f>
        <v>#NUM!</v>
      </c>
      <c r="M207" s="48" t="e">
        <f t="shared" si="5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9"/>
        <v>-3.8627789121003433</v>
      </c>
      <c r="H208" s="48">
        <f t="shared" si="50"/>
        <v>-3.2808938734378463</v>
      </c>
      <c r="I208" s="48">
        <f t="shared" si="50"/>
        <v>-3.2568530151037973</v>
      </c>
      <c r="J208" s="48">
        <f t="shared" si="50"/>
        <v>-3.2532021774256208</v>
      </c>
      <c r="K208" s="48">
        <f t="shared" si="50"/>
        <v>-3.2532021774256208</v>
      </c>
      <c r="L208" s="48">
        <f t="shared" ref="L208:M208" si="53">LN(L154/L186)</f>
        <v>-3.2532021774256208</v>
      </c>
      <c r="M208" s="48">
        <f t="shared" si="53"/>
        <v>-3.2532021774256208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9"/>
        <v>-4.0540950632896644</v>
      </c>
      <c r="H209" s="48">
        <f t="shared" si="50"/>
        <v>-4.0475847225904147</v>
      </c>
      <c r="I209" s="48">
        <f t="shared" si="50"/>
        <v>-3.9915343270249819</v>
      </c>
      <c r="J209" s="48">
        <f t="shared" si="50"/>
        <v>-3.9965563976393419</v>
      </c>
      <c r="K209" s="48" t="e">
        <f t="shared" si="50"/>
        <v>#NUM!</v>
      </c>
      <c r="L209" s="48" t="e">
        <f t="shared" ref="L209:M209" si="54">LN(L155/L187)</f>
        <v>#NUM!</v>
      </c>
      <c r="M209" s="48" t="e">
        <f t="shared" si="54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9"/>
        <v>3.0717893154061825E-2</v>
      </c>
      <c r="H210" s="48">
        <f t="shared" ref="H210:K213" si="55">H206*H206/2</f>
        <v>3.2393197471188816E-2</v>
      </c>
      <c r="I210" s="48">
        <f t="shared" si="55"/>
        <v>3.4180092526891998E-2</v>
      </c>
      <c r="J210" s="48">
        <f t="shared" si="55"/>
        <v>7.684808877621109E-2</v>
      </c>
      <c r="K210" s="48">
        <f t="shared" si="55"/>
        <v>0.65189822274224229</v>
      </c>
      <c r="L210" s="48">
        <f t="shared" ref="L210:M210" si="56">L206*L206/2</f>
        <v>0.65189822274224229</v>
      </c>
      <c r="M210" s="48">
        <f t="shared" si="56"/>
        <v>0.65189822274224229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9"/>
        <v>5.8742047450072388</v>
      </c>
      <c r="H211" s="48">
        <f t="shared" si="55"/>
        <v>5.7474492884647548</v>
      </c>
      <c r="I211" s="48">
        <f t="shared" si="55"/>
        <v>5.6235203473088688</v>
      </c>
      <c r="J211" s="48">
        <f t="shared" si="55"/>
        <v>5.5284834301018551</v>
      </c>
      <c r="K211" s="48" t="e">
        <f t="shared" si="55"/>
        <v>#NUM!</v>
      </c>
      <c r="L211" s="48" t="e">
        <f t="shared" ref="L211:M211" si="57">L207*L207/2</f>
        <v>#NUM!</v>
      </c>
      <c r="M211" s="48" t="e">
        <f t="shared" si="57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9"/>
        <v>7.4605304618835557</v>
      </c>
      <c r="H212" s="48">
        <f t="shared" si="55"/>
        <v>5.3821323043809972</v>
      </c>
      <c r="I212" s="48">
        <f t="shared" si="55"/>
        <v>5.3035457809953481</v>
      </c>
      <c r="J212" s="48">
        <f t="shared" si="55"/>
        <v>5.2916622036034004</v>
      </c>
      <c r="K212" s="48">
        <f t="shared" si="55"/>
        <v>5.2916622036034004</v>
      </c>
      <c r="L212" s="48">
        <f t="shared" ref="L212:M212" si="58">L208*L208/2</f>
        <v>5.2916622036034004</v>
      </c>
      <c r="M212" s="48">
        <f t="shared" si="58"/>
        <v>5.2916622036034004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9"/>
        <v>8.2178433910948137</v>
      </c>
      <c r="H213" s="48">
        <f t="shared" si="55"/>
        <v>8.1914710432736619</v>
      </c>
      <c r="I213" s="48">
        <f t="shared" si="55"/>
        <v>7.9661731419093877</v>
      </c>
      <c r="J213" s="48">
        <f t="shared" si="55"/>
        <v>7.986231519755977</v>
      </c>
      <c r="K213" s="48" t="e">
        <f t="shared" si="55"/>
        <v>#NUM!</v>
      </c>
      <c r="L213" s="48" t="e">
        <f t="shared" ref="L213:M213" si="59">L209*L209/2</f>
        <v>#NUM!</v>
      </c>
      <c r="M213" s="48" t="e">
        <f t="shared" si="59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9"/>
        <v>0.8495721128243684</v>
      </c>
      <c r="H214" s="48">
        <f t="shared" ref="H214:K214" si="60">H206*H207</f>
        <v>0.86296757704303684</v>
      </c>
      <c r="I214" s="48">
        <f t="shared" si="60"/>
        <v>0.87684079694748907</v>
      </c>
      <c r="J214" s="48">
        <f t="shared" si="60"/>
        <v>1.3036155651637171</v>
      </c>
      <c r="K214" s="48" t="e">
        <f t="shared" si="60"/>
        <v>#NUM!</v>
      </c>
      <c r="L214" s="48" t="e">
        <f t="shared" ref="L214:M214" si="61">L206*L207</f>
        <v>#NUM!</v>
      </c>
      <c r="M214" s="48" t="e">
        <f t="shared" si="61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9"/>
        <v>0.95743778408993774</v>
      </c>
      <c r="H215" s="48">
        <f t="shared" ref="H215:K215" si="62">H206*H208</f>
        <v>0.83509155079399089</v>
      </c>
      <c r="I215" s="48">
        <f t="shared" si="62"/>
        <v>0.85152964837409784</v>
      </c>
      <c r="J215" s="48">
        <f t="shared" si="62"/>
        <v>1.2753887670765098</v>
      </c>
      <c r="K215" s="48">
        <f t="shared" si="62"/>
        <v>3.7146333255821382</v>
      </c>
      <c r="L215" s="48">
        <f t="shared" ref="L215:M215" si="63">L206*L208</f>
        <v>3.7146333255821382</v>
      </c>
      <c r="M215" s="48">
        <f t="shared" si="63"/>
        <v>3.7146333255821382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9"/>
        <v>1.0048578710334384</v>
      </c>
      <c r="H216" s="48">
        <f t="shared" ref="H216:K216" si="64">H206*H209</f>
        <v>1.0302386890119954</v>
      </c>
      <c r="I216" s="48">
        <f t="shared" si="64"/>
        <v>1.0436178133314988</v>
      </c>
      <c r="J216" s="48">
        <f t="shared" si="64"/>
        <v>1.5668141291392321</v>
      </c>
      <c r="K216" s="48" t="e">
        <f t="shared" si="64"/>
        <v>#NUM!</v>
      </c>
      <c r="L216" s="48" t="e">
        <f t="shared" ref="L216:M216" si="65">L206*L209</f>
        <v>#NUM!</v>
      </c>
      <c r="M216" s="48" t="e">
        <f t="shared" si="65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9"/>
        <v>13.240042815560292</v>
      </c>
      <c r="H217" s="48">
        <f t="shared" ref="H217:K217" si="66">H207*H208</f>
        <v>11.123584401304775</v>
      </c>
      <c r="I217" s="48">
        <f t="shared" si="66"/>
        <v>10.922380255660658</v>
      </c>
      <c r="J217" s="48">
        <f t="shared" si="66"/>
        <v>10.817553662509406</v>
      </c>
      <c r="K217" s="48" t="e">
        <f t="shared" si="66"/>
        <v>#NUM!</v>
      </c>
      <c r="L217" s="48" t="e">
        <f t="shared" ref="L217:M217" si="67">L207*L208</f>
        <v>#NUM!</v>
      </c>
      <c r="M217" s="48" t="e">
        <f t="shared" si="67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9"/>
        <v>13.895797154779647</v>
      </c>
      <c r="H218" s="48">
        <f t="shared" ref="H218:K218" si="68">H207*H209</f>
        <v>13.722982827234443</v>
      </c>
      <c r="I218" s="48">
        <f t="shared" si="68"/>
        <v>13.38625216462216</v>
      </c>
      <c r="J218" s="48">
        <f t="shared" si="68"/>
        <v>13.289356436777226</v>
      </c>
      <c r="K218" s="48" t="e">
        <f t="shared" si="68"/>
        <v>#NUM!</v>
      </c>
      <c r="L218" s="48" t="e">
        <f t="shared" ref="L218:M218" si="69">L207*L209</f>
        <v>#NUM!</v>
      </c>
      <c r="M218" s="48" t="e">
        <f t="shared" si="6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9"/>
        <v>15.660072918125422</v>
      </c>
      <c r="H219" s="48">
        <f t="shared" ref="H219:K219" si="70">H208*H209</f>
        <v>13.279695918567516</v>
      </c>
      <c r="I219" s="48">
        <f t="shared" si="70"/>
        <v>12.99984060786162</v>
      </c>
      <c r="J219" s="48">
        <f t="shared" si="70"/>
        <v>13.001605975004603</v>
      </c>
      <c r="K219" s="48" t="e">
        <f t="shared" si="70"/>
        <v>#NUM!</v>
      </c>
      <c r="L219" s="48" t="e">
        <f t="shared" ref="L219:M219" si="71">L208*L209</f>
        <v>#NUM!</v>
      </c>
      <c r="M219" s="48" t="e">
        <f t="shared" si="71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9"/>
        <v>-4.5617694066445376</v>
      </c>
      <c r="H220" s="48">
        <f t="shared" ref="H220:K220" si="72">LN(H156/H198)</f>
        <v>-4.5441905858322134</v>
      </c>
      <c r="I220" s="48">
        <f t="shared" si="72"/>
        <v>-4.5290585912452475</v>
      </c>
      <c r="J220" s="48">
        <f t="shared" si="72"/>
        <v>-4.5158943728717347</v>
      </c>
      <c r="K220" s="48">
        <f t="shared" si="72"/>
        <v>-4.573052786711683</v>
      </c>
      <c r="L220" s="48">
        <f t="shared" ref="L220:M220" si="73">LN(L156/L198)</f>
        <v>-4.6302112005516323</v>
      </c>
      <c r="M220" s="48">
        <f t="shared" si="73"/>
        <v>-4.6873696143915806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9"/>
        <v>1.1635853363933892</v>
      </c>
      <c r="H221" s="31">
        <f t="shared" ref="H221:K221" si="74">H157/H199</f>
        <v>0.33437013996889581</v>
      </c>
      <c r="I221" s="31">
        <f t="shared" si="74"/>
        <v>0.29704510108864696</v>
      </c>
      <c r="J221" s="31">
        <f t="shared" si="74"/>
        <v>0.2286158631415241</v>
      </c>
      <c r="K221" s="31">
        <f t="shared" si="74"/>
        <v>0</v>
      </c>
      <c r="L221" s="31">
        <f t="shared" ref="L221:M221" si="75">L157/L199</f>
        <v>0</v>
      </c>
      <c r="M221" s="31">
        <f t="shared" si="75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9"/>
        <v>9</v>
      </c>
      <c r="H222" s="48">
        <f t="shared" ref="H222:K222" si="76">H158</f>
        <v>10</v>
      </c>
      <c r="I222" s="48">
        <f t="shared" si="76"/>
        <v>11</v>
      </c>
      <c r="J222" s="48">
        <f t="shared" si="76"/>
        <v>12</v>
      </c>
      <c r="K222" s="48">
        <f t="shared" si="76"/>
        <v>13</v>
      </c>
      <c r="L222" s="48">
        <f t="shared" ref="L222:M222" si="77">L158</f>
        <v>14</v>
      </c>
      <c r="M222" s="48">
        <f t="shared" si="77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8">HLOOKUP($E$3,$P$3:$CI$269,O226,FALSE)</f>
        <v>12.810934558134596</v>
      </c>
      <c r="H226" s="50">
        <f t="shared" ref="H226:K241" si="79">H162*H205</f>
        <v>12.810934558134596</v>
      </c>
      <c r="I226" s="50">
        <f t="shared" si="79"/>
        <v>12.810934558134596</v>
      </c>
      <c r="J226" s="50">
        <f t="shared" si="79"/>
        <v>12.810934558134596</v>
      </c>
      <c r="K226" s="50">
        <f t="shared" si="79"/>
        <v>12.810934558134596</v>
      </c>
      <c r="L226" s="50">
        <f t="shared" ref="L226:M226" si="80">L162*L205</f>
        <v>12.810934558134596</v>
      </c>
      <c r="M226" s="50">
        <f t="shared" si="80"/>
        <v>12.810934558134596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8"/>
        <v>-0.15644610673300197</v>
      </c>
      <c r="H227" s="50">
        <f t="shared" si="79"/>
        <v>-0.16065563255470472</v>
      </c>
      <c r="I227" s="50">
        <f t="shared" si="79"/>
        <v>-0.16502725057493062</v>
      </c>
      <c r="J227" s="50">
        <f t="shared" si="79"/>
        <v>-0.2474489314067877</v>
      </c>
      <c r="K227" s="50">
        <f t="shared" si="79"/>
        <v>-0.72070734093912647</v>
      </c>
      <c r="L227" s="50">
        <f t="shared" ref="L227:M227" si="81">L163*L206</f>
        <v>-0.72070734093912647</v>
      </c>
      <c r="M227" s="50">
        <f t="shared" si="81"/>
        <v>-0.72070734093912647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8"/>
        <v>-1.533691601039606</v>
      </c>
      <c r="H228" s="50">
        <f t="shared" si="79"/>
        <v>-1.5170541169870306</v>
      </c>
      <c r="I228" s="50">
        <f t="shared" si="79"/>
        <v>-1.5006093039868909</v>
      </c>
      <c r="J228" s="50">
        <f t="shared" si="79"/>
        <v>-1.4878752018025279</v>
      </c>
      <c r="K228" s="50" t="e">
        <f t="shared" si="79"/>
        <v>#NUM!</v>
      </c>
      <c r="L228" s="50" t="e">
        <f t="shared" ref="L228:M228" si="82">L164*L207</f>
        <v>#NUM!</v>
      </c>
      <c r="M228" s="50" t="e">
        <f t="shared" si="82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8"/>
        <v>-0.62794465168091362</v>
      </c>
      <c r="H229" s="50">
        <f t="shared" si="79"/>
        <v>-0.53335171580859397</v>
      </c>
      <c r="I229" s="50">
        <f t="shared" si="79"/>
        <v>-0.5294435634767598</v>
      </c>
      <c r="J229" s="50">
        <f t="shared" si="79"/>
        <v>-0.52885007261271255</v>
      </c>
      <c r="K229" s="50">
        <f t="shared" si="79"/>
        <v>-0.52885007261271255</v>
      </c>
      <c r="L229" s="50">
        <f t="shared" ref="L229:M229" si="83">L165*L208</f>
        <v>-0.52885007261271255</v>
      </c>
      <c r="M229" s="50">
        <f t="shared" si="83"/>
        <v>-0.52885007261271255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8"/>
        <v>-0.4322123627304838</v>
      </c>
      <c r="H230" s="50">
        <f t="shared" si="79"/>
        <v>-0.43151828681665461</v>
      </c>
      <c r="I230" s="50">
        <f t="shared" si="79"/>
        <v>-0.42554268103506349</v>
      </c>
      <c r="J230" s="50">
        <f t="shared" si="79"/>
        <v>-0.42607809053389017</v>
      </c>
      <c r="K230" s="50" t="e">
        <f t="shared" si="79"/>
        <v>#NUM!</v>
      </c>
      <c r="L230" s="50" t="e">
        <f t="shared" ref="L230:M230" si="84">L166*L209</f>
        <v>#NUM!</v>
      </c>
      <c r="M230" s="50" t="e">
        <f t="shared" si="84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8"/>
        <v>4.210200088249098E-3</v>
      </c>
      <c r="H231" s="50">
        <f t="shared" si="79"/>
        <v>4.4398176062356619E-3</v>
      </c>
      <c r="I231" s="50">
        <f t="shared" si="79"/>
        <v>4.6847297713858496E-3</v>
      </c>
      <c r="J231" s="50">
        <f t="shared" si="79"/>
        <v>1.0532813188869238E-2</v>
      </c>
      <c r="K231" s="50">
        <f t="shared" si="79"/>
        <v>8.9349290368109027E-2</v>
      </c>
      <c r="L231" s="50">
        <f t="shared" ref="L231:M231" si="85">L167*L210</f>
        <v>8.9349290368109027E-2</v>
      </c>
      <c r="M231" s="50">
        <f t="shared" si="85"/>
        <v>8.9349290368109027E-2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8"/>
        <v>-1.9659734121606836</v>
      </c>
      <c r="H232" s="50">
        <f t="shared" si="79"/>
        <v>-1.9235510131762734</v>
      </c>
      <c r="I232" s="50">
        <f t="shared" si="79"/>
        <v>-1.8820745897477609</v>
      </c>
      <c r="J232" s="50">
        <f t="shared" si="79"/>
        <v>-1.850267722177898</v>
      </c>
      <c r="K232" s="50" t="e">
        <f t="shared" si="79"/>
        <v>#NUM!</v>
      </c>
      <c r="L232" s="50" t="e">
        <f t="shared" ref="L232:M232" si="86">L168*L211</f>
        <v>#NUM!</v>
      </c>
      <c r="M232" s="50" t="e">
        <f t="shared" si="8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8"/>
        <v>1.5267055481285496</v>
      </c>
      <c r="H233" s="50">
        <f t="shared" si="79"/>
        <v>1.1013869981285271</v>
      </c>
      <c r="I233" s="50">
        <f t="shared" si="79"/>
        <v>1.0853052353270771</v>
      </c>
      <c r="J233" s="50">
        <f t="shared" si="79"/>
        <v>1.0828734077742517</v>
      </c>
      <c r="K233" s="50">
        <f t="shared" si="79"/>
        <v>1.0828734077742517</v>
      </c>
      <c r="L233" s="50">
        <f t="shared" ref="L233:M233" si="87">L169*L212</f>
        <v>1.0828734077742517</v>
      </c>
      <c r="M233" s="50">
        <f t="shared" si="87"/>
        <v>1.0828734077742517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8"/>
        <v>1.3922059430932325</v>
      </c>
      <c r="H234" s="50">
        <f t="shared" si="79"/>
        <v>1.3877381359542311</v>
      </c>
      <c r="I234" s="50">
        <f t="shared" si="79"/>
        <v>1.3495698401717062</v>
      </c>
      <c r="J234" s="50">
        <f t="shared" si="79"/>
        <v>1.3529679814501214</v>
      </c>
      <c r="K234" s="50" t="e">
        <f t="shared" si="79"/>
        <v>#NUM!</v>
      </c>
      <c r="L234" s="50" t="e">
        <f t="shared" ref="L234:M234" si="88">L170*L213</f>
        <v>#NUM!</v>
      </c>
      <c r="M234" s="50" t="e">
        <f t="shared" si="88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8"/>
        <v>4.2730738285054096E-2</v>
      </c>
      <c r="H235" s="50">
        <f t="shared" si="79"/>
        <v>4.3404486948757065E-2</v>
      </c>
      <c r="I235" s="50">
        <f t="shared" si="79"/>
        <v>4.4102265183187765E-2</v>
      </c>
      <c r="J235" s="50">
        <f t="shared" si="79"/>
        <v>6.5567660117922713E-2</v>
      </c>
      <c r="K235" s="50" t="e">
        <f t="shared" si="79"/>
        <v>#NUM!</v>
      </c>
      <c r="L235" s="50" t="e">
        <f t="shared" ref="L235:M235" si="89">L171*L214</f>
        <v>#NUM!</v>
      </c>
      <c r="M235" s="50" t="e">
        <f t="shared" si="89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8"/>
        <v>1.3026873854659777E-2</v>
      </c>
      <c r="H236" s="50">
        <f t="shared" si="79"/>
        <v>1.1362234152505134E-2</v>
      </c>
      <c r="I236" s="50">
        <f t="shared" si="79"/>
        <v>1.1585890485214191E-2</v>
      </c>
      <c r="J236" s="50">
        <f t="shared" si="79"/>
        <v>1.73529067480327E-2</v>
      </c>
      <c r="K236" s="50">
        <f t="shared" si="79"/>
        <v>5.0541205447275618E-2</v>
      </c>
      <c r="L236" s="50">
        <f t="shared" ref="L236:M236" si="90">L172*L215</f>
        <v>5.0541205447275618E-2</v>
      </c>
      <c r="M236" s="50">
        <f t="shared" si="90"/>
        <v>5.0541205447275618E-2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8"/>
        <v>6.8599816770410684E-4</v>
      </c>
      <c r="H237" s="50">
        <f t="shared" si="79"/>
        <v>7.0332518989304116E-4</v>
      </c>
      <c r="I237" s="50">
        <f t="shared" si="79"/>
        <v>7.1245887440030944E-4</v>
      </c>
      <c r="J237" s="50">
        <f t="shared" si="79"/>
        <v>1.0696354705536783E-3</v>
      </c>
      <c r="K237" s="50" t="e">
        <f t="shared" si="79"/>
        <v>#NUM!</v>
      </c>
      <c r="L237" s="50" t="e">
        <f t="shared" ref="L237:M237" si="91">L173*L216</f>
        <v>#NUM!</v>
      </c>
      <c r="M237" s="50" t="e">
        <f t="shared" si="91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8"/>
        <v>1.5101531866531293</v>
      </c>
      <c r="H238" s="50">
        <f t="shared" si="79"/>
        <v>1.2687509145282607</v>
      </c>
      <c r="I238" s="50">
        <f t="shared" si="79"/>
        <v>1.2458016623283217</v>
      </c>
      <c r="J238" s="50">
        <f t="shared" si="79"/>
        <v>1.233845189384948</v>
      </c>
      <c r="K238" s="50" t="e">
        <f t="shared" si="79"/>
        <v>#NUM!</v>
      </c>
      <c r="L238" s="50" t="e">
        <f t="shared" ref="L238:M238" si="92">L174*L217</f>
        <v>#NUM!</v>
      </c>
      <c r="M238" s="50" t="e">
        <f t="shared" si="92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8"/>
        <v>0.69843336918041266</v>
      </c>
      <c r="H239" s="50">
        <f t="shared" si="79"/>
        <v>0.68974734047075148</v>
      </c>
      <c r="I239" s="50">
        <f t="shared" si="79"/>
        <v>0.672822515750368</v>
      </c>
      <c r="J239" s="50">
        <f t="shared" si="79"/>
        <v>0.66795232306518992</v>
      </c>
      <c r="K239" s="50" t="e">
        <f t="shared" si="79"/>
        <v>#NUM!</v>
      </c>
      <c r="L239" s="50" t="e">
        <f t="shared" ref="L239:M239" si="93">L175*L218</f>
        <v>#NUM!</v>
      </c>
      <c r="M239" s="50" t="e">
        <f t="shared" si="93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8"/>
        <v>-2.8728836492139931</v>
      </c>
      <c r="H240" s="50">
        <f t="shared" si="79"/>
        <v>-2.4361969111158683</v>
      </c>
      <c r="I240" s="50">
        <f t="shared" si="79"/>
        <v>-2.3848566810622707</v>
      </c>
      <c r="J240" s="50">
        <f t="shared" si="79"/>
        <v>-2.3851805425427663</v>
      </c>
      <c r="K240" s="50" t="e">
        <f t="shared" si="79"/>
        <v>#NUM!</v>
      </c>
      <c r="L240" s="50" t="e">
        <f t="shared" ref="L240:M240" si="94">L176*L219</f>
        <v>#NUM!</v>
      </c>
      <c r="M240" s="50" t="e">
        <f t="shared" si="94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8"/>
        <v>-1.2853240674284958</v>
      </c>
      <c r="H241" s="50">
        <f t="shared" si="79"/>
        <v>-1.2803710591869608</v>
      </c>
      <c r="I241" s="50">
        <f t="shared" si="79"/>
        <v>-1.2761074686594571</v>
      </c>
      <c r="J241" s="50">
        <f t="shared" si="79"/>
        <v>-1.2723983187230938</v>
      </c>
      <c r="K241" s="50">
        <f t="shared" si="79"/>
        <v>-1.2885032723968839</v>
      </c>
      <c r="L241" s="50">
        <f t="shared" ref="L241:M241" si="95">L177*L220</f>
        <v>-1.3046082260706744</v>
      </c>
      <c r="M241" s="50">
        <f t="shared" si="95"/>
        <v>-1.3207131797444647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8"/>
        <v>1.9953790497817054E-2</v>
      </c>
      <c r="H242" s="50">
        <f t="shared" ref="H242:K243" si="96">H178*H221</f>
        <v>5.733959953762629E-3</v>
      </c>
      <c r="I242" s="50">
        <f t="shared" si="96"/>
        <v>5.0938900054356383E-3</v>
      </c>
      <c r="J242" s="50">
        <f t="shared" si="96"/>
        <v>3.9204284335028206E-3</v>
      </c>
      <c r="K242" s="50">
        <f t="shared" si="96"/>
        <v>0</v>
      </c>
      <c r="L242" s="50">
        <f t="shared" ref="L242:M242" si="97">L178*L221</f>
        <v>0</v>
      </c>
      <c r="M242" s="50">
        <f t="shared" si="97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8"/>
        <v>0.15672655163333726</v>
      </c>
      <c r="H243" s="50">
        <f t="shared" si="96"/>
        <v>0.17414061292593028</v>
      </c>
      <c r="I243" s="50">
        <f t="shared" si="96"/>
        <v>0.19155467421852329</v>
      </c>
      <c r="J243" s="50">
        <f t="shared" si="96"/>
        <v>0.20896873551111633</v>
      </c>
      <c r="K243" s="50">
        <f t="shared" si="96"/>
        <v>0.22638279680370937</v>
      </c>
      <c r="L243" s="50">
        <f t="shared" ref="L243:M243" si="98">L179*L222</f>
        <v>0.24379685809630239</v>
      </c>
      <c r="M243" s="50">
        <f t="shared" si="98"/>
        <v>0.2612109193888954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9.3012909067295624</v>
      </c>
      <c r="H245" s="44">
        <f t="shared" ref="H245:K245" si="99">SUM(H226:H243)</f>
        <v>9.2156436483473616</v>
      </c>
      <c r="I245" s="44">
        <f t="shared" si="99"/>
        <v>9.258506181707082</v>
      </c>
      <c r="J245" s="44">
        <f t="shared" si="99"/>
        <v>9.2578867594794243</v>
      </c>
      <c r="K245" s="44" t="e">
        <f t="shared" si="99"/>
        <v>#NUM!</v>
      </c>
      <c r="L245" s="44" t="e">
        <f t="shared" ref="L245:M245" si="100">SUM(L226:L243)</f>
        <v>#NUM!</v>
      </c>
      <c r="M245" s="44" t="e">
        <f t="shared" si="100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10952.148288469405</v>
      </c>
      <c r="H246" s="8">
        <f t="shared" ref="H246:K246" si="101">EXP(H245)</f>
        <v>10053.173636331852</v>
      </c>
      <c r="I246" s="8">
        <f t="shared" si="101"/>
        <v>10493.44632451649</v>
      </c>
      <c r="J246" s="8">
        <f t="shared" si="101"/>
        <v>10486.948463285951</v>
      </c>
      <c r="K246" s="8" t="e">
        <f t="shared" si="101"/>
        <v>#NUM!</v>
      </c>
      <c r="L246" s="8" t="e">
        <f t="shared" ref="L246:M246" si="102">EXP(L245)</f>
        <v>#NUM!</v>
      </c>
      <c r="M246" s="8" t="e">
        <f t="shared" si="102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139.7281787609837</v>
      </c>
      <c r="H247" s="21">
        <f t="shared" ref="H247:K247" si="103">H137</f>
        <v>142.93213804795639</v>
      </c>
      <c r="I247" s="21">
        <f t="shared" si="103"/>
        <v>146.20956394133304</v>
      </c>
      <c r="J247" s="21">
        <f t="shared" si="103"/>
        <v>149.5621410262701</v>
      </c>
      <c r="K247" s="21">
        <f t="shared" si="103"/>
        <v>149.5621410262701</v>
      </c>
      <c r="L247" s="21">
        <f t="shared" ref="L247:M247" si="104">L137</f>
        <v>149.5621410262701</v>
      </c>
      <c r="M247" s="21">
        <f t="shared" si="104"/>
        <v>149.5621410262701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1530323.7338680546</v>
      </c>
      <c r="H248" s="8">
        <f t="shared" ref="H248:K248" si="105">H246*H247</f>
        <v>1436921.6020082601</v>
      </c>
      <c r="I248" s="8">
        <f t="shared" si="105"/>
        <v>1534242.2113493399</v>
      </c>
      <c r="J248" s="8">
        <f t="shared" si="105"/>
        <v>1568450.4650011999</v>
      </c>
      <c r="K248" s="8" t="e">
        <f t="shared" si="105"/>
        <v>#NUM!</v>
      </c>
      <c r="L248" s="8" t="e">
        <f t="shared" ref="L248:M248" si="106">L246*L247</f>
        <v>#NUM!</v>
      </c>
      <c r="M248" s="8" t="e">
        <f t="shared" si="106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G249" s="25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G250" s="25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7">G121</f>
        <v>1097457.0225976177</v>
      </c>
      <c r="H256" s="60">
        <f t="shared" ref="H256:K256" si="108">H121</f>
        <v>1119144.6852550502</v>
      </c>
      <c r="I256" s="60">
        <f t="shared" si="108"/>
        <v>1164306.9402945307</v>
      </c>
      <c r="J256" s="60">
        <f t="shared" si="108"/>
        <v>1173602.3576080799</v>
      </c>
      <c r="K256" s="60">
        <f t="shared" si="108"/>
        <v>209155.59325015222</v>
      </c>
      <c r="L256" s="60">
        <f t="shared" ref="L256:M256" si="109">L121</f>
        <v>199555.35151997022</v>
      </c>
      <c r="M256" s="60">
        <f t="shared" si="109"/>
        <v>190395.76088520358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10">G248</f>
        <v>1530323.7338680546</v>
      </c>
      <c r="H257" s="60">
        <f t="shared" ref="H257:K257" si="111">H248</f>
        <v>1436921.6020082601</v>
      </c>
      <c r="I257" s="60">
        <f t="shared" si="111"/>
        <v>1534242.2113493399</v>
      </c>
      <c r="J257" s="60">
        <f t="shared" si="111"/>
        <v>1568450.4650011999</v>
      </c>
      <c r="K257" s="60" t="e">
        <f t="shared" si="111"/>
        <v>#NUM!</v>
      </c>
      <c r="L257" s="60" t="e">
        <f t="shared" ref="L257:M257" si="112">L248</f>
        <v>#NUM!</v>
      </c>
      <c r="M257" s="60" t="e">
        <f t="shared" si="112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3">G256-G257</f>
        <v>-432866.71127043688</v>
      </c>
      <c r="H258" s="25">
        <f t="shared" ref="H258:K258" si="114">H256-H257</f>
        <v>-317776.91675320989</v>
      </c>
      <c r="I258" s="25">
        <f t="shared" si="114"/>
        <v>-369935.27105480921</v>
      </c>
      <c r="J258" s="25">
        <f t="shared" si="114"/>
        <v>-394848.10739311995</v>
      </c>
      <c r="K258" s="25" t="e">
        <f t="shared" si="114"/>
        <v>#NUM!</v>
      </c>
      <c r="L258" s="25" t="e">
        <f t="shared" ref="L258:M258" si="115">L256-L257</f>
        <v>#NUM!</v>
      </c>
      <c r="M258" s="25" t="e">
        <f t="shared" si="115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6">G258/G257</f>
        <v>-0.28285956865892725</v>
      </c>
      <c r="H259" s="61">
        <f t="shared" ref="H259:K259" si="117">H258/H257</f>
        <v>-0.22115118619490498</v>
      </c>
      <c r="I259" s="61">
        <f t="shared" si="117"/>
        <v>-0.24111921072061851</v>
      </c>
      <c r="J259" s="61">
        <f t="shared" si="117"/>
        <v>-0.25174407238472646</v>
      </c>
      <c r="K259" s="61" t="e">
        <f t="shared" si="117"/>
        <v>#NUM!</v>
      </c>
      <c r="L259" s="61" t="e">
        <f t="shared" ref="L259:M259" si="118">L258/L257</f>
        <v>#NUM!</v>
      </c>
      <c r="M259" s="61" t="e">
        <f t="shared" si="118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-0.33248359794952609</v>
      </c>
      <c r="H261" s="64">
        <f t="shared" ref="H261:K261" si="119">LN(H256/H257)</f>
        <v>-0.24993832921884149</v>
      </c>
      <c r="I261" s="64">
        <f t="shared" si="119"/>
        <v>-0.27591057679518693</v>
      </c>
      <c r="J261" s="64">
        <f t="shared" si="119"/>
        <v>-0.29001021030907559</v>
      </c>
      <c r="K261" s="64" t="e">
        <f t="shared" si="119"/>
        <v>#NUM!</v>
      </c>
      <c r="L261" s="64" t="e">
        <f t="shared" ref="L261:M261" si="120">LN(L256/L257)</f>
        <v>#NUM!</v>
      </c>
      <c r="M261" s="64" t="e">
        <f t="shared" si="120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M25" sqref="M25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Cooperative Hydro Embrun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1097457.0225976177</v>
      </c>
      <c r="G10" s="86">
        <f>'Benchmarking Calculations'!H121</f>
        <v>1119144.6852550502</v>
      </c>
      <c r="H10" s="86">
        <f>'Benchmarking Calculations'!I121</f>
        <v>1164306.9402945307</v>
      </c>
      <c r="I10" s="91">
        <f>IF(ISNUMBER(I12),'Benchmarking Calculations'!J121,"na")</f>
        <v>1173602.3576080799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1530323.7338680546</v>
      </c>
      <c r="G12" s="86">
        <f>'Benchmarking Calculations'!H257</f>
        <v>1436921.6020082601</v>
      </c>
      <c r="H12" s="86">
        <f>'Benchmarking Calculations'!I257</f>
        <v>1534242.2113493399</v>
      </c>
      <c r="I12" s="91">
        <f>IF(ISNUMBER('Benchmarking Calculations'!J257),'Benchmarking Calculations'!J257,"na")</f>
        <v>1568450.4650011999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-432866.71127043688</v>
      </c>
      <c r="G14" s="86">
        <f t="shared" si="0"/>
        <v>-317776.91675320989</v>
      </c>
      <c r="H14" s="86">
        <f t="shared" si="0"/>
        <v>-369935.27105480921</v>
      </c>
      <c r="I14" s="91">
        <f>IF(ISNUMBER(I12),I10-I12,"na")</f>
        <v>-394848.10739311995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-0.33248359794952609</v>
      </c>
      <c r="G16" s="167">
        <f t="shared" ref="G16:H16" si="2">LN(G10/G12)</f>
        <v>-0.24993832921884149</v>
      </c>
      <c r="H16" s="167">
        <f t="shared" si="2"/>
        <v>-0.27591057679518693</v>
      </c>
      <c r="I16" s="148">
        <f>IF(ISNUMBER(I14),LN(I10/I12),"na")</f>
        <v>-0.29001021030907559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-0.2861108346545182</v>
      </c>
      <c r="I18" s="66">
        <f>IF(ISNUMBER(I16),AVERAGE(G16:I16),"na")</f>
        <v>-0.27195303877436799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1</v>
      </c>
      <c r="G22" s="149">
        <f t="shared" ref="G22" si="5">IF(G16&lt;-0.25,1,IF(G16&lt;-0.1,2,IF(G16&lt;0.1,3,IF(G16&lt;0.25,4,5))))</f>
        <v>2</v>
      </c>
      <c r="H22" s="149">
        <f>IF($H$16&lt;-0.25,1,IF($H$16&lt;-0.1,2,IF($H$16&lt;0.1,3,IF($H$16&lt;0.25,4,5))))</f>
        <v>1</v>
      </c>
      <c r="I22" s="149">
        <f>IF(ISNUMBER(I16),IF(I16&lt;-0.25,1,IF(I16&lt;-0.1,2,IF(I16&lt;0.1,3,IF(I16&lt;0.25,4,5)))),"na")</f>
        <v>1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2016-07-25T18:30:34Z</cp:lastPrinted>
  <dcterms:created xsi:type="dcterms:W3CDTF">2016-07-20T15:58:10Z</dcterms:created>
  <dcterms:modified xsi:type="dcterms:W3CDTF">2017-05-01T02:22:09Z</dcterms:modified>
</cp:coreProperties>
</file>