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0" yWindow="90" windowWidth="12870" windowHeight="5670"/>
  </bookViews>
  <sheets>
    <sheet name="Appendix 2-IB" sheetId="1" r:id="rId1"/>
    <sheet name="Appendix 2-I" sheetId="2" r:id="rId2"/>
  </sheets>
  <externalReferences>
    <externalReference r:id="rId3"/>
  </externalReferences>
  <definedNames>
    <definedName name="EBNUMBER">'[1]LDC Info'!$E$16</definedName>
    <definedName name="_xlnm.Print_Area" localSheetId="1">'Appendix 2-I'!$A$1:$I$93</definedName>
    <definedName name="_xlnm.Print_Area" localSheetId="0">'Appendix 2-IB'!$A$1:$V$627</definedName>
    <definedName name="RebaseYear">'[1]LDC Info'!$E$28</definedName>
    <definedName name="TestYear">'[1]LDC Info'!$E$24</definedName>
  </definedNames>
  <calcPr calcId="145621"/>
</workbook>
</file>

<file path=xl/calcChain.xml><?xml version="1.0" encoding="utf-8"?>
<calcChain xmlns="http://schemas.openxmlformats.org/spreadsheetml/2006/main">
  <c r="Q625" i="1" l="1"/>
  <c r="M625" i="1"/>
  <c r="L625" i="1"/>
  <c r="K625" i="1"/>
  <c r="S624" i="1"/>
  <c r="Q624" i="1"/>
  <c r="O624" i="1"/>
  <c r="M624" i="1"/>
  <c r="K624" i="1"/>
  <c r="G624" i="1"/>
  <c r="D624" i="1"/>
  <c r="S623" i="1"/>
  <c r="M623" i="1"/>
  <c r="G623" i="1"/>
  <c r="S622" i="1"/>
  <c r="M622" i="1"/>
  <c r="L622" i="1"/>
  <c r="G622" i="1"/>
  <c r="S621" i="1"/>
  <c r="R621" i="1"/>
  <c r="M621" i="1"/>
  <c r="L621" i="1"/>
  <c r="G621" i="1"/>
  <c r="S620" i="1"/>
  <c r="M620" i="1"/>
  <c r="L620" i="1"/>
  <c r="G620" i="1"/>
  <c r="M619" i="1"/>
  <c r="L619" i="1"/>
  <c r="G619" i="1"/>
  <c r="O617" i="1"/>
  <c r="U617" i="1" s="1"/>
  <c r="I617" i="1"/>
  <c r="O616" i="1"/>
  <c r="O625" i="1" s="1"/>
  <c r="I616" i="1"/>
  <c r="S615" i="1"/>
  <c r="R615" i="1"/>
  <c r="N615" i="1"/>
  <c r="T615" i="1" s="1"/>
  <c r="U615" i="1" s="1"/>
  <c r="S614" i="1"/>
  <c r="R614" i="1"/>
  <c r="D614" i="1"/>
  <c r="D623" i="1" s="1"/>
  <c r="K623" i="1" s="1"/>
  <c r="Q623" i="1" s="1"/>
  <c r="S613" i="1"/>
  <c r="R613" i="1"/>
  <c r="D613" i="1"/>
  <c r="S612" i="1"/>
  <c r="R612" i="1"/>
  <c r="R622" i="1" s="1"/>
  <c r="S611" i="1"/>
  <c r="R611" i="1"/>
  <c r="S610" i="1"/>
  <c r="R610" i="1"/>
  <c r="R620" i="1" s="1"/>
  <c r="S609" i="1"/>
  <c r="S625" i="1" s="1"/>
  <c r="R609" i="1"/>
  <c r="R625" i="1" s="1"/>
  <c r="S608" i="1"/>
  <c r="R608" i="1"/>
  <c r="O608" i="1"/>
  <c r="U608" i="1" s="1"/>
  <c r="D608" i="1"/>
  <c r="Q607" i="1"/>
  <c r="K607" i="1"/>
  <c r="O604" i="1"/>
  <c r="K604" i="1"/>
  <c r="Q604" i="1" s="1"/>
  <c r="O603" i="1"/>
  <c r="M603" i="1"/>
  <c r="G603" i="1"/>
  <c r="D603" i="1"/>
  <c r="K603" i="1" s="1"/>
  <c r="Q603" i="1" s="1"/>
  <c r="M602" i="1"/>
  <c r="G602" i="1"/>
  <c r="D602" i="1"/>
  <c r="K602" i="1" s="1"/>
  <c r="Q602" i="1" s="1"/>
  <c r="R601" i="1"/>
  <c r="M601" i="1"/>
  <c r="L601" i="1"/>
  <c r="G601" i="1"/>
  <c r="R600" i="1"/>
  <c r="M600" i="1"/>
  <c r="L600" i="1"/>
  <c r="G600" i="1"/>
  <c r="R599" i="1"/>
  <c r="M599" i="1"/>
  <c r="L599" i="1"/>
  <c r="G599" i="1"/>
  <c r="R598" i="1"/>
  <c r="M598" i="1"/>
  <c r="L598" i="1"/>
  <c r="G598" i="1"/>
  <c r="U596" i="1"/>
  <c r="O596" i="1"/>
  <c r="O595" i="1"/>
  <c r="I595" i="1"/>
  <c r="S594" i="1"/>
  <c r="R594" i="1"/>
  <c r="N594" i="1"/>
  <c r="T594" i="1" s="1"/>
  <c r="U594" i="1" s="1"/>
  <c r="H594" i="1"/>
  <c r="S593" i="1"/>
  <c r="S603" i="1" s="1"/>
  <c r="R593" i="1"/>
  <c r="D593" i="1"/>
  <c r="H593" i="1" s="1"/>
  <c r="N593" i="1" s="1"/>
  <c r="S592" i="1"/>
  <c r="S602" i="1" s="1"/>
  <c r="R592" i="1"/>
  <c r="S591" i="1"/>
  <c r="S601" i="1" s="1"/>
  <c r="R591" i="1"/>
  <c r="S590" i="1"/>
  <c r="R590" i="1"/>
  <c r="S589" i="1"/>
  <c r="S599" i="1" s="1"/>
  <c r="R589" i="1"/>
  <c r="S588" i="1"/>
  <c r="R588" i="1"/>
  <c r="U587" i="1"/>
  <c r="S587" i="1"/>
  <c r="R587" i="1"/>
  <c r="D587" i="1"/>
  <c r="Q586" i="1"/>
  <c r="O581" i="1"/>
  <c r="M581" i="1"/>
  <c r="L581" i="1"/>
  <c r="K581" i="1"/>
  <c r="Q581" i="1" s="1"/>
  <c r="I581" i="1"/>
  <c r="O580" i="1"/>
  <c r="M580" i="1"/>
  <c r="I580" i="1"/>
  <c r="G580" i="1"/>
  <c r="D580" i="1"/>
  <c r="K580" i="1" s="1"/>
  <c r="Q580" i="1" s="1"/>
  <c r="M579" i="1"/>
  <c r="G579" i="1"/>
  <c r="R578" i="1"/>
  <c r="M578" i="1"/>
  <c r="L578" i="1"/>
  <c r="G578" i="1"/>
  <c r="D578" i="1"/>
  <c r="K578" i="1" s="1"/>
  <c r="Q578" i="1" s="1"/>
  <c r="R577" i="1"/>
  <c r="M577" i="1"/>
  <c r="L577" i="1"/>
  <c r="G577" i="1"/>
  <c r="R576" i="1"/>
  <c r="M576" i="1"/>
  <c r="L576" i="1"/>
  <c r="G576" i="1"/>
  <c r="M575" i="1"/>
  <c r="L575" i="1"/>
  <c r="G575" i="1"/>
  <c r="I573" i="1"/>
  <c r="O573" i="1" s="1"/>
  <c r="U573" i="1" s="1"/>
  <c r="O572" i="1"/>
  <c r="I572" i="1"/>
  <c r="S571" i="1"/>
  <c r="R571" i="1"/>
  <c r="S570" i="1"/>
  <c r="S580" i="1" s="1"/>
  <c r="R570" i="1"/>
  <c r="D570" i="1"/>
  <c r="D569" i="1" s="1"/>
  <c r="S569" i="1"/>
  <c r="S579" i="1" s="1"/>
  <c r="R569" i="1"/>
  <c r="S568" i="1"/>
  <c r="S578" i="1" s="1"/>
  <c r="R568" i="1"/>
  <c r="D568" i="1"/>
  <c r="S567" i="1"/>
  <c r="S577" i="1" s="1"/>
  <c r="R567" i="1"/>
  <c r="S566" i="1"/>
  <c r="S576" i="1" s="1"/>
  <c r="R566" i="1"/>
  <c r="S565" i="1"/>
  <c r="S581" i="1" s="1"/>
  <c r="R565" i="1"/>
  <c r="R581" i="1" s="1"/>
  <c r="U564" i="1"/>
  <c r="S564" i="1"/>
  <c r="R564" i="1"/>
  <c r="O564" i="1"/>
  <c r="D564" i="1"/>
  <c r="Q563" i="1"/>
  <c r="K563" i="1"/>
  <c r="K560" i="1"/>
  <c r="Q560" i="1" s="1"/>
  <c r="M559" i="1"/>
  <c r="K559" i="1"/>
  <c r="Q559" i="1" s="1"/>
  <c r="G559" i="1"/>
  <c r="D559" i="1"/>
  <c r="Q558" i="1"/>
  <c r="M558" i="1"/>
  <c r="G558" i="1"/>
  <c r="M557" i="1"/>
  <c r="L557" i="1"/>
  <c r="G557" i="1"/>
  <c r="M556" i="1"/>
  <c r="L556" i="1"/>
  <c r="G556" i="1"/>
  <c r="M555" i="1"/>
  <c r="L555" i="1"/>
  <c r="G555" i="1"/>
  <c r="M554" i="1"/>
  <c r="L554" i="1"/>
  <c r="G554" i="1"/>
  <c r="O552" i="1"/>
  <c r="U552" i="1" s="1"/>
  <c r="O551" i="1"/>
  <c r="I551" i="1"/>
  <c r="I559" i="1" s="1"/>
  <c r="S550" i="1"/>
  <c r="R550" i="1"/>
  <c r="N550" i="1"/>
  <c r="H550" i="1"/>
  <c r="S549" i="1"/>
  <c r="S559" i="1" s="1"/>
  <c r="R549" i="1"/>
  <c r="D549" i="1"/>
  <c r="D558" i="1" s="1"/>
  <c r="K558" i="1" s="1"/>
  <c r="S548" i="1"/>
  <c r="R548" i="1"/>
  <c r="S547" i="1"/>
  <c r="S557" i="1" s="1"/>
  <c r="R547" i="1"/>
  <c r="S546" i="1"/>
  <c r="S556" i="1" s="1"/>
  <c r="R546" i="1"/>
  <c r="R556" i="1" s="1"/>
  <c r="S545" i="1"/>
  <c r="R545" i="1"/>
  <c r="S544" i="1"/>
  <c r="R544" i="1"/>
  <c r="U543" i="1"/>
  <c r="S543" i="1"/>
  <c r="R543" i="1"/>
  <c r="D543" i="1"/>
  <c r="Q542" i="1"/>
  <c r="R536" i="1"/>
  <c r="O536" i="1"/>
  <c r="M536" i="1"/>
  <c r="L536" i="1"/>
  <c r="K536" i="1"/>
  <c r="Q536" i="1" s="1"/>
  <c r="I536" i="1"/>
  <c r="M535" i="1"/>
  <c r="I535" i="1"/>
  <c r="G535" i="1"/>
  <c r="D535" i="1"/>
  <c r="K535" i="1" s="1"/>
  <c r="Q535" i="1" s="1"/>
  <c r="M534" i="1"/>
  <c r="G534" i="1"/>
  <c r="M533" i="1"/>
  <c r="L533" i="1"/>
  <c r="G533" i="1"/>
  <c r="M532" i="1"/>
  <c r="L532" i="1"/>
  <c r="G532" i="1"/>
  <c r="R531" i="1"/>
  <c r="M531" i="1"/>
  <c r="L531" i="1"/>
  <c r="G531" i="1"/>
  <c r="R530" i="1"/>
  <c r="M530" i="1"/>
  <c r="L530" i="1"/>
  <c r="G530" i="1"/>
  <c r="U528" i="1"/>
  <c r="I528" i="1"/>
  <c r="O528" i="1" s="1"/>
  <c r="O527" i="1"/>
  <c r="O535" i="1" s="1"/>
  <c r="I527" i="1"/>
  <c r="S526" i="1"/>
  <c r="R526" i="1"/>
  <c r="S525" i="1"/>
  <c r="S535" i="1" s="1"/>
  <c r="R525" i="1"/>
  <c r="D525" i="1"/>
  <c r="S524" i="1"/>
  <c r="S534" i="1" s="1"/>
  <c r="R524" i="1"/>
  <c r="S523" i="1"/>
  <c r="S533" i="1" s="1"/>
  <c r="R523" i="1"/>
  <c r="R533" i="1" s="1"/>
  <c r="S522" i="1"/>
  <c r="S532" i="1" s="1"/>
  <c r="R522" i="1"/>
  <c r="R532" i="1" s="1"/>
  <c r="S521" i="1"/>
  <c r="S531" i="1" s="1"/>
  <c r="R521" i="1"/>
  <c r="S520" i="1"/>
  <c r="S536" i="1" s="1"/>
  <c r="R520" i="1"/>
  <c r="S519" i="1"/>
  <c r="R519" i="1"/>
  <c r="O519" i="1"/>
  <c r="U519" i="1" s="1"/>
  <c r="D519" i="1"/>
  <c r="Q518" i="1"/>
  <c r="K518" i="1"/>
  <c r="Q515" i="1"/>
  <c r="O515" i="1"/>
  <c r="K515" i="1"/>
  <c r="S514" i="1"/>
  <c r="M514" i="1"/>
  <c r="G514" i="1"/>
  <c r="D514" i="1"/>
  <c r="K514" i="1" s="1"/>
  <c r="Q514" i="1" s="1"/>
  <c r="S513" i="1"/>
  <c r="M513" i="1"/>
  <c r="G513" i="1"/>
  <c r="S512" i="1"/>
  <c r="M512" i="1"/>
  <c r="L512" i="1"/>
  <c r="G512" i="1"/>
  <c r="S511" i="1"/>
  <c r="M511" i="1"/>
  <c r="L511" i="1"/>
  <c r="G511" i="1"/>
  <c r="S510" i="1"/>
  <c r="M510" i="1"/>
  <c r="L510" i="1"/>
  <c r="G510" i="1"/>
  <c r="R509" i="1"/>
  <c r="M509" i="1"/>
  <c r="L509" i="1"/>
  <c r="G509" i="1"/>
  <c r="U507" i="1"/>
  <c r="O507" i="1"/>
  <c r="O506" i="1"/>
  <c r="O514" i="1" s="1"/>
  <c r="I506" i="1"/>
  <c r="I514" i="1" s="1"/>
  <c r="T505" i="1"/>
  <c r="U505" i="1" s="1"/>
  <c r="S505" i="1"/>
  <c r="R505" i="1"/>
  <c r="N505" i="1"/>
  <c r="N526" i="1" s="1"/>
  <c r="T526" i="1" s="1"/>
  <c r="U526" i="1" s="1"/>
  <c r="H505" i="1"/>
  <c r="S504" i="1"/>
  <c r="R504" i="1"/>
  <c r="H504" i="1"/>
  <c r="N504" i="1" s="1"/>
  <c r="D504" i="1"/>
  <c r="D513" i="1" s="1"/>
  <c r="K513" i="1" s="1"/>
  <c r="Q513" i="1" s="1"/>
  <c r="S503" i="1"/>
  <c r="R503" i="1"/>
  <c r="D503" i="1"/>
  <c r="S502" i="1"/>
  <c r="R502" i="1"/>
  <c r="R512" i="1" s="1"/>
  <c r="S501" i="1"/>
  <c r="R501" i="1"/>
  <c r="S500" i="1"/>
  <c r="R500" i="1"/>
  <c r="R510" i="1" s="1"/>
  <c r="S499" i="1"/>
  <c r="R499" i="1"/>
  <c r="U498" i="1"/>
  <c r="S498" i="1"/>
  <c r="R498" i="1"/>
  <c r="D498" i="1"/>
  <c r="Q497" i="1"/>
  <c r="S489" i="1"/>
  <c r="O489" i="1"/>
  <c r="M489" i="1"/>
  <c r="L489" i="1"/>
  <c r="K489" i="1"/>
  <c r="Q489" i="1" s="1"/>
  <c r="M488" i="1"/>
  <c r="K488" i="1"/>
  <c r="Q488" i="1" s="1"/>
  <c r="G488" i="1"/>
  <c r="D488" i="1"/>
  <c r="S487" i="1"/>
  <c r="M487" i="1"/>
  <c r="G487" i="1"/>
  <c r="D487" i="1"/>
  <c r="K487" i="1" s="1"/>
  <c r="Q487" i="1" s="1"/>
  <c r="M486" i="1"/>
  <c r="L486" i="1"/>
  <c r="G486" i="1"/>
  <c r="M485" i="1"/>
  <c r="L485" i="1"/>
  <c r="G485" i="1"/>
  <c r="S484" i="1"/>
  <c r="M484" i="1"/>
  <c r="L484" i="1"/>
  <c r="G484" i="1"/>
  <c r="M483" i="1"/>
  <c r="L483" i="1"/>
  <c r="G483" i="1"/>
  <c r="O481" i="1"/>
  <c r="U481" i="1" s="1"/>
  <c r="I481" i="1"/>
  <c r="O480" i="1"/>
  <c r="O488" i="1" s="1"/>
  <c r="I480" i="1"/>
  <c r="S479" i="1"/>
  <c r="R479" i="1"/>
  <c r="S478" i="1"/>
  <c r="S488" i="1" s="1"/>
  <c r="R478" i="1"/>
  <c r="D478" i="1"/>
  <c r="S477" i="1"/>
  <c r="R477" i="1"/>
  <c r="D477" i="1"/>
  <c r="S476" i="1"/>
  <c r="S486" i="1" s="1"/>
  <c r="R476" i="1"/>
  <c r="R486" i="1" s="1"/>
  <c r="S475" i="1"/>
  <c r="S485" i="1" s="1"/>
  <c r="R475" i="1"/>
  <c r="R485" i="1" s="1"/>
  <c r="S474" i="1"/>
  <c r="R474" i="1"/>
  <c r="R484" i="1" s="1"/>
  <c r="S473" i="1"/>
  <c r="S483" i="1" s="1"/>
  <c r="R473" i="1"/>
  <c r="R489" i="1" s="1"/>
  <c r="S472" i="1"/>
  <c r="R472" i="1"/>
  <c r="O472" i="1"/>
  <c r="U472" i="1" s="1"/>
  <c r="D472" i="1"/>
  <c r="Q471" i="1"/>
  <c r="K471" i="1"/>
  <c r="O468" i="1"/>
  <c r="K468" i="1"/>
  <c r="Q468" i="1" s="1"/>
  <c r="O467" i="1"/>
  <c r="M467" i="1"/>
  <c r="G467" i="1"/>
  <c r="D467" i="1"/>
  <c r="K467" i="1" s="1"/>
  <c r="Q467" i="1" s="1"/>
  <c r="M466" i="1"/>
  <c r="G466" i="1"/>
  <c r="D466" i="1"/>
  <c r="K466" i="1" s="1"/>
  <c r="Q466" i="1" s="1"/>
  <c r="R465" i="1"/>
  <c r="M465" i="1"/>
  <c r="L465" i="1"/>
  <c r="K465" i="1"/>
  <c r="Q465" i="1" s="1"/>
  <c r="G465" i="1"/>
  <c r="D465" i="1"/>
  <c r="R464" i="1"/>
  <c r="M464" i="1"/>
  <c r="L464" i="1"/>
  <c r="G464" i="1"/>
  <c r="R463" i="1"/>
  <c r="M463" i="1"/>
  <c r="L463" i="1"/>
  <c r="G463" i="1"/>
  <c r="R462" i="1"/>
  <c r="M462" i="1"/>
  <c r="L462" i="1"/>
  <c r="G462" i="1"/>
  <c r="U460" i="1"/>
  <c r="O460" i="1"/>
  <c r="O459" i="1"/>
  <c r="I459" i="1"/>
  <c r="S458" i="1"/>
  <c r="R458" i="1"/>
  <c r="N458" i="1"/>
  <c r="H458" i="1"/>
  <c r="U457" i="1"/>
  <c r="S457" i="1"/>
  <c r="S467" i="1" s="1"/>
  <c r="R457" i="1"/>
  <c r="H457" i="1"/>
  <c r="N457" i="1" s="1"/>
  <c r="T457" i="1" s="1"/>
  <c r="D457" i="1"/>
  <c r="S456" i="1"/>
  <c r="S466" i="1" s="1"/>
  <c r="R456" i="1"/>
  <c r="D456" i="1"/>
  <c r="H456" i="1" s="1"/>
  <c r="N456" i="1" s="1"/>
  <c r="S455" i="1"/>
  <c r="S465" i="1" s="1"/>
  <c r="R455" i="1"/>
  <c r="S454" i="1"/>
  <c r="S464" i="1" s="1"/>
  <c r="R454" i="1"/>
  <c r="S453" i="1"/>
  <c r="R453" i="1"/>
  <c r="S452" i="1"/>
  <c r="R452" i="1"/>
  <c r="U451" i="1"/>
  <c r="S451" i="1"/>
  <c r="R451" i="1"/>
  <c r="D451" i="1"/>
  <c r="Q450" i="1"/>
  <c r="K446" i="1"/>
  <c r="Q446" i="1" s="1"/>
  <c r="I446" i="1"/>
  <c r="M445" i="1"/>
  <c r="I445" i="1"/>
  <c r="G445" i="1"/>
  <c r="D445" i="1"/>
  <c r="K445" i="1" s="1"/>
  <c r="Q445" i="1" s="1"/>
  <c r="M444" i="1"/>
  <c r="G444" i="1"/>
  <c r="D444" i="1"/>
  <c r="K444" i="1" s="1"/>
  <c r="Q444" i="1" s="1"/>
  <c r="R443" i="1"/>
  <c r="M443" i="1"/>
  <c r="L443" i="1"/>
  <c r="K443" i="1"/>
  <c r="Q443" i="1" s="1"/>
  <c r="G443" i="1"/>
  <c r="D443" i="1"/>
  <c r="M442" i="1"/>
  <c r="L442" i="1"/>
  <c r="G442" i="1"/>
  <c r="M441" i="1"/>
  <c r="L441" i="1"/>
  <c r="G441" i="1"/>
  <c r="M440" i="1"/>
  <c r="L440" i="1"/>
  <c r="G440" i="1"/>
  <c r="U438" i="1"/>
  <c r="I438" i="1"/>
  <c r="O438" i="1" s="1"/>
  <c r="O437" i="1"/>
  <c r="I437" i="1"/>
  <c r="S436" i="1"/>
  <c r="R436" i="1"/>
  <c r="S435" i="1"/>
  <c r="S445" i="1" s="1"/>
  <c r="R435" i="1"/>
  <c r="D435" i="1"/>
  <c r="D434" i="1" s="1"/>
  <c r="S434" i="1"/>
  <c r="S444" i="1" s="1"/>
  <c r="R434" i="1"/>
  <c r="U433" i="1"/>
  <c r="S433" i="1"/>
  <c r="R433" i="1"/>
  <c r="S432" i="1"/>
  <c r="R432" i="1"/>
  <c r="S431" i="1"/>
  <c r="S441" i="1" s="1"/>
  <c r="R431" i="1"/>
  <c r="S430" i="1"/>
  <c r="R430" i="1"/>
  <c r="U429" i="1"/>
  <c r="S429" i="1"/>
  <c r="R429" i="1"/>
  <c r="O429" i="1"/>
  <c r="D429" i="1"/>
  <c r="Q428" i="1"/>
  <c r="K428" i="1"/>
  <c r="K425" i="1"/>
  <c r="Q425" i="1" s="1"/>
  <c r="Q424" i="1"/>
  <c r="M424" i="1"/>
  <c r="K424" i="1"/>
  <c r="I424" i="1"/>
  <c r="G424" i="1"/>
  <c r="D424" i="1"/>
  <c r="M423" i="1"/>
  <c r="G423" i="1"/>
  <c r="S422" i="1"/>
  <c r="R422" i="1"/>
  <c r="M422" i="1"/>
  <c r="L422" i="1"/>
  <c r="G422" i="1"/>
  <c r="M421" i="1"/>
  <c r="L421" i="1"/>
  <c r="G421" i="1"/>
  <c r="S420" i="1"/>
  <c r="M420" i="1"/>
  <c r="L420" i="1"/>
  <c r="G420" i="1"/>
  <c r="R419" i="1"/>
  <c r="M419" i="1"/>
  <c r="L419" i="1"/>
  <c r="G419" i="1"/>
  <c r="O417" i="1"/>
  <c r="U417" i="1" s="1"/>
  <c r="O416" i="1"/>
  <c r="O425" i="1" s="1"/>
  <c r="I416" i="1"/>
  <c r="I425" i="1" s="1"/>
  <c r="S415" i="1"/>
  <c r="S424" i="1" s="1"/>
  <c r="R415" i="1"/>
  <c r="N415" i="1"/>
  <c r="H415" i="1"/>
  <c r="S414" i="1"/>
  <c r="R414" i="1"/>
  <c r="H414" i="1"/>
  <c r="N414" i="1" s="1"/>
  <c r="D414" i="1"/>
  <c r="S413" i="1"/>
  <c r="S423" i="1" s="1"/>
  <c r="R413" i="1"/>
  <c r="S412" i="1"/>
  <c r="R412" i="1"/>
  <c r="N412" i="1"/>
  <c r="N433" i="1" s="1"/>
  <c r="T433" i="1" s="1"/>
  <c r="S411" i="1"/>
  <c r="S421" i="1" s="1"/>
  <c r="R411" i="1"/>
  <c r="R420" i="1" s="1"/>
  <c r="S410" i="1"/>
  <c r="R410" i="1"/>
  <c r="S409" i="1"/>
  <c r="S419" i="1" s="1"/>
  <c r="R409" i="1"/>
  <c r="U408" i="1"/>
  <c r="S408" i="1"/>
  <c r="R408" i="1"/>
  <c r="D408" i="1"/>
  <c r="Q407" i="1"/>
  <c r="K403" i="1"/>
  <c r="Q403" i="1" s="1"/>
  <c r="I403" i="1"/>
  <c r="M402" i="1"/>
  <c r="I402" i="1"/>
  <c r="G402" i="1"/>
  <c r="D402" i="1"/>
  <c r="K402" i="1" s="1"/>
  <c r="Q402" i="1" s="1"/>
  <c r="M401" i="1"/>
  <c r="G401" i="1"/>
  <c r="M400" i="1"/>
  <c r="L400" i="1"/>
  <c r="G400" i="1"/>
  <c r="R399" i="1"/>
  <c r="M399" i="1"/>
  <c r="L399" i="1"/>
  <c r="G399" i="1"/>
  <c r="M398" i="1"/>
  <c r="L398" i="1"/>
  <c r="G398" i="1"/>
  <c r="R397" i="1"/>
  <c r="M397" i="1"/>
  <c r="L397" i="1"/>
  <c r="G397" i="1"/>
  <c r="I395" i="1"/>
  <c r="O395" i="1" s="1"/>
  <c r="U395" i="1" s="1"/>
  <c r="O394" i="1"/>
  <c r="O402" i="1" s="1"/>
  <c r="I394" i="1"/>
  <c r="S393" i="1"/>
  <c r="S402" i="1" s="1"/>
  <c r="R393" i="1"/>
  <c r="S392" i="1"/>
  <c r="R392" i="1"/>
  <c r="D392" i="1"/>
  <c r="D401" i="1" s="1"/>
  <c r="K401" i="1" s="1"/>
  <c r="Q401" i="1" s="1"/>
  <c r="T391" i="1"/>
  <c r="U391" i="1" s="1"/>
  <c r="S391" i="1"/>
  <c r="S401" i="1" s="1"/>
  <c r="R391" i="1"/>
  <c r="D391" i="1"/>
  <c r="S390" i="1"/>
  <c r="S400" i="1" s="1"/>
  <c r="R390" i="1"/>
  <c r="R400" i="1" s="1"/>
  <c r="S389" i="1"/>
  <c r="R389" i="1"/>
  <c r="R398" i="1" s="1"/>
  <c r="S388" i="1"/>
  <c r="S398" i="1" s="1"/>
  <c r="R388" i="1"/>
  <c r="S387" i="1"/>
  <c r="R387" i="1"/>
  <c r="U386" i="1"/>
  <c r="S386" i="1"/>
  <c r="R386" i="1"/>
  <c r="O386" i="1"/>
  <c r="D386" i="1"/>
  <c r="Q385" i="1"/>
  <c r="K385" i="1"/>
  <c r="K382" i="1"/>
  <c r="Q382" i="1" s="1"/>
  <c r="M381" i="1"/>
  <c r="K381" i="1"/>
  <c r="Q381" i="1" s="1"/>
  <c r="G381" i="1"/>
  <c r="D381" i="1"/>
  <c r="Q380" i="1"/>
  <c r="M380" i="1"/>
  <c r="G380" i="1"/>
  <c r="S379" i="1"/>
  <c r="M379" i="1"/>
  <c r="L379" i="1"/>
  <c r="G379" i="1"/>
  <c r="S378" i="1"/>
  <c r="M378" i="1"/>
  <c r="L378" i="1"/>
  <c r="G378" i="1"/>
  <c r="S377" i="1"/>
  <c r="M377" i="1"/>
  <c r="L377" i="1"/>
  <c r="G377" i="1"/>
  <c r="S376" i="1"/>
  <c r="M376" i="1"/>
  <c r="L376" i="1"/>
  <c r="G376" i="1"/>
  <c r="O374" i="1"/>
  <c r="U374" i="1" s="1"/>
  <c r="O373" i="1"/>
  <c r="I373" i="1"/>
  <c r="I381" i="1" s="1"/>
  <c r="U372" i="1"/>
  <c r="S372" i="1"/>
  <c r="S381" i="1" s="1"/>
  <c r="R372" i="1"/>
  <c r="N372" i="1"/>
  <c r="T372" i="1" s="1"/>
  <c r="H372" i="1"/>
  <c r="S371" i="1"/>
  <c r="R371" i="1"/>
  <c r="H371" i="1"/>
  <c r="N371" i="1" s="1"/>
  <c r="D371" i="1"/>
  <c r="D380" i="1" s="1"/>
  <c r="K380" i="1" s="1"/>
  <c r="S370" i="1"/>
  <c r="S380" i="1" s="1"/>
  <c r="R370" i="1"/>
  <c r="H370" i="1"/>
  <c r="N370" i="1" s="1"/>
  <c r="N391" i="1" s="1"/>
  <c r="D370" i="1"/>
  <c r="D369" i="1" s="1"/>
  <c r="T369" i="1"/>
  <c r="U369" i="1" s="1"/>
  <c r="S369" i="1"/>
  <c r="R369" i="1"/>
  <c r="H369" i="1"/>
  <c r="N369" i="1" s="1"/>
  <c r="N390" i="1" s="1"/>
  <c r="T390" i="1" s="1"/>
  <c r="U390" i="1" s="1"/>
  <c r="S368" i="1"/>
  <c r="R368" i="1"/>
  <c r="R378" i="1" s="1"/>
  <c r="S367" i="1"/>
  <c r="R367" i="1"/>
  <c r="R377" i="1" s="1"/>
  <c r="S366" i="1"/>
  <c r="R366" i="1"/>
  <c r="U365" i="1"/>
  <c r="S365" i="1"/>
  <c r="R365" i="1"/>
  <c r="D365" i="1"/>
  <c r="Q364" i="1"/>
  <c r="S360" i="1"/>
  <c r="M360" i="1"/>
  <c r="L360" i="1"/>
  <c r="K360" i="1"/>
  <c r="Q360" i="1" s="1"/>
  <c r="S359" i="1"/>
  <c r="O359" i="1"/>
  <c r="M359" i="1"/>
  <c r="K359" i="1"/>
  <c r="Q359" i="1" s="1"/>
  <c r="G359" i="1"/>
  <c r="D359" i="1"/>
  <c r="M358" i="1"/>
  <c r="G358" i="1"/>
  <c r="S357" i="1"/>
  <c r="M357" i="1"/>
  <c r="L357" i="1"/>
  <c r="G357" i="1"/>
  <c r="R356" i="1"/>
  <c r="M356" i="1"/>
  <c r="L356" i="1"/>
  <c r="G356" i="1"/>
  <c r="S355" i="1"/>
  <c r="M355" i="1"/>
  <c r="L355" i="1"/>
  <c r="G355" i="1"/>
  <c r="M354" i="1"/>
  <c r="L354" i="1"/>
  <c r="G354" i="1"/>
  <c r="O352" i="1"/>
  <c r="U352" i="1" s="1"/>
  <c r="I352" i="1"/>
  <c r="O351" i="1"/>
  <c r="O360" i="1" s="1"/>
  <c r="I351" i="1"/>
  <c r="T350" i="1"/>
  <c r="U350" i="1" s="1"/>
  <c r="S350" i="1"/>
  <c r="R350" i="1"/>
  <c r="S349" i="1"/>
  <c r="R349" i="1"/>
  <c r="N349" i="1"/>
  <c r="T349" i="1" s="1"/>
  <c r="U349" i="1" s="1"/>
  <c r="D349" i="1"/>
  <c r="D358" i="1" s="1"/>
  <c r="K358" i="1" s="1"/>
  <c r="Q358" i="1" s="1"/>
  <c r="S348" i="1"/>
  <c r="S358" i="1" s="1"/>
  <c r="R348" i="1"/>
  <c r="D348" i="1"/>
  <c r="S347" i="1"/>
  <c r="R347" i="1"/>
  <c r="R357" i="1" s="1"/>
  <c r="S346" i="1"/>
  <c r="S356" i="1" s="1"/>
  <c r="R346" i="1"/>
  <c r="S345" i="1"/>
  <c r="R345" i="1"/>
  <c r="R355" i="1" s="1"/>
  <c r="S344" i="1"/>
  <c r="S354" i="1" s="1"/>
  <c r="R344" i="1"/>
  <c r="R360" i="1" s="1"/>
  <c r="S343" i="1"/>
  <c r="R343" i="1"/>
  <c r="O343" i="1"/>
  <c r="U343" i="1" s="1"/>
  <c r="D343" i="1"/>
  <c r="Q342" i="1"/>
  <c r="K342" i="1"/>
  <c r="O339" i="1"/>
  <c r="K339" i="1"/>
  <c r="Q339" i="1" s="1"/>
  <c r="I339" i="1"/>
  <c r="O338" i="1"/>
  <c r="M338" i="1"/>
  <c r="I338" i="1"/>
  <c r="G338" i="1"/>
  <c r="D338" i="1"/>
  <c r="K338" i="1" s="1"/>
  <c r="Q338" i="1" s="1"/>
  <c r="M337" i="1"/>
  <c r="G337" i="1"/>
  <c r="D337" i="1"/>
  <c r="K337" i="1" s="1"/>
  <c r="Q337" i="1" s="1"/>
  <c r="R336" i="1"/>
  <c r="M336" i="1"/>
  <c r="L336" i="1"/>
  <c r="G336" i="1"/>
  <c r="R335" i="1"/>
  <c r="M335" i="1"/>
  <c r="L335" i="1"/>
  <c r="G335" i="1"/>
  <c r="R334" i="1"/>
  <c r="M334" i="1"/>
  <c r="L334" i="1"/>
  <c r="G334" i="1"/>
  <c r="R333" i="1"/>
  <c r="M333" i="1"/>
  <c r="L333" i="1"/>
  <c r="G333" i="1"/>
  <c r="U331" i="1"/>
  <c r="O331" i="1"/>
  <c r="O330" i="1"/>
  <c r="I330" i="1"/>
  <c r="T329" i="1"/>
  <c r="U329" i="1" s="1"/>
  <c r="S329" i="1"/>
  <c r="R329" i="1"/>
  <c r="H329" i="1"/>
  <c r="N329" i="1" s="1"/>
  <c r="N350" i="1" s="1"/>
  <c r="U328" i="1"/>
  <c r="S328" i="1"/>
  <c r="S338" i="1" s="1"/>
  <c r="R328" i="1"/>
  <c r="D328" i="1"/>
  <c r="H328" i="1" s="1"/>
  <c r="N328" i="1" s="1"/>
  <c r="T328" i="1" s="1"/>
  <c r="S327" i="1"/>
  <c r="R327" i="1"/>
  <c r="S326" i="1"/>
  <c r="R326" i="1"/>
  <c r="S325" i="1"/>
  <c r="S335" i="1" s="1"/>
  <c r="R325" i="1"/>
  <c r="S324" i="1"/>
  <c r="R324" i="1"/>
  <c r="S323" i="1"/>
  <c r="R323" i="1"/>
  <c r="U322" i="1"/>
  <c r="S322" i="1"/>
  <c r="R322" i="1"/>
  <c r="D322" i="1"/>
  <c r="Q321" i="1"/>
  <c r="K317" i="1"/>
  <c r="Q317" i="1" s="1"/>
  <c r="I317" i="1"/>
  <c r="M316" i="1"/>
  <c r="I316" i="1"/>
  <c r="G316" i="1"/>
  <c r="D316" i="1"/>
  <c r="K316" i="1" s="1"/>
  <c r="Q316" i="1" s="1"/>
  <c r="M315" i="1"/>
  <c r="G315" i="1"/>
  <c r="M314" i="1"/>
  <c r="L314" i="1"/>
  <c r="G314" i="1"/>
  <c r="R313" i="1"/>
  <c r="M313" i="1"/>
  <c r="L313" i="1"/>
  <c r="G313" i="1"/>
  <c r="R312" i="1"/>
  <c r="M312" i="1"/>
  <c r="L312" i="1"/>
  <c r="G312" i="1"/>
  <c r="R311" i="1"/>
  <c r="M311" i="1"/>
  <c r="L311" i="1"/>
  <c r="G311" i="1"/>
  <c r="I309" i="1"/>
  <c r="O309" i="1" s="1"/>
  <c r="U309" i="1" s="1"/>
  <c r="O308" i="1"/>
  <c r="O317" i="1" s="1"/>
  <c r="I308" i="1"/>
  <c r="S307" i="1"/>
  <c r="R307" i="1"/>
  <c r="S306" i="1"/>
  <c r="R306" i="1"/>
  <c r="D306" i="1"/>
  <c r="D305" i="1" s="1"/>
  <c r="D314" i="1" s="1"/>
  <c r="K314" i="1" s="1"/>
  <c r="Q314" i="1" s="1"/>
  <c r="S305" i="1"/>
  <c r="R305" i="1"/>
  <c r="R314" i="1" s="1"/>
  <c r="S304" i="1"/>
  <c r="S314" i="1" s="1"/>
  <c r="R304" i="1"/>
  <c r="D304" i="1"/>
  <c r="S303" i="1"/>
  <c r="S313" i="1" s="1"/>
  <c r="R303" i="1"/>
  <c r="S302" i="1"/>
  <c r="S312" i="1" s="1"/>
  <c r="R302" i="1"/>
  <c r="S301" i="1"/>
  <c r="R301" i="1"/>
  <c r="U300" i="1"/>
  <c r="S300" i="1"/>
  <c r="R300" i="1"/>
  <c r="O300" i="1"/>
  <c r="D300" i="1"/>
  <c r="Q299" i="1"/>
  <c r="K299" i="1"/>
  <c r="O296" i="1"/>
  <c r="K296" i="1"/>
  <c r="Q296" i="1" s="1"/>
  <c r="M295" i="1"/>
  <c r="K295" i="1"/>
  <c r="Q295" i="1" s="1"/>
  <c r="G295" i="1"/>
  <c r="D295" i="1"/>
  <c r="M294" i="1"/>
  <c r="G294" i="1"/>
  <c r="M293" i="1"/>
  <c r="L293" i="1"/>
  <c r="G293" i="1"/>
  <c r="M292" i="1"/>
  <c r="L292" i="1"/>
  <c r="G292" i="1"/>
  <c r="M291" i="1"/>
  <c r="L291" i="1"/>
  <c r="G291" i="1"/>
  <c r="M290" i="1"/>
  <c r="L290" i="1"/>
  <c r="G290" i="1"/>
  <c r="O288" i="1"/>
  <c r="U288" i="1" s="1"/>
  <c r="O287" i="1"/>
  <c r="O295" i="1" s="1"/>
  <c r="I287" i="1"/>
  <c r="S286" i="1"/>
  <c r="R286" i="1"/>
  <c r="H286" i="1"/>
  <c r="N286" i="1" s="1"/>
  <c r="S285" i="1"/>
  <c r="R285" i="1"/>
  <c r="D285" i="1"/>
  <c r="S284" i="1"/>
  <c r="R284" i="1"/>
  <c r="S283" i="1"/>
  <c r="S292" i="1" s="1"/>
  <c r="R283" i="1"/>
  <c r="R293" i="1" s="1"/>
  <c r="S282" i="1"/>
  <c r="R282" i="1"/>
  <c r="S281" i="1"/>
  <c r="S290" i="1" s="1"/>
  <c r="R281" i="1"/>
  <c r="S280" i="1"/>
  <c r="R280" i="1"/>
  <c r="U279" i="1"/>
  <c r="S279" i="1"/>
  <c r="R279" i="1"/>
  <c r="D279" i="1"/>
  <c r="Q278" i="1"/>
  <c r="B276" i="1"/>
  <c r="B319" i="1" s="1"/>
  <c r="B362" i="1" s="1"/>
  <c r="B405" i="1" s="1"/>
  <c r="B448" i="1" s="1"/>
  <c r="B495" i="1" s="1"/>
  <c r="B540" i="1" s="1"/>
  <c r="B584" i="1" s="1"/>
  <c r="Q274" i="1"/>
  <c r="K274" i="1"/>
  <c r="I274" i="1"/>
  <c r="S273" i="1"/>
  <c r="M273" i="1"/>
  <c r="G273" i="1"/>
  <c r="D273" i="1"/>
  <c r="K273" i="1" s="1"/>
  <c r="Q273" i="1" s="1"/>
  <c r="M272" i="1"/>
  <c r="G272" i="1"/>
  <c r="M271" i="1"/>
  <c r="L271" i="1"/>
  <c r="G271" i="1"/>
  <c r="M270" i="1"/>
  <c r="L270" i="1"/>
  <c r="G270" i="1"/>
  <c r="M269" i="1"/>
  <c r="L269" i="1"/>
  <c r="G269" i="1"/>
  <c r="M268" i="1"/>
  <c r="L268" i="1"/>
  <c r="G268" i="1"/>
  <c r="U266" i="1"/>
  <c r="O266" i="1"/>
  <c r="I266" i="1"/>
  <c r="O265" i="1"/>
  <c r="I265" i="1"/>
  <c r="I273" i="1" s="1"/>
  <c r="T264" i="1"/>
  <c r="U264" i="1" s="1"/>
  <c r="S264" i="1"/>
  <c r="R264" i="1"/>
  <c r="N264" i="1"/>
  <c r="S263" i="1"/>
  <c r="R263" i="1"/>
  <c r="D263" i="1"/>
  <c r="D272" i="1" s="1"/>
  <c r="K272" i="1" s="1"/>
  <c r="Q272" i="1" s="1"/>
  <c r="S262" i="1"/>
  <c r="S271" i="1" s="1"/>
  <c r="R262" i="1"/>
  <c r="D262" i="1"/>
  <c r="S261" i="1"/>
  <c r="R261" i="1"/>
  <c r="R271" i="1" s="1"/>
  <c r="S260" i="1"/>
  <c r="R260" i="1"/>
  <c r="S259" i="1"/>
  <c r="R259" i="1"/>
  <c r="R269" i="1" s="1"/>
  <c r="S258" i="1"/>
  <c r="R258" i="1"/>
  <c r="S257" i="1"/>
  <c r="R257" i="1"/>
  <c r="O257" i="1"/>
  <c r="U257" i="1" s="1"/>
  <c r="D257" i="1"/>
  <c r="Q256" i="1"/>
  <c r="K256" i="1"/>
  <c r="O253" i="1"/>
  <c r="K253" i="1"/>
  <c r="Q253" i="1" s="1"/>
  <c r="O252" i="1"/>
  <c r="M252" i="1"/>
  <c r="I252" i="1"/>
  <c r="G252" i="1"/>
  <c r="D252" i="1"/>
  <c r="K252" i="1" s="1"/>
  <c r="Q252" i="1" s="1"/>
  <c r="M251" i="1"/>
  <c r="G251" i="1"/>
  <c r="D251" i="1"/>
  <c r="K251" i="1" s="1"/>
  <c r="Q251" i="1" s="1"/>
  <c r="R250" i="1"/>
  <c r="M250" i="1"/>
  <c r="L250" i="1"/>
  <c r="K250" i="1"/>
  <c r="Q250" i="1" s="1"/>
  <c r="G250" i="1"/>
  <c r="D250" i="1"/>
  <c r="R249" i="1"/>
  <c r="M249" i="1"/>
  <c r="L249" i="1"/>
  <c r="G249" i="1"/>
  <c r="R248" i="1"/>
  <c r="M248" i="1"/>
  <c r="L248" i="1"/>
  <c r="G248" i="1"/>
  <c r="R247" i="1"/>
  <c r="M247" i="1"/>
  <c r="L247" i="1"/>
  <c r="G247" i="1"/>
  <c r="U245" i="1"/>
  <c r="O245" i="1"/>
  <c r="O244" i="1"/>
  <c r="I244" i="1"/>
  <c r="I253" i="1" s="1"/>
  <c r="S243" i="1"/>
  <c r="R243" i="1"/>
  <c r="N243" i="1"/>
  <c r="T243" i="1" s="1"/>
  <c r="U243" i="1" s="1"/>
  <c r="H243" i="1"/>
  <c r="S242" i="1"/>
  <c r="S252" i="1" s="1"/>
  <c r="R242" i="1"/>
  <c r="H242" i="1"/>
  <c r="N242" i="1" s="1"/>
  <c r="T242" i="1" s="1"/>
  <c r="U242" i="1" s="1"/>
  <c r="D242" i="1"/>
  <c r="S241" i="1"/>
  <c r="R241" i="1"/>
  <c r="D241" i="1"/>
  <c r="H241" i="1" s="1"/>
  <c r="N241" i="1" s="1"/>
  <c r="S240" i="1"/>
  <c r="S250" i="1" s="1"/>
  <c r="R240" i="1"/>
  <c r="S239" i="1"/>
  <c r="R239" i="1"/>
  <c r="S238" i="1"/>
  <c r="S248" i="1" s="1"/>
  <c r="R238" i="1"/>
  <c r="S237" i="1"/>
  <c r="R237" i="1"/>
  <c r="U236" i="1"/>
  <c r="S236" i="1"/>
  <c r="R236" i="1"/>
  <c r="D236" i="1"/>
  <c r="Q235" i="1"/>
  <c r="Q231" i="1"/>
  <c r="M231" i="1"/>
  <c r="L231" i="1"/>
  <c r="K231" i="1"/>
  <c r="S230" i="1"/>
  <c r="O230" i="1"/>
  <c r="M230" i="1"/>
  <c r="K230" i="1"/>
  <c r="Q230" i="1" s="1"/>
  <c r="G230" i="1"/>
  <c r="D230" i="1"/>
  <c r="S229" i="1"/>
  <c r="M229" i="1"/>
  <c r="G229" i="1"/>
  <c r="S228" i="1"/>
  <c r="M228" i="1"/>
  <c r="L228" i="1"/>
  <c r="G228" i="1"/>
  <c r="R227" i="1"/>
  <c r="M227" i="1"/>
  <c r="L227" i="1"/>
  <c r="G227" i="1"/>
  <c r="S226" i="1"/>
  <c r="M226" i="1"/>
  <c r="L226" i="1"/>
  <c r="G226" i="1"/>
  <c r="M225" i="1"/>
  <c r="L225" i="1"/>
  <c r="G225" i="1"/>
  <c r="O223" i="1"/>
  <c r="U223" i="1" s="1"/>
  <c r="I223" i="1"/>
  <c r="O222" i="1"/>
  <c r="O231" i="1" s="1"/>
  <c r="I222" i="1"/>
  <c r="S221" i="1"/>
  <c r="R221" i="1"/>
  <c r="N221" i="1"/>
  <c r="T221" i="1" s="1"/>
  <c r="U221" i="1" s="1"/>
  <c r="S220" i="1"/>
  <c r="R220" i="1"/>
  <c r="N220" i="1"/>
  <c r="T220" i="1" s="1"/>
  <c r="U220" i="1" s="1"/>
  <c r="D220" i="1"/>
  <c r="D229" i="1" s="1"/>
  <c r="K229" i="1" s="1"/>
  <c r="Q229" i="1" s="1"/>
  <c r="S219" i="1"/>
  <c r="R219" i="1"/>
  <c r="D219" i="1"/>
  <c r="S218" i="1"/>
  <c r="R218" i="1"/>
  <c r="R228" i="1" s="1"/>
  <c r="S217" i="1"/>
  <c r="S227" i="1" s="1"/>
  <c r="R217" i="1"/>
  <c r="S216" i="1"/>
  <c r="R216" i="1"/>
  <c r="R226" i="1" s="1"/>
  <c r="S215" i="1"/>
  <c r="S225" i="1" s="1"/>
  <c r="R215" i="1"/>
  <c r="R231" i="1" s="1"/>
  <c r="S214" i="1"/>
  <c r="R214" i="1"/>
  <c r="O214" i="1"/>
  <c r="U214" i="1" s="1"/>
  <c r="D214" i="1"/>
  <c r="Q213" i="1"/>
  <c r="K213" i="1"/>
  <c r="O210" i="1"/>
  <c r="K210" i="1"/>
  <c r="Q210" i="1" s="1"/>
  <c r="I210" i="1"/>
  <c r="O209" i="1"/>
  <c r="M209" i="1"/>
  <c r="I209" i="1"/>
  <c r="G209" i="1"/>
  <c r="D209" i="1"/>
  <c r="K209" i="1" s="1"/>
  <c r="Q209" i="1" s="1"/>
  <c r="M208" i="1"/>
  <c r="G208" i="1"/>
  <c r="D208" i="1"/>
  <c r="K208" i="1" s="1"/>
  <c r="Q208" i="1" s="1"/>
  <c r="R207" i="1"/>
  <c r="M207" i="1"/>
  <c r="L207" i="1"/>
  <c r="G207" i="1"/>
  <c r="R206" i="1"/>
  <c r="M206" i="1"/>
  <c r="L206" i="1"/>
  <c r="G206" i="1"/>
  <c r="R205" i="1"/>
  <c r="M205" i="1"/>
  <c r="L205" i="1"/>
  <c r="G205" i="1"/>
  <c r="R204" i="1"/>
  <c r="M204" i="1"/>
  <c r="L204" i="1"/>
  <c r="G204" i="1"/>
  <c r="U202" i="1"/>
  <c r="O202" i="1"/>
  <c r="O201" i="1"/>
  <c r="I201" i="1"/>
  <c r="T200" i="1"/>
  <c r="U200" i="1" s="1"/>
  <c r="S200" i="1"/>
  <c r="R200" i="1"/>
  <c r="H200" i="1"/>
  <c r="N200" i="1" s="1"/>
  <c r="U199" i="1"/>
  <c r="S199" i="1"/>
  <c r="S209" i="1" s="1"/>
  <c r="R199" i="1"/>
  <c r="D199" i="1"/>
  <c r="H199" i="1" s="1"/>
  <c r="N199" i="1" s="1"/>
  <c r="T199" i="1" s="1"/>
  <c r="S198" i="1"/>
  <c r="S208" i="1" s="1"/>
  <c r="R198" i="1"/>
  <c r="S197" i="1"/>
  <c r="R197" i="1"/>
  <c r="S196" i="1"/>
  <c r="S206" i="1" s="1"/>
  <c r="R196" i="1"/>
  <c r="S195" i="1"/>
  <c r="R195" i="1"/>
  <c r="S194" i="1"/>
  <c r="R194" i="1"/>
  <c r="U193" i="1"/>
  <c r="S193" i="1"/>
  <c r="R193" i="1"/>
  <c r="D193" i="1"/>
  <c r="Q192" i="1"/>
  <c r="Q188" i="1"/>
  <c r="M188" i="1"/>
  <c r="L188" i="1"/>
  <c r="K188" i="1"/>
  <c r="M187" i="1"/>
  <c r="K187" i="1"/>
  <c r="Q187" i="1" s="1"/>
  <c r="G187" i="1"/>
  <c r="D187" i="1"/>
  <c r="Q186" i="1"/>
  <c r="M186" i="1"/>
  <c r="G186" i="1"/>
  <c r="M185" i="1"/>
  <c r="L185" i="1"/>
  <c r="G185" i="1"/>
  <c r="M184" i="1"/>
  <c r="L184" i="1"/>
  <c r="G184" i="1"/>
  <c r="M183" i="1"/>
  <c r="L183" i="1"/>
  <c r="G183" i="1"/>
  <c r="M182" i="1"/>
  <c r="L182" i="1"/>
  <c r="G182" i="1"/>
  <c r="O180" i="1"/>
  <c r="U180" i="1" s="1"/>
  <c r="I180" i="1"/>
  <c r="O179" i="1"/>
  <c r="O188" i="1" s="1"/>
  <c r="I179" i="1"/>
  <c r="S178" i="1"/>
  <c r="R178" i="1"/>
  <c r="N178" i="1"/>
  <c r="T178" i="1" s="1"/>
  <c r="U178" i="1" s="1"/>
  <c r="H178" i="1"/>
  <c r="S177" i="1"/>
  <c r="S187" i="1" s="1"/>
  <c r="R177" i="1"/>
  <c r="D177" i="1"/>
  <c r="D186" i="1" s="1"/>
  <c r="K186" i="1" s="1"/>
  <c r="S176" i="1"/>
  <c r="S186" i="1" s="1"/>
  <c r="R176" i="1"/>
  <c r="S175" i="1"/>
  <c r="S185" i="1" s="1"/>
  <c r="R175" i="1"/>
  <c r="R185" i="1" s="1"/>
  <c r="S174" i="1"/>
  <c r="S184" i="1" s="1"/>
  <c r="R174" i="1"/>
  <c r="R184" i="1" s="1"/>
  <c r="S173" i="1"/>
  <c r="S183" i="1" s="1"/>
  <c r="R173" i="1"/>
  <c r="R183" i="1" s="1"/>
  <c r="S172" i="1"/>
  <c r="R172" i="1"/>
  <c r="R188" i="1" s="1"/>
  <c r="U171" i="1"/>
  <c r="S171" i="1"/>
  <c r="R171" i="1"/>
  <c r="O171" i="1"/>
  <c r="D171" i="1"/>
  <c r="Q170" i="1"/>
  <c r="K170" i="1"/>
  <c r="Q167" i="1"/>
  <c r="K167" i="1"/>
  <c r="S166" i="1"/>
  <c r="Q166" i="1"/>
  <c r="M166" i="1"/>
  <c r="K166" i="1"/>
  <c r="I166" i="1"/>
  <c r="G166" i="1"/>
  <c r="D166" i="1"/>
  <c r="S165" i="1"/>
  <c r="Q165" i="1"/>
  <c r="M165" i="1"/>
  <c r="G165" i="1"/>
  <c r="S164" i="1"/>
  <c r="M164" i="1"/>
  <c r="L164" i="1"/>
  <c r="G164" i="1"/>
  <c r="S163" i="1"/>
  <c r="M163" i="1"/>
  <c r="L163" i="1"/>
  <c r="G163" i="1"/>
  <c r="S162" i="1"/>
  <c r="M162" i="1"/>
  <c r="L162" i="1"/>
  <c r="G162" i="1"/>
  <c r="S161" i="1"/>
  <c r="M161" i="1"/>
  <c r="L161" i="1"/>
  <c r="G161" i="1"/>
  <c r="O159" i="1"/>
  <c r="U159" i="1" s="1"/>
  <c r="O158" i="1"/>
  <c r="I158" i="1"/>
  <c r="I167" i="1" s="1"/>
  <c r="S157" i="1"/>
  <c r="R157" i="1"/>
  <c r="N157" i="1"/>
  <c r="T157" i="1" s="1"/>
  <c r="U157" i="1" s="1"/>
  <c r="H157" i="1"/>
  <c r="S156" i="1"/>
  <c r="R156" i="1"/>
  <c r="H156" i="1"/>
  <c r="N156" i="1" s="1"/>
  <c r="D156" i="1"/>
  <c r="D165" i="1" s="1"/>
  <c r="K165" i="1" s="1"/>
  <c r="S155" i="1"/>
  <c r="R155" i="1"/>
  <c r="D155" i="1"/>
  <c r="S154" i="1"/>
  <c r="R154" i="1"/>
  <c r="S153" i="1"/>
  <c r="R153" i="1"/>
  <c r="R163" i="1" s="1"/>
  <c r="S152" i="1"/>
  <c r="R152" i="1"/>
  <c r="S151" i="1"/>
  <c r="R151" i="1"/>
  <c r="U150" i="1"/>
  <c r="S150" i="1"/>
  <c r="R150" i="1"/>
  <c r="D150" i="1"/>
  <c r="Q149" i="1"/>
  <c r="R145" i="1"/>
  <c r="O145" i="1"/>
  <c r="M145" i="1"/>
  <c r="L145" i="1"/>
  <c r="K145" i="1"/>
  <c r="Q145" i="1" s="1"/>
  <c r="I145" i="1"/>
  <c r="S144" i="1"/>
  <c r="O144" i="1"/>
  <c r="M144" i="1"/>
  <c r="I144" i="1"/>
  <c r="G144" i="1"/>
  <c r="D144" i="1"/>
  <c r="K144" i="1" s="1"/>
  <c r="Q144" i="1" s="1"/>
  <c r="M143" i="1"/>
  <c r="G143" i="1"/>
  <c r="R142" i="1"/>
  <c r="M142" i="1"/>
  <c r="L142" i="1"/>
  <c r="G142" i="1"/>
  <c r="R141" i="1"/>
  <c r="M141" i="1"/>
  <c r="L141" i="1"/>
  <c r="G141" i="1"/>
  <c r="R140" i="1"/>
  <c r="M140" i="1"/>
  <c r="L140" i="1"/>
  <c r="G140" i="1"/>
  <c r="M139" i="1"/>
  <c r="L139" i="1"/>
  <c r="G139" i="1"/>
  <c r="I137" i="1"/>
  <c r="O137" i="1" s="1"/>
  <c r="U137" i="1" s="1"/>
  <c r="O136" i="1"/>
  <c r="I136" i="1"/>
  <c r="S135" i="1"/>
  <c r="R135" i="1"/>
  <c r="H135" i="1"/>
  <c r="S134" i="1"/>
  <c r="R134" i="1"/>
  <c r="D134" i="1"/>
  <c r="D133" i="1" s="1"/>
  <c r="D132" i="1" s="1"/>
  <c r="S133" i="1"/>
  <c r="S143" i="1" s="1"/>
  <c r="R133" i="1"/>
  <c r="S132" i="1"/>
  <c r="S142" i="1" s="1"/>
  <c r="R132" i="1"/>
  <c r="N132" i="1"/>
  <c r="T132" i="1" s="1"/>
  <c r="U132" i="1" s="1"/>
  <c r="S131" i="1"/>
  <c r="S141" i="1" s="1"/>
  <c r="R131" i="1"/>
  <c r="T130" i="1"/>
  <c r="U130" i="1" s="1"/>
  <c r="S130" i="1"/>
  <c r="S140" i="1" s="1"/>
  <c r="R130" i="1"/>
  <c r="N130" i="1"/>
  <c r="S129" i="1"/>
  <c r="S145" i="1" s="1"/>
  <c r="R129" i="1"/>
  <c r="R139" i="1" s="1"/>
  <c r="S128" i="1"/>
  <c r="R128" i="1"/>
  <c r="O128" i="1"/>
  <c r="U128" i="1" s="1"/>
  <c r="D128" i="1"/>
  <c r="Q127" i="1"/>
  <c r="K127" i="1"/>
  <c r="K124" i="1"/>
  <c r="Q124" i="1" s="1"/>
  <c r="O123" i="1"/>
  <c r="M123" i="1"/>
  <c r="G123" i="1"/>
  <c r="D123" i="1"/>
  <c r="K123" i="1" s="1"/>
  <c r="Q123" i="1" s="1"/>
  <c r="M122" i="1"/>
  <c r="G122" i="1"/>
  <c r="D122" i="1"/>
  <c r="K122" i="1" s="1"/>
  <c r="Q122" i="1" s="1"/>
  <c r="M121" i="1"/>
  <c r="L121" i="1"/>
  <c r="G121" i="1"/>
  <c r="M120" i="1"/>
  <c r="L120" i="1"/>
  <c r="G120" i="1"/>
  <c r="M119" i="1"/>
  <c r="L119" i="1"/>
  <c r="G119" i="1"/>
  <c r="M118" i="1"/>
  <c r="L118" i="1"/>
  <c r="G118" i="1"/>
  <c r="U116" i="1"/>
  <c r="O116" i="1"/>
  <c r="O115" i="1"/>
  <c r="O124" i="1" s="1"/>
  <c r="I115" i="1"/>
  <c r="I123" i="1" s="1"/>
  <c r="S114" i="1"/>
  <c r="R114" i="1"/>
  <c r="N114" i="1"/>
  <c r="N135" i="1" s="1"/>
  <c r="T135" i="1" s="1"/>
  <c r="U135" i="1" s="1"/>
  <c r="H114" i="1"/>
  <c r="S113" i="1"/>
  <c r="S123" i="1" s="1"/>
  <c r="R113" i="1"/>
  <c r="D113" i="1"/>
  <c r="S112" i="1"/>
  <c r="R112" i="1"/>
  <c r="R121" i="1" s="1"/>
  <c r="T111" i="1"/>
  <c r="U111" i="1" s="1"/>
  <c r="S111" i="1"/>
  <c r="R111" i="1"/>
  <c r="N111" i="1"/>
  <c r="K111" i="1"/>
  <c r="S110" i="1"/>
  <c r="S120" i="1" s="1"/>
  <c r="R110" i="1"/>
  <c r="R120" i="1" s="1"/>
  <c r="U109" i="1"/>
  <c r="S109" i="1"/>
  <c r="S119" i="1" s="1"/>
  <c r="R109" i="1"/>
  <c r="R119" i="1" s="1"/>
  <c r="F109" i="1"/>
  <c r="S108" i="1"/>
  <c r="R108" i="1"/>
  <c r="U107" i="1"/>
  <c r="S107" i="1"/>
  <c r="R107" i="1"/>
  <c r="D107" i="1"/>
  <c r="Q106" i="1"/>
  <c r="O102" i="1"/>
  <c r="M102" i="1"/>
  <c r="L102" i="1"/>
  <c r="K102" i="1"/>
  <c r="Q102" i="1" s="1"/>
  <c r="G102" i="1"/>
  <c r="M101" i="1"/>
  <c r="K101" i="1"/>
  <c r="Q101" i="1" s="1"/>
  <c r="G101" i="1"/>
  <c r="D101" i="1"/>
  <c r="S100" i="1"/>
  <c r="M100" i="1"/>
  <c r="G100" i="1"/>
  <c r="D100" i="1"/>
  <c r="K100" i="1" s="1"/>
  <c r="Q100" i="1" s="1"/>
  <c r="S99" i="1"/>
  <c r="M99" i="1"/>
  <c r="L99" i="1"/>
  <c r="G99" i="1"/>
  <c r="D99" i="1"/>
  <c r="K99" i="1" s="1"/>
  <c r="Q99" i="1" s="1"/>
  <c r="M98" i="1"/>
  <c r="L98" i="1"/>
  <c r="G98" i="1"/>
  <c r="D98" i="1"/>
  <c r="K98" i="1" s="1"/>
  <c r="Q98" i="1" s="1"/>
  <c r="S97" i="1"/>
  <c r="M97" i="1"/>
  <c r="L97" i="1"/>
  <c r="G97" i="1"/>
  <c r="D97" i="1"/>
  <c r="K97" i="1" s="1"/>
  <c r="Q97" i="1" s="1"/>
  <c r="M96" i="1"/>
  <c r="L96" i="1"/>
  <c r="G96" i="1"/>
  <c r="D96" i="1"/>
  <c r="K96" i="1" s="1"/>
  <c r="Q96" i="1" s="1"/>
  <c r="Q95" i="1"/>
  <c r="D95" i="1"/>
  <c r="K95" i="1" s="1"/>
  <c r="O94" i="1"/>
  <c r="U94" i="1" s="1"/>
  <c r="I94" i="1"/>
  <c r="O93" i="1"/>
  <c r="O101" i="1" s="1"/>
  <c r="I93" i="1"/>
  <c r="I101" i="1" s="1"/>
  <c r="S92" i="1"/>
  <c r="R92" i="1"/>
  <c r="N92" i="1"/>
  <c r="T92" i="1" s="1"/>
  <c r="U92" i="1" s="1"/>
  <c r="H92" i="1"/>
  <c r="S91" i="1"/>
  <c r="S101" i="1" s="1"/>
  <c r="R91" i="1"/>
  <c r="N91" i="1"/>
  <c r="T91" i="1" s="1"/>
  <c r="U91" i="1" s="1"/>
  <c r="H91" i="1"/>
  <c r="S90" i="1"/>
  <c r="R90" i="1"/>
  <c r="N90" i="1"/>
  <c r="T90" i="1" s="1"/>
  <c r="U90" i="1" s="1"/>
  <c r="H90" i="1"/>
  <c r="U89" i="1"/>
  <c r="S89" i="1"/>
  <c r="R89" i="1"/>
  <c r="R99" i="1" s="1"/>
  <c r="F89" i="1"/>
  <c r="S88" i="1"/>
  <c r="S98" i="1" s="1"/>
  <c r="R88" i="1"/>
  <c r="R98" i="1" s="1"/>
  <c r="N88" i="1"/>
  <c r="T88" i="1" s="1"/>
  <c r="U88" i="1" s="1"/>
  <c r="H88" i="1"/>
  <c r="T87" i="1"/>
  <c r="U87" i="1" s="1"/>
  <c r="S87" i="1"/>
  <c r="R87" i="1"/>
  <c r="R97" i="1" s="1"/>
  <c r="N87" i="1"/>
  <c r="S86" i="1"/>
  <c r="R86" i="1"/>
  <c r="H86" i="1"/>
  <c r="U85" i="1"/>
  <c r="S85" i="1"/>
  <c r="R85" i="1"/>
  <c r="O85" i="1"/>
  <c r="D85" i="1"/>
  <c r="Q84" i="1"/>
  <c r="K84" i="1"/>
  <c r="M81" i="1"/>
  <c r="L81" i="1"/>
  <c r="K81" i="1"/>
  <c r="Q81" i="1" s="1"/>
  <c r="G81" i="1"/>
  <c r="O80" i="1"/>
  <c r="M80" i="1"/>
  <c r="K80" i="1"/>
  <c r="Q80" i="1" s="1"/>
  <c r="G80" i="1"/>
  <c r="D80" i="1"/>
  <c r="Q79" i="1"/>
  <c r="M79" i="1"/>
  <c r="K79" i="1"/>
  <c r="G79" i="1"/>
  <c r="D79" i="1"/>
  <c r="S78" i="1"/>
  <c r="Q78" i="1"/>
  <c r="M78" i="1"/>
  <c r="L78" i="1"/>
  <c r="K78" i="1"/>
  <c r="G78" i="1"/>
  <c r="D78" i="1"/>
  <c r="S77" i="1"/>
  <c r="Q77" i="1"/>
  <c r="M77" i="1"/>
  <c r="L77" i="1"/>
  <c r="K77" i="1"/>
  <c r="G77" i="1"/>
  <c r="D77" i="1"/>
  <c r="S76" i="1"/>
  <c r="Q76" i="1"/>
  <c r="M76" i="1"/>
  <c r="L76" i="1"/>
  <c r="K76" i="1"/>
  <c r="G76" i="1"/>
  <c r="D76" i="1"/>
  <c r="Q75" i="1"/>
  <c r="M75" i="1"/>
  <c r="L75" i="1"/>
  <c r="K75" i="1"/>
  <c r="G75" i="1"/>
  <c r="D75" i="1"/>
  <c r="D74" i="1"/>
  <c r="K74" i="1" s="1"/>
  <c r="Q74" i="1" s="1"/>
  <c r="O73" i="1"/>
  <c r="U73" i="1" s="1"/>
  <c r="O72" i="1"/>
  <c r="O81" i="1" s="1"/>
  <c r="I72" i="1"/>
  <c r="I81" i="1" s="1"/>
  <c r="T71" i="1"/>
  <c r="U71" i="1" s="1"/>
  <c r="S71" i="1"/>
  <c r="R71" i="1"/>
  <c r="K71" i="1"/>
  <c r="L80" i="1" s="1"/>
  <c r="F71" i="1"/>
  <c r="U70" i="1"/>
  <c r="T70" i="1"/>
  <c r="S70" i="1"/>
  <c r="S80" i="1" s="1"/>
  <c r="R70" i="1"/>
  <c r="F70" i="1"/>
  <c r="F91" i="1" s="1"/>
  <c r="T69" i="1"/>
  <c r="U69" i="1" s="1"/>
  <c r="S69" i="1"/>
  <c r="R69" i="1"/>
  <c r="R81" i="1" s="1"/>
  <c r="K69" i="1"/>
  <c r="K90" i="1" s="1"/>
  <c r="Q90" i="1" s="1"/>
  <c r="F69" i="1"/>
  <c r="F90" i="1" s="1"/>
  <c r="S68" i="1"/>
  <c r="R68" i="1"/>
  <c r="R78" i="1" s="1"/>
  <c r="Q68" i="1"/>
  <c r="N68" i="1"/>
  <c r="N89" i="1" s="1"/>
  <c r="T89" i="1" s="1"/>
  <c r="K68" i="1"/>
  <c r="K89" i="1" s="1"/>
  <c r="Q89" i="1" s="1"/>
  <c r="F68" i="1"/>
  <c r="F111" i="1" s="1"/>
  <c r="U67" i="1"/>
  <c r="T67" i="1"/>
  <c r="S67" i="1"/>
  <c r="R67" i="1"/>
  <c r="R77" i="1" s="1"/>
  <c r="F67" i="1"/>
  <c r="F110" i="1" s="1"/>
  <c r="T66" i="1"/>
  <c r="U66" i="1" s="1"/>
  <c r="S66" i="1"/>
  <c r="R66" i="1"/>
  <c r="R76" i="1" s="1"/>
  <c r="K66" i="1"/>
  <c r="Q66" i="1" s="1"/>
  <c r="F66" i="1"/>
  <c r="F87" i="1" s="1"/>
  <c r="S65" i="1"/>
  <c r="S81" i="1" s="1"/>
  <c r="R65" i="1"/>
  <c r="R75" i="1" s="1"/>
  <c r="N65" i="1"/>
  <c r="N86" i="1" s="1"/>
  <c r="T86" i="1" s="1"/>
  <c r="U86" i="1" s="1"/>
  <c r="K65" i="1"/>
  <c r="K86" i="1" s="1"/>
  <c r="Q86" i="1" s="1"/>
  <c r="H65" i="1"/>
  <c r="F65" i="1"/>
  <c r="F86" i="1" s="1"/>
  <c r="U64" i="1"/>
  <c r="S64" i="1"/>
  <c r="R64" i="1"/>
  <c r="D64" i="1"/>
  <c r="Q63" i="1"/>
  <c r="O57" i="1"/>
  <c r="M57" i="1"/>
  <c r="L57" i="1"/>
  <c r="K57" i="1"/>
  <c r="O56" i="1"/>
  <c r="M56" i="1"/>
  <c r="L56" i="1"/>
  <c r="D56" i="1"/>
  <c r="K56" i="1" s="1"/>
  <c r="M55" i="1"/>
  <c r="L55" i="1"/>
  <c r="D55" i="1"/>
  <c r="K55" i="1" s="1"/>
  <c r="M54" i="1"/>
  <c r="L54" i="1"/>
  <c r="D54" i="1"/>
  <c r="K54" i="1" s="1"/>
  <c r="M53" i="1"/>
  <c r="L53" i="1"/>
  <c r="D53" i="1"/>
  <c r="K53" i="1" s="1"/>
  <c r="M52" i="1"/>
  <c r="L52" i="1"/>
  <c r="D52" i="1"/>
  <c r="K52" i="1" s="1"/>
  <c r="M51" i="1"/>
  <c r="L51" i="1"/>
  <c r="D51" i="1"/>
  <c r="K51" i="1" s="1"/>
  <c r="D50" i="1"/>
  <c r="K50" i="1" s="1"/>
  <c r="O48" i="1"/>
  <c r="N47" i="1"/>
  <c r="N46" i="1"/>
  <c r="N42" i="1"/>
  <c r="N41" i="1"/>
  <c r="D40" i="1"/>
  <c r="U93" i="1" l="1"/>
  <c r="F153" i="1"/>
  <c r="K110" i="1"/>
  <c r="F131" i="1"/>
  <c r="D141" i="1"/>
  <c r="K141" i="1" s="1"/>
  <c r="Q141" i="1" s="1"/>
  <c r="D131" i="1"/>
  <c r="N177" i="1"/>
  <c r="T177" i="1" s="1"/>
  <c r="U177" i="1" s="1"/>
  <c r="T156" i="1"/>
  <c r="U156" i="1" s="1"/>
  <c r="S75" i="1"/>
  <c r="S79" i="1"/>
  <c r="Q65" i="1"/>
  <c r="S102" i="1"/>
  <c r="S96" i="1"/>
  <c r="I102" i="1"/>
  <c r="F108" i="1"/>
  <c r="H134" i="1"/>
  <c r="D164" i="1"/>
  <c r="K164" i="1" s="1"/>
  <c r="Q164" i="1" s="1"/>
  <c r="D154" i="1"/>
  <c r="S188" i="1"/>
  <c r="S182" i="1"/>
  <c r="S272" i="1"/>
  <c r="N435" i="1"/>
  <c r="T435" i="1" s="1"/>
  <c r="U435" i="1" s="1"/>
  <c r="T414" i="1"/>
  <c r="U414" i="1" s="1"/>
  <c r="N436" i="1"/>
  <c r="T436" i="1" s="1"/>
  <c r="U436" i="1" s="1"/>
  <c r="T415" i="1"/>
  <c r="U415" i="1" s="1"/>
  <c r="S463" i="1"/>
  <c r="K67" i="1"/>
  <c r="T68" i="1"/>
  <c r="U68" i="1" s="1"/>
  <c r="Q69" i="1"/>
  <c r="F114" i="1"/>
  <c r="F92" i="1"/>
  <c r="I80" i="1"/>
  <c r="K92" i="1"/>
  <c r="S121" i="1"/>
  <c r="T114" i="1"/>
  <c r="U114" i="1" s="1"/>
  <c r="I124" i="1"/>
  <c r="D142" i="1"/>
  <c r="K142" i="1" s="1"/>
  <c r="Q142" i="1" s="1"/>
  <c r="R164" i="1"/>
  <c r="H155" i="1"/>
  <c r="N155" i="1" s="1"/>
  <c r="S251" i="1"/>
  <c r="N263" i="1"/>
  <c r="T263" i="1" s="1"/>
  <c r="U263" i="1" s="1"/>
  <c r="R290" i="1"/>
  <c r="H285" i="1"/>
  <c r="N285" i="1" s="1"/>
  <c r="D284" i="1"/>
  <c r="I295" i="1"/>
  <c r="I296" i="1"/>
  <c r="D294" i="1"/>
  <c r="K294" i="1" s="1"/>
  <c r="Q294" i="1" s="1"/>
  <c r="O445" i="1"/>
  <c r="O446" i="1"/>
  <c r="K87" i="1"/>
  <c r="Q87" i="1" s="1"/>
  <c r="K132" i="1"/>
  <c r="Q132" i="1" s="1"/>
  <c r="Q111" i="1"/>
  <c r="F113" i="1"/>
  <c r="R161" i="1"/>
  <c r="N307" i="1"/>
  <c r="T307" i="1" s="1"/>
  <c r="U307" i="1" s="1"/>
  <c r="T286" i="1"/>
  <c r="U286" i="1" s="1"/>
  <c r="D357" i="1"/>
  <c r="K357" i="1" s="1"/>
  <c r="Q357" i="1" s="1"/>
  <c r="D347" i="1"/>
  <c r="I488" i="1"/>
  <c r="I489" i="1"/>
  <c r="T65" i="1"/>
  <c r="U65" i="1" s="1"/>
  <c r="U72" i="1" s="1"/>
  <c r="F154" i="1"/>
  <c r="F132" i="1"/>
  <c r="K70" i="1"/>
  <c r="Q71" i="1"/>
  <c r="R80" i="1" s="1"/>
  <c r="R102" i="1"/>
  <c r="R96" i="1"/>
  <c r="F88" i="1"/>
  <c r="R118" i="1"/>
  <c r="F152" i="1"/>
  <c r="F130" i="1"/>
  <c r="K109" i="1"/>
  <c r="F112" i="1"/>
  <c r="S122" i="1"/>
  <c r="D143" i="1"/>
  <c r="K143" i="1" s="1"/>
  <c r="Q143" i="1" s="1"/>
  <c r="R162" i="1"/>
  <c r="O166" i="1"/>
  <c r="O167" i="1"/>
  <c r="S204" i="1"/>
  <c r="I230" i="1"/>
  <c r="I231" i="1"/>
  <c r="S231" i="1"/>
  <c r="S270" i="1"/>
  <c r="S269" i="1"/>
  <c r="D271" i="1"/>
  <c r="K271" i="1" s="1"/>
  <c r="Q271" i="1" s="1"/>
  <c r="D261" i="1"/>
  <c r="T371" i="1"/>
  <c r="U371" i="1" s="1"/>
  <c r="N392" i="1"/>
  <c r="T392" i="1" s="1"/>
  <c r="U392" i="1" s="1"/>
  <c r="D400" i="1"/>
  <c r="K400" i="1" s="1"/>
  <c r="Q400" i="1" s="1"/>
  <c r="D390" i="1"/>
  <c r="R421" i="1"/>
  <c r="S118" i="1"/>
  <c r="H113" i="1"/>
  <c r="N113" i="1" s="1"/>
  <c r="D112" i="1"/>
  <c r="S205" i="1"/>
  <c r="S207" i="1"/>
  <c r="O273" i="1"/>
  <c r="O274" i="1"/>
  <c r="S268" i="1"/>
  <c r="R291" i="1"/>
  <c r="D378" i="1"/>
  <c r="K378" i="1" s="1"/>
  <c r="Q378" i="1" s="1"/>
  <c r="D368" i="1"/>
  <c r="T370" i="1"/>
  <c r="U370" i="1" s="1"/>
  <c r="O381" i="1"/>
  <c r="O382" i="1"/>
  <c r="O403" i="1"/>
  <c r="S462" i="1"/>
  <c r="T458" i="1"/>
  <c r="U458" i="1" s="1"/>
  <c r="N479" i="1"/>
  <c r="T479" i="1" s="1"/>
  <c r="U479" i="1" s="1"/>
  <c r="D534" i="1"/>
  <c r="K534" i="1" s="1"/>
  <c r="Q534" i="1" s="1"/>
  <c r="D524" i="1"/>
  <c r="I188" i="1"/>
  <c r="I187" i="1"/>
  <c r="D228" i="1"/>
  <c r="K228" i="1" s="1"/>
  <c r="Q228" i="1" s="1"/>
  <c r="D218" i="1"/>
  <c r="S247" i="1"/>
  <c r="S249" i="1"/>
  <c r="N262" i="1"/>
  <c r="T262" i="1" s="1"/>
  <c r="U262" i="1" s="1"/>
  <c r="T241" i="1"/>
  <c r="U241" i="1" s="1"/>
  <c r="R292" i="1"/>
  <c r="S295" i="1"/>
  <c r="D303" i="1"/>
  <c r="D313" i="1"/>
  <c r="K313" i="1" s="1"/>
  <c r="Q313" i="1" s="1"/>
  <c r="R376" i="1"/>
  <c r="R379" i="1"/>
  <c r="S139" i="1"/>
  <c r="D176" i="1"/>
  <c r="H177" i="1"/>
  <c r="R182" i="1"/>
  <c r="O187" i="1"/>
  <c r="D198" i="1"/>
  <c r="D240" i="1"/>
  <c r="R268" i="1"/>
  <c r="S291" i="1"/>
  <c r="S293" i="1"/>
  <c r="S315" i="1"/>
  <c r="O316" i="1"/>
  <c r="S334" i="1"/>
  <c r="S336" i="1"/>
  <c r="R441" i="1"/>
  <c r="R442" i="1"/>
  <c r="N477" i="1"/>
  <c r="T477" i="1" s="1"/>
  <c r="U477" i="1" s="1"/>
  <c r="T456" i="1"/>
  <c r="U456" i="1" s="1"/>
  <c r="I468" i="1"/>
  <c r="I467" i="1"/>
  <c r="N571" i="1"/>
  <c r="T571" i="1" s="1"/>
  <c r="U571" i="1" s="1"/>
  <c r="T550" i="1"/>
  <c r="U550" i="1" s="1"/>
  <c r="S598" i="1"/>
  <c r="S600" i="1"/>
  <c r="R225" i="1"/>
  <c r="R270" i="1"/>
  <c r="S294" i="1"/>
  <c r="S316" i="1"/>
  <c r="D315" i="1"/>
  <c r="K315" i="1" s="1"/>
  <c r="Q315" i="1" s="1"/>
  <c r="S333" i="1"/>
  <c r="S337" i="1"/>
  <c r="I359" i="1"/>
  <c r="I360" i="1"/>
  <c r="D379" i="1"/>
  <c r="K379" i="1" s="1"/>
  <c r="Q379" i="1" s="1"/>
  <c r="D423" i="1"/>
  <c r="K423" i="1" s="1"/>
  <c r="Q423" i="1" s="1"/>
  <c r="D413" i="1"/>
  <c r="D433" i="1"/>
  <c r="S311" i="1"/>
  <c r="D327" i="1"/>
  <c r="I382" i="1"/>
  <c r="N393" i="1"/>
  <c r="T393" i="1" s="1"/>
  <c r="U393" i="1" s="1"/>
  <c r="O424" i="1"/>
  <c r="S443" i="1"/>
  <c r="S442" i="1"/>
  <c r="R440" i="1"/>
  <c r="D486" i="1"/>
  <c r="K486" i="1" s="1"/>
  <c r="Q486" i="1" s="1"/>
  <c r="D476" i="1"/>
  <c r="N478" i="1"/>
  <c r="T478" i="1" s="1"/>
  <c r="U478" i="1" s="1"/>
  <c r="N525" i="1"/>
  <c r="T525" i="1" s="1"/>
  <c r="U525" i="1" s="1"/>
  <c r="T504" i="1"/>
  <c r="U504" i="1" s="1"/>
  <c r="R354" i="1"/>
  <c r="S399" i="1"/>
  <c r="T412" i="1"/>
  <c r="U412" i="1" s="1"/>
  <c r="I515" i="1"/>
  <c r="R554" i="1"/>
  <c r="S397" i="1"/>
  <c r="D455" i="1"/>
  <c r="R483" i="1"/>
  <c r="H503" i="1"/>
  <c r="N503" i="1" s="1"/>
  <c r="D502" i="1"/>
  <c r="D512" i="1"/>
  <c r="K512" i="1" s="1"/>
  <c r="Q512" i="1" s="1"/>
  <c r="S555" i="1"/>
  <c r="R575" i="1"/>
  <c r="S440" i="1"/>
  <c r="S509" i="1"/>
  <c r="S554" i="1"/>
  <c r="I625" i="1"/>
  <c r="I624" i="1"/>
  <c r="R511" i="1"/>
  <c r="S558" i="1"/>
  <c r="D567" i="1"/>
  <c r="D577" i="1"/>
  <c r="K577" i="1" s="1"/>
  <c r="Q577" i="1" s="1"/>
  <c r="T593" i="1"/>
  <c r="U593" i="1" s="1"/>
  <c r="N614" i="1"/>
  <c r="T614" i="1" s="1"/>
  <c r="U614" i="1" s="1"/>
  <c r="I604" i="1"/>
  <c r="I603" i="1"/>
  <c r="S530" i="1"/>
  <c r="R555" i="1"/>
  <c r="R557" i="1"/>
  <c r="D548" i="1"/>
  <c r="H549" i="1"/>
  <c r="N549" i="1" s="1"/>
  <c r="D579" i="1"/>
  <c r="K579" i="1" s="1"/>
  <c r="Q579" i="1" s="1"/>
  <c r="D622" i="1"/>
  <c r="K622" i="1" s="1"/>
  <c r="Q622" i="1" s="1"/>
  <c r="D612" i="1"/>
  <c r="S619" i="1"/>
  <c r="O559" i="1"/>
  <c r="O560" i="1"/>
  <c r="I560" i="1"/>
  <c r="R619" i="1"/>
  <c r="S575" i="1"/>
  <c r="D592" i="1"/>
  <c r="D57" i="2"/>
  <c r="F57" i="2" s="1"/>
  <c r="C57" i="2"/>
  <c r="E56" i="2"/>
  <c r="E55" i="2"/>
  <c r="E54" i="2"/>
  <c r="E53" i="2"/>
  <c r="E52" i="2"/>
  <c r="A34" i="2"/>
  <c r="A33" i="2"/>
  <c r="A32" i="2"/>
  <c r="K31" i="2"/>
  <c r="A31" i="2"/>
  <c r="A30" i="2"/>
  <c r="B29" i="2"/>
  <c r="B35" i="2" s="1"/>
  <c r="A29" i="2"/>
  <c r="B86" i="2" l="1"/>
  <c r="B89" i="2" s="1"/>
  <c r="B84" i="2"/>
  <c r="E57" i="2"/>
  <c r="D377" i="1"/>
  <c r="K377" i="1" s="1"/>
  <c r="Q377" i="1" s="1"/>
  <c r="D367" i="1"/>
  <c r="H368" i="1"/>
  <c r="N368" i="1" s="1"/>
  <c r="F155" i="1"/>
  <c r="F133" i="1"/>
  <c r="K112" i="1"/>
  <c r="N176" i="1"/>
  <c r="T176" i="1" s="1"/>
  <c r="U176" i="1" s="1"/>
  <c r="T155" i="1"/>
  <c r="U155" i="1" s="1"/>
  <c r="D621" i="1"/>
  <c r="K621" i="1" s="1"/>
  <c r="Q621" i="1" s="1"/>
  <c r="D611" i="1"/>
  <c r="D557" i="1"/>
  <c r="K557" i="1" s="1"/>
  <c r="Q557" i="1" s="1"/>
  <c r="H548" i="1"/>
  <c r="N548" i="1" s="1"/>
  <c r="D547" i="1"/>
  <c r="N524" i="1"/>
  <c r="T524" i="1" s="1"/>
  <c r="U524" i="1" s="1"/>
  <c r="T503" i="1"/>
  <c r="U503" i="1" s="1"/>
  <c r="D422" i="1"/>
  <c r="K422" i="1" s="1"/>
  <c r="Q422" i="1" s="1"/>
  <c r="D412" i="1"/>
  <c r="H413" i="1"/>
  <c r="N413" i="1" s="1"/>
  <c r="N134" i="1"/>
  <c r="T134" i="1" s="1"/>
  <c r="U134" i="1" s="1"/>
  <c r="T113" i="1"/>
  <c r="U113" i="1" s="1"/>
  <c r="D389" i="1"/>
  <c r="D399" i="1"/>
  <c r="K399" i="1" s="1"/>
  <c r="Q399" i="1" s="1"/>
  <c r="H284" i="1"/>
  <c r="N284" i="1" s="1"/>
  <c r="D283" i="1"/>
  <c r="D293" i="1"/>
  <c r="K293" i="1" s="1"/>
  <c r="Q293" i="1" s="1"/>
  <c r="Q92" i="1"/>
  <c r="R101" i="1" s="1"/>
  <c r="L101" i="1"/>
  <c r="D163" i="1"/>
  <c r="K163" i="1" s="1"/>
  <c r="Q163" i="1" s="1"/>
  <c r="H154" i="1"/>
  <c r="N154" i="1" s="1"/>
  <c r="D153" i="1"/>
  <c r="F151" i="1"/>
  <c r="F129" i="1"/>
  <c r="K108" i="1"/>
  <c r="H592" i="1"/>
  <c r="N592" i="1" s="1"/>
  <c r="D591" i="1"/>
  <c r="D601" i="1"/>
  <c r="K601" i="1" s="1"/>
  <c r="Q601" i="1" s="1"/>
  <c r="D576" i="1"/>
  <c r="K576" i="1" s="1"/>
  <c r="Q576" i="1" s="1"/>
  <c r="D566" i="1"/>
  <c r="D432" i="1"/>
  <c r="D442" i="1"/>
  <c r="K442" i="1" s="1"/>
  <c r="Q442" i="1" s="1"/>
  <c r="D302" i="1"/>
  <c r="D312" i="1"/>
  <c r="K312" i="1" s="1"/>
  <c r="Q312" i="1" s="1"/>
  <c r="D227" i="1"/>
  <c r="K227" i="1" s="1"/>
  <c r="Q227" i="1" s="1"/>
  <c r="D217" i="1"/>
  <c r="D533" i="1"/>
  <c r="K533" i="1" s="1"/>
  <c r="Q533" i="1" s="1"/>
  <c r="D523" i="1"/>
  <c r="K152" i="1"/>
  <c r="F195" i="1"/>
  <c r="F173" i="1"/>
  <c r="K154" i="1"/>
  <c r="F197" i="1"/>
  <c r="F175" i="1"/>
  <c r="D356" i="1"/>
  <c r="K356" i="1" s="1"/>
  <c r="Q356" i="1" s="1"/>
  <c r="D346" i="1"/>
  <c r="N306" i="1"/>
  <c r="T306" i="1" s="1"/>
  <c r="U306" i="1" s="1"/>
  <c r="T285" i="1"/>
  <c r="U285" i="1" s="1"/>
  <c r="K131" i="1"/>
  <c r="Q131" i="1" s="1"/>
  <c r="Q110" i="1"/>
  <c r="D485" i="1"/>
  <c r="K485" i="1" s="1"/>
  <c r="Q485" i="1" s="1"/>
  <c r="D475" i="1"/>
  <c r="H240" i="1"/>
  <c r="N240" i="1" s="1"/>
  <c r="D239" i="1"/>
  <c r="D249" i="1"/>
  <c r="K249" i="1" s="1"/>
  <c r="Q249" i="1" s="1"/>
  <c r="U81" i="1"/>
  <c r="U80" i="1"/>
  <c r="K88" i="1"/>
  <c r="Q88" i="1" s="1"/>
  <c r="Q67" i="1"/>
  <c r="H131" i="1"/>
  <c r="D130" i="1"/>
  <c r="D140" i="1"/>
  <c r="K140" i="1" s="1"/>
  <c r="Q140" i="1" s="1"/>
  <c r="K153" i="1"/>
  <c r="F174" i="1"/>
  <c r="F196" i="1"/>
  <c r="N570" i="1"/>
  <c r="T570" i="1" s="1"/>
  <c r="U570" i="1" s="1"/>
  <c r="T549" i="1"/>
  <c r="U549" i="1" s="1"/>
  <c r="D511" i="1"/>
  <c r="K511" i="1" s="1"/>
  <c r="Q511" i="1" s="1"/>
  <c r="H502" i="1"/>
  <c r="N502" i="1" s="1"/>
  <c r="D501" i="1"/>
  <c r="H455" i="1"/>
  <c r="N455" i="1" s="1"/>
  <c r="D454" i="1"/>
  <c r="D464" i="1"/>
  <c r="K464" i="1" s="1"/>
  <c r="Q464" i="1" s="1"/>
  <c r="H327" i="1"/>
  <c r="N327" i="1" s="1"/>
  <c r="D326" i="1"/>
  <c r="D336" i="1"/>
  <c r="K336" i="1" s="1"/>
  <c r="Q336" i="1" s="1"/>
  <c r="H198" i="1"/>
  <c r="N198" i="1" s="1"/>
  <c r="D197" i="1"/>
  <c r="D207" i="1"/>
  <c r="K207" i="1" s="1"/>
  <c r="Q207" i="1" s="1"/>
  <c r="D185" i="1"/>
  <c r="K185" i="1" s="1"/>
  <c r="Q185" i="1" s="1"/>
  <c r="H176" i="1"/>
  <c r="D175" i="1"/>
  <c r="D121" i="1"/>
  <c r="K121" i="1" s="1"/>
  <c r="Q121" i="1" s="1"/>
  <c r="D111" i="1"/>
  <c r="H112" i="1"/>
  <c r="N112" i="1" s="1"/>
  <c r="D270" i="1"/>
  <c r="K270" i="1" s="1"/>
  <c r="Q270" i="1" s="1"/>
  <c r="D260" i="1"/>
  <c r="Q109" i="1"/>
  <c r="K130" i="1"/>
  <c r="Q130" i="1" s="1"/>
  <c r="K91" i="1"/>
  <c r="L79" i="1"/>
  <c r="Q70" i="1"/>
  <c r="R79" i="1" s="1"/>
  <c r="F156" i="1"/>
  <c r="F134" i="1"/>
  <c r="K113" i="1"/>
  <c r="F157" i="1"/>
  <c r="F135" i="1"/>
  <c r="K114" i="1"/>
  <c r="U101" i="1"/>
  <c r="U102" i="1"/>
  <c r="C29" i="2"/>
  <c r="T455" i="1" l="1"/>
  <c r="U455" i="1" s="1"/>
  <c r="N476" i="1"/>
  <c r="T476" i="1" s="1"/>
  <c r="U476" i="1" s="1"/>
  <c r="Q153" i="1"/>
  <c r="K174" i="1"/>
  <c r="Q174" i="1" s="1"/>
  <c r="Q152" i="1"/>
  <c r="K173" i="1"/>
  <c r="Q173" i="1" s="1"/>
  <c r="D120" i="1"/>
  <c r="K120" i="1" s="1"/>
  <c r="Q120" i="1" s="1"/>
  <c r="D110" i="1"/>
  <c r="N523" i="1"/>
  <c r="T523" i="1" s="1"/>
  <c r="U523" i="1" s="1"/>
  <c r="T502" i="1"/>
  <c r="U502" i="1" s="1"/>
  <c r="F217" i="1"/>
  <c r="F239" i="1"/>
  <c r="K196" i="1"/>
  <c r="H130" i="1"/>
  <c r="D139" i="1"/>
  <c r="K139" i="1" s="1"/>
  <c r="Q139" i="1" s="1"/>
  <c r="D129" i="1"/>
  <c r="T240" i="1"/>
  <c r="U240" i="1" s="1"/>
  <c r="N261" i="1"/>
  <c r="T261" i="1" s="1"/>
  <c r="U261" i="1" s="1"/>
  <c r="D311" i="1"/>
  <c r="K311" i="1" s="1"/>
  <c r="Q311" i="1" s="1"/>
  <c r="D301" i="1"/>
  <c r="H591" i="1"/>
  <c r="N591" i="1" s="1"/>
  <c r="D590" i="1"/>
  <c r="D600" i="1"/>
  <c r="K600" i="1" s="1"/>
  <c r="Q600" i="1" s="1"/>
  <c r="K151" i="1"/>
  <c r="F172" i="1"/>
  <c r="F194" i="1"/>
  <c r="N305" i="1"/>
  <c r="T305" i="1" s="1"/>
  <c r="U305" i="1" s="1"/>
  <c r="T284" i="1"/>
  <c r="U284" i="1" s="1"/>
  <c r="D421" i="1"/>
  <c r="K421" i="1" s="1"/>
  <c r="Q421" i="1" s="1"/>
  <c r="D411" i="1"/>
  <c r="N389" i="1"/>
  <c r="T389" i="1" s="1"/>
  <c r="U389" i="1" s="1"/>
  <c r="T368" i="1"/>
  <c r="U368" i="1" s="1"/>
  <c r="Q114" i="1"/>
  <c r="R123" i="1" s="1"/>
  <c r="K135" i="1"/>
  <c r="L123" i="1"/>
  <c r="K134" i="1"/>
  <c r="L122" i="1"/>
  <c r="Q113" i="1"/>
  <c r="R122" i="1" s="1"/>
  <c r="D269" i="1"/>
  <c r="K269" i="1" s="1"/>
  <c r="Q269" i="1" s="1"/>
  <c r="D259" i="1"/>
  <c r="H197" i="1"/>
  <c r="N197" i="1" s="1"/>
  <c r="D196" i="1"/>
  <c r="D206" i="1"/>
  <c r="K206" i="1" s="1"/>
  <c r="Q206" i="1" s="1"/>
  <c r="H454" i="1"/>
  <c r="N454" i="1" s="1"/>
  <c r="D453" i="1"/>
  <c r="D463" i="1"/>
  <c r="K463" i="1" s="1"/>
  <c r="Q463" i="1" s="1"/>
  <c r="D484" i="1"/>
  <c r="K484" i="1" s="1"/>
  <c r="Q484" i="1" s="1"/>
  <c r="D474" i="1"/>
  <c r="F216" i="1"/>
  <c r="K195" i="1"/>
  <c r="F238" i="1"/>
  <c r="D216" i="1"/>
  <c r="D226" i="1"/>
  <c r="K226" i="1" s="1"/>
  <c r="Q226" i="1" s="1"/>
  <c r="N613" i="1"/>
  <c r="T613" i="1" s="1"/>
  <c r="U613" i="1" s="1"/>
  <c r="T592" i="1"/>
  <c r="U592" i="1" s="1"/>
  <c r="D162" i="1"/>
  <c r="K162" i="1" s="1"/>
  <c r="Q162" i="1" s="1"/>
  <c r="D152" i="1"/>
  <c r="H153" i="1"/>
  <c r="N153" i="1" s="1"/>
  <c r="D556" i="1"/>
  <c r="K556" i="1" s="1"/>
  <c r="Q556" i="1" s="1"/>
  <c r="H547" i="1"/>
  <c r="N547" i="1" s="1"/>
  <c r="D546" i="1"/>
  <c r="D620" i="1"/>
  <c r="K620" i="1" s="1"/>
  <c r="Q620" i="1" s="1"/>
  <c r="D610" i="1"/>
  <c r="K133" i="1"/>
  <c r="Q133" i="1" s="1"/>
  <c r="Q112" i="1"/>
  <c r="D376" i="1"/>
  <c r="K376" i="1" s="1"/>
  <c r="Q376" i="1" s="1"/>
  <c r="D366" i="1"/>
  <c r="H367" i="1"/>
  <c r="N367" i="1" s="1"/>
  <c r="Q91" i="1"/>
  <c r="R100" i="1" s="1"/>
  <c r="L100" i="1"/>
  <c r="N219" i="1"/>
  <c r="T219" i="1" s="1"/>
  <c r="U219" i="1" s="1"/>
  <c r="T198" i="1"/>
  <c r="U198" i="1" s="1"/>
  <c r="H326" i="1"/>
  <c r="N326" i="1" s="1"/>
  <c r="D325" i="1"/>
  <c r="D335" i="1"/>
  <c r="K335" i="1" s="1"/>
  <c r="Q335" i="1" s="1"/>
  <c r="K197" i="1"/>
  <c r="F218" i="1"/>
  <c r="F240" i="1"/>
  <c r="D441" i="1"/>
  <c r="K441" i="1" s="1"/>
  <c r="Q441" i="1" s="1"/>
  <c r="D431" i="1"/>
  <c r="K129" i="1"/>
  <c r="Q129" i="1" s="1"/>
  <c r="Q108" i="1"/>
  <c r="N175" i="1"/>
  <c r="T175" i="1" s="1"/>
  <c r="U175" i="1" s="1"/>
  <c r="T154" i="1"/>
  <c r="U154" i="1" s="1"/>
  <c r="N569" i="1"/>
  <c r="T569" i="1" s="1"/>
  <c r="U569" i="1" s="1"/>
  <c r="T548" i="1"/>
  <c r="U548" i="1" s="1"/>
  <c r="F200" i="1"/>
  <c r="F178" i="1"/>
  <c r="K157" i="1"/>
  <c r="K156" i="1"/>
  <c r="F199" i="1"/>
  <c r="F177" i="1"/>
  <c r="T112" i="1"/>
  <c r="U112" i="1" s="1"/>
  <c r="N133" i="1"/>
  <c r="T133" i="1" s="1"/>
  <c r="U133" i="1" s="1"/>
  <c r="D184" i="1"/>
  <c r="K184" i="1" s="1"/>
  <c r="Q184" i="1" s="1"/>
  <c r="H175" i="1"/>
  <c r="D174" i="1"/>
  <c r="N348" i="1"/>
  <c r="T348" i="1" s="1"/>
  <c r="U348" i="1" s="1"/>
  <c r="T327" i="1"/>
  <c r="U327" i="1" s="1"/>
  <c r="H501" i="1"/>
  <c r="N501" i="1" s="1"/>
  <c r="D500" i="1"/>
  <c r="D510" i="1"/>
  <c r="K510" i="1" s="1"/>
  <c r="Q510" i="1" s="1"/>
  <c r="H239" i="1"/>
  <c r="N239" i="1" s="1"/>
  <c r="D238" i="1"/>
  <c r="D248" i="1"/>
  <c r="K248" i="1" s="1"/>
  <c r="Q248" i="1" s="1"/>
  <c r="D345" i="1"/>
  <c r="D355" i="1"/>
  <c r="K355" i="1" s="1"/>
  <c r="Q355" i="1" s="1"/>
  <c r="Q154" i="1"/>
  <c r="K175" i="1"/>
  <c r="Q175" i="1" s="1"/>
  <c r="D522" i="1"/>
  <c r="D532" i="1"/>
  <c r="K532" i="1" s="1"/>
  <c r="Q532" i="1" s="1"/>
  <c r="D565" i="1"/>
  <c r="D575" i="1"/>
  <c r="K575" i="1" s="1"/>
  <c r="Q575" i="1" s="1"/>
  <c r="H283" i="1"/>
  <c r="N283" i="1" s="1"/>
  <c r="D282" i="1"/>
  <c r="D292" i="1"/>
  <c r="K292" i="1" s="1"/>
  <c r="Q292" i="1" s="1"/>
  <c r="D388" i="1"/>
  <c r="D398" i="1"/>
  <c r="K398" i="1" s="1"/>
  <c r="Q398" i="1" s="1"/>
  <c r="T413" i="1"/>
  <c r="U413" i="1" s="1"/>
  <c r="N434" i="1"/>
  <c r="T434" i="1" s="1"/>
  <c r="U434" i="1" s="1"/>
  <c r="K155" i="1"/>
  <c r="F176" i="1"/>
  <c r="F198" i="1"/>
  <c r="C35" i="2"/>
  <c r="D29" i="2"/>
  <c r="C30" i="2"/>
  <c r="C86" i="2" l="1"/>
  <c r="C89" i="2" s="1"/>
  <c r="C84" i="2"/>
  <c r="N304" i="1"/>
  <c r="T304" i="1" s="1"/>
  <c r="U304" i="1" s="1"/>
  <c r="T283" i="1"/>
  <c r="U283" i="1" s="1"/>
  <c r="D354" i="1"/>
  <c r="K354" i="1" s="1"/>
  <c r="Q354" i="1" s="1"/>
  <c r="D344" i="1"/>
  <c r="Q156" i="1"/>
  <c r="R165" i="1" s="1"/>
  <c r="L165" i="1"/>
  <c r="K177" i="1"/>
  <c r="N174" i="1"/>
  <c r="T174" i="1" s="1"/>
  <c r="U174" i="1" s="1"/>
  <c r="T153" i="1"/>
  <c r="U153" i="1" s="1"/>
  <c r="K216" i="1"/>
  <c r="Q216" i="1" s="1"/>
  <c r="Q195" i="1"/>
  <c r="H196" i="1"/>
  <c r="N196" i="1" s="1"/>
  <c r="D195" i="1"/>
  <c r="D205" i="1"/>
  <c r="K205" i="1" s="1"/>
  <c r="Q205" i="1" s="1"/>
  <c r="L144" i="1"/>
  <c r="Q135" i="1"/>
  <c r="R144" i="1" s="1"/>
  <c r="F215" i="1"/>
  <c r="F237" i="1"/>
  <c r="K194" i="1"/>
  <c r="H590" i="1"/>
  <c r="N590" i="1" s="1"/>
  <c r="D589" i="1"/>
  <c r="D599" i="1"/>
  <c r="K599" i="1" s="1"/>
  <c r="Q599" i="1" s="1"/>
  <c r="Q155" i="1"/>
  <c r="K176" i="1"/>
  <c r="Q176" i="1" s="1"/>
  <c r="D387" i="1"/>
  <c r="D397" i="1"/>
  <c r="K397" i="1" s="1"/>
  <c r="Q397" i="1" s="1"/>
  <c r="G581" i="1"/>
  <c r="D574" i="1"/>
  <c r="K574" i="1" s="1"/>
  <c r="Q574" i="1" s="1"/>
  <c r="H238" i="1"/>
  <c r="N238" i="1" s="1"/>
  <c r="D237" i="1"/>
  <c r="D247" i="1"/>
  <c r="K247" i="1" s="1"/>
  <c r="Q247" i="1" s="1"/>
  <c r="N522" i="1"/>
  <c r="T522" i="1" s="1"/>
  <c r="U522" i="1" s="1"/>
  <c r="T501" i="1"/>
  <c r="U501" i="1" s="1"/>
  <c r="D430" i="1"/>
  <c r="D440" i="1"/>
  <c r="K440" i="1" s="1"/>
  <c r="Q440" i="1" s="1"/>
  <c r="K218" i="1"/>
  <c r="Q218" i="1" s="1"/>
  <c r="Q197" i="1"/>
  <c r="N388" i="1"/>
  <c r="T388" i="1" s="1"/>
  <c r="U388" i="1" s="1"/>
  <c r="T367" i="1"/>
  <c r="U367" i="1" s="1"/>
  <c r="N568" i="1"/>
  <c r="T568" i="1" s="1"/>
  <c r="U568" i="1" s="1"/>
  <c r="T547" i="1"/>
  <c r="U547" i="1" s="1"/>
  <c r="D225" i="1"/>
  <c r="K225" i="1" s="1"/>
  <c r="Q225" i="1" s="1"/>
  <c r="D215" i="1"/>
  <c r="D483" i="1"/>
  <c r="K483" i="1" s="1"/>
  <c r="Q483" i="1" s="1"/>
  <c r="D473" i="1"/>
  <c r="T454" i="1"/>
  <c r="U454" i="1" s="1"/>
  <c r="N475" i="1"/>
  <c r="T475" i="1" s="1"/>
  <c r="U475" i="1" s="1"/>
  <c r="D268" i="1"/>
  <c r="K268" i="1" s="1"/>
  <c r="Q268" i="1" s="1"/>
  <c r="D258" i="1"/>
  <c r="L143" i="1"/>
  <c r="Q134" i="1"/>
  <c r="R143" i="1" s="1"/>
  <c r="Q151" i="1"/>
  <c r="K172" i="1"/>
  <c r="Q172" i="1" s="1"/>
  <c r="D310" i="1"/>
  <c r="K310" i="1" s="1"/>
  <c r="Q310" i="1" s="1"/>
  <c r="M317" i="1"/>
  <c r="G317" i="1"/>
  <c r="L317" i="1"/>
  <c r="S317" i="1"/>
  <c r="R317" i="1"/>
  <c r="G145" i="1"/>
  <c r="D138" i="1"/>
  <c r="K138" i="1" s="1"/>
  <c r="Q138" i="1" s="1"/>
  <c r="H129" i="1"/>
  <c r="F260" i="1"/>
  <c r="K239" i="1"/>
  <c r="F282" i="1"/>
  <c r="D109" i="1"/>
  <c r="D119" i="1"/>
  <c r="K119" i="1" s="1"/>
  <c r="Q119" i="1" s="1"/>
  <c r="H110" i="1"/>
  <c r="N110" i="1" s="1"/>
  <c r="F219" i="1"/>
  <c r="F241" i="1"/>
  <c r="K198" i="1"/>
  <c r="H282" i="1"/>
  <c r="N282" i="1" s="1"/>
  <c r="D291" i="1"/>
  <c r="K291" i="1" s="1"/>
  <c r="Q291" i="1" s="1"/>
  <c r="D281" i="1"/>
  <c r="T239" i="1"/>
  <c r="U239" i="1" s="1"/>
  <c r="N260" i="1"/>
  <c r="T260" i="1" s="1"/>
  <c r="U260" i="1" s="1"/>
  <c r="F242" i="1"/>
  <c r="F220" i="1"/>
  <c r="K199" i="1"/>
  <c r="F243" i="1"/>
  <c r="K200" i="1"/>
  <c r="F221" i="1"/>
  <c r="M382" i="1"/>
  <c r="G382" i="1"/>
  <c r="H366" i="1"/>
  <c r="N366" i="1" s="1"/>
  <c r="D375" i="1"/>
  <c r="K375" i="1" s="1"/>
  <c r="Q375" i="1" s="1"/>
  <c r="S382" i="1"/>
  <c r="R382" i="1"/>
  <c r="L382" i="1"/>
  <c r="D619" i="1"/>
  <c r="K619" i="1" s="1"/>
  <c r="Q619" i="1" s="1"/>
  <c r="D609" i="1"/>
  <c r="F281" i="1"/>
  <c r="K238" i="1"/>
  <c r="F259" i="1"/>
  <c r="D531" i="1"/>
  <c r="K531" i="1" s="1"/>
  <c r="Q531" i="1" s="1"/>
  <c r="D521" i="1"/>
  <c r="F283" i="1"/>
  <c r="F261" i="1"/>
  <c r="K240" i="1"/>
  <c r="H325" i="1"/>
  <c r="N325" i="1" s="1"/>
  <c r="D324" i="1"/>
  <c r="D334" i="1"/>
  <c r="K334" i="1" s="1"/>
  <c r="Q334" i="1" s="1"/>
  <c r="D420" i="1"/>
  <c r="K420" i="1" s="1"/>
  <c r="Q420" i="1" s="1"/>
  <c r="H411" i="1"/>
  <c r="N411" i="1" s="1"/>
  <c r="D410" i="1"/>
  <c r="H500" i="1"/>
  <c r="N500" i="1" s="1"/>
  <c r="D509" i="1"/>
  <c r="K509" i="1" s="1"/>
  <c r="Q509" i="1" s="1"/>
  <c r="D499" i="1"/>
  <c r="D183" i="1"/>
  <c r="K183" i="1" s="1"/>
  <c r="Q183" i="1" s="1"/>
  <c r="H174" i="1"/>
  <c r="D173" i="1"/>
  <c r="K178" i="1"/>
  <c r="L166" i="1"/>
  <c r="Q157" i="1"/>
  <c r="R166" i="1" s="1"/>
  <c r="T326" i="1"/>
  <c r="U326" i="1" s="1"/>
  <c r="N347" i="1"/>
  <c r="T347" i="1" s="1"/>
  <c r="U347" i="1" s="1"/>
  <c r="D555" i="1"/>
  <c r="K555" i="1" s="1"/>
  <c r="Q555" i="1" s="1"/>
  <c r="D545" i="1"/>
  <c r="H546" i="1"/>
  <c r="N546" i="1" s="1"/>
  <c r="D161" i="1"/>
  <c r="K161" i="1" s="1"/>
  <c r="Q161" i="1" s="1"/>
  <c r="H152" i="1"/>
  <c r="N152" i="1" s="1"/>
  <c r="D151" i="1"/>
  <c r="H453" i="1"/>
  <c r="N453" i="1" s="1"/>
  <c r="D452" i="1"/>
  <c r="D462" i="1"/>
  <c r="K462" i="1" s="1"/>
  <c r="Q462" i="1" s="1"/>
  <c r="T197" i="1"/>
  <c r="U197" i="1" s="1"/>
  <c r="N218" i="1"/>
  <c r="T218" i="1" s="1"/>
  <c r="U218" i="1" s="1"/>
  <c r="T591" i="1"/>
  <c r="U591" i="1" s="1"/>
  <c r="N612" i="1"/>
  <c r="T612" i="1" s="1"/>
  <c r="U612" i="1" s="1"/>
  <c r="Q196" i="1"/>
  <c r="K217" i="1"/>
  <c r="Q217" i="1" s="1"/>
  <c r="D30" i="2"/>
  <c r="D31" i="2"/>
  <c r="E29" i="2"/>
  <c r="H281" i="1" l="1"/>
  <c r="N281" i="1" s="1"/>
  <c r="D280" i="1"/>
  <c r="D290" i="1"/>
  <c r="K290" i="1" s="1"/>
  <c r="Q290" i="1" s="1"/>
  <c r="D108" i="1"/>
  <c r="D118" i="1"/>
  <c r="K118" i="1" s="1"/>
  <c r="Q118" i="1" s="1"/>
  <c r="M253" i="1"/>
  <c r="G253" i="1"/>
  <c r="D246" i="1"/>
  <c r="K246" i="1" s="1"/>
  <c r="Q246" i="1" s="1"/>
  <c r="H237" i="1"/>
  <c r="N237" i="1" s="1"/>
  <c r="R253" i="1"/>
  <c r="L253" i="1"/>
  <c r="S253" i="1"/>
  <c r="N173" i="1"/>
  <c r="T173" i="1" s="1"/>
  <c r="U173" i="1" s="1"/>
  <c r="T152" i="1"/>
  <c r="U152" i="1" s="1"/>
  <c r="M468" i="1"/>
  <c r="G468" i="1"/>
  <c r="D461" i="1"/>
  <c r="K461" i="1" s="1"/>
  <c r="Q461" i="1" s="1"/>
  <c r="H452" i="1"/>
  <c r="N452" i="1" s="1"/>
  <c r="R468" i="1"/>
  <c r="L468" i="1"/>
  <c r="S468" i="1"/>
  <c r="L187" i="1"/>
  <c r="Q178" i="1"/>
  <c r="R187" i="1" s="1"/>
  <c r="D508" i="1"/>
  <c r="K508" i="1" s="1"/>
  <c r="Q508" i="1" s="1"/>
  <c r="H499" i="1"/>
  <c r="N499" i="1" s="1"/>
  <c r="G515" i="1"/>
  <c r="M515" i="1"/>
  <c r="S515" i="1"/>
  <c r="L515" i="1"/>
  <c r="R515" i="1"/>
  <c r="T411" i="1"/>
  <c r="U411" i="1" s="1"/>
  <c r="N432" i="1"/>
  <c r="T432" i="1" s="1"/>
  <c r="U432" i="1" s="1"/>
  <c r="N346" i="1"/>
  <c r="T346" i="1" s="1"/>
  <c r="U346" i="1" s="1"/>
  <c r="T325" i="1"/>
  <c r="U325" i="1" s="1"/>
  <c r="D530" i="1"/>
  <c r="K530" i="1" s="1"/>
  <c r="Q530" i="1" s="1"/>
  <c r="D520" i="1"/>
  <c r="F302" i="1"/>
  <c r="F324" i="1"/>
  <c r="K281" i="1"/>
  <c r="F286" i="1"/>
  <c r="K243" i="1"/>
  <c r="F264" i="1"/>
  <c r="N303" i="1"/>
  <c r="T303" i="1" s="1"/>
  <c r="U303" i="1" s="1"/>
  <c r="T282" i="1"/>
  <c r="U282" i="1" s="1"/>
  <c r="N131" i="1"/>
  <c r="T131" i="1" s="1"/>
  <c r="U131" i="1" s="1"/>
  <c r="T110" i="1"/>
  <c r="U110" i="1" s="1"/>
  <c r="K260" i="1"/>
  <c r="Q260" i="1" s="1"/>
  <c r="Q239" i="1"/>
  <c r="T590" i="1"/>
  <c r="U590" i="1" s="1"/>
  <c r="N611" i="1"/>
  <c r="T611" i="1" s="1"/>
  <c r="U611" i="1" s="1"/>
  <c r="N217" i="1"/>
  <c r="T217" i="1" s="1"/>
  <c r="U217" i="1" s="1"/>
  <c r="T196" i="1"/>
  <c r="U196" i="1" s="1"/>
  <c r="G360" i="1"/>
  <c r="D353" i="1"/>
  <c r="K353" i="1" s="1"/>
  <c r="Q353" i="1" s="1"/>
  <c r="T453" i="1"/>
  <c r="U453" i="1" s="1"/>
  <c r="N474" i="1"/>
  <c r="T474" i="1" s="1"/>
  <c r="U474" i="1" s="1"/>
  <c r="T546" i="1"/>
  <c r="U546" i="1" s="1"/>
  <c r="N567" i="1"/>
  <c r="T567" i="1" s="1"/>
  <c r="U567" i="1" s="1"/>
  <c r="D182" i="1"/>
  <c r="K182" i="1" s="1"/>
  <c r="Q182" i="1" s="1"/>
  <c r="H173" i="1"/>
  <c r="D172" i="1"/>
  <c r="K261" i="1"/>
  <c r="Q261" i="1" s="1"/>
  <c r="Q240" i="1"/>
  <c r="D618" i="1"/>
  <c r="K618" i="1" s="1"/>
  <c r="Q618" i="1" s="1"/>
  <c r="G625" i="1"/>
  <c r="K220" i="1"/>
  <c r="L208" i="1"/>
  <c r="Q199" i="1"/>
  <c r="R208" i="1" s="1"/>
  <c r="Q198" i="1"/>
  <c r="K219" i="1"/>
  <c r="Q219" i="1" s="1"/>
  <c r="D224" i="1"/>
  <c r="K224" i="1" s="1"/>
  <c r="Q224" i="1" s="1"/>
  <c r="G231" i="1"/>
  <c r="K215" i="1"/>
  <c r="Q215" i="1" s="1"/>
  <c r="Q194" i="1"/>
  <c r="L186" i="1"/>
  <c r="Q177" i="1"/>
  <c r="R186" i="1" s="1"/>
  <c r="M167" i="1"/>
  <c r="S167" i="1"/>
  <c r="G167" i="1"/>
  <c r="D160" i="1"/>
  <c r="K160" i="1" s="1"/>
  <c r="Q160" i="1" s="1"/>
  <c r="H151" i="1"/>
  <c r="N151" i="1" s="1"/>
  <c r="R167" i="1"/>
  <c r="L167" i="1"/>
  <c r="D554" i="1"/>
  <c r="K554" i="1" s="1"/>
  <c r="Q554" i="1" s="1"/>
  <c r="H545" i="1"/>
  <c r="N545" i="1" s="1"/>
  <c r="D544" i="1"/>
  <c r="T500" i="1"/>
  <c r="U500" i="1" s="1"/>
  <c r="N521" i="1"/>
  <c r="T521" i="1" s="1"/>
  <c r="U521" i="1" s="1"/>
  <c r="F262" i="1"/>
  <c r="F284" i="1"/>
  <c r="K241" i="1"/>
  <c r="M446" i="1"/>
  <c r="G446" i="1"/>
  <c r="D439" i="1"/>
  <c r="K439" i="1" s="1"/>
  <c r="Q439" i="1" s="1"/>
  <c r="R446" i="1"/>
  <c r="S446" i="1"/>
  <c r="L446" i="1"/>
  <c r="F258" i="1"/>
  <c r="F280" i="1"/>
  <c r="K237" i="1"/>
  <c r="D419" i="1"/>
  <c r="K419" i="1" s="1"/>
  <c r="Q419" i="1" s="1"/>
  <c r="H410" i="1"/>
  <c r="N410" i="1" s="1"/>
  <c r="D409" i="1"/>
  <c r="H324" i="1"/>
  <c r="N324" i="1" s="1"/>
  <c r="D323" i="1"/>
  <c r="D333" i="1"/>
  <c r="K333" i="1" s="1"/>
  <c r="Q333" i="1" s="1"/>
  <c r="F304" i="1"/>
  <c r="F326" i="1"/>
  <c r="K283" i="1"/>
  <c r="K259" i="1"/>
  <c r="Q259" i="1" s="1"/>
  <c r="Q238" i="1"/>
  <c r="N387" i="1"/>
  <c r="T387" i="1" s="1"/>
  <c r="U387" i="1" s="1"/>
  <c r="U394" i="1" s="1"/>
  <c r="T366" i="1"/>
  <c r="U366" i="1" s="1"/>
  <c r="U373" i="1" s="1"/>
  <c r="K221" i="1"/>
  <c r="Q200" i="1"/>
  <c r="R209" i="1" s="1"/>
  <c r="L209" i="1"/>
  <c r="F285" i="1"/>
  <c r="F263" i="1"/>
  <c r="K242" i="1"/>
  <c r="K282" i="1"/>
  <c r="F325" i="1"/>
  <c r="F303" i="1"/>
  <c r="G274" i="1"/>
  <c r="D267" i="1"/>
  <c r="K267" i="1" s="1"/>
  <c r="Q267" i="1" s="1"/>
  <c r="M274" i="1"/>
  <c r="L274" i="1"/>
  <c r="R274" i="1"/>
  <c r="S274" i="1"/>
  <c r="G489" i="1"/>
  <c r="D482" i="1"/>
  <c r="K482" i="1" s="1"/>
  <c r="Q482" i="1" s="1"/>
  <c r="T238" i="1"/>
  <c r="U238" i="1" s="1"/>
  <c r="N259" i="1"/>
  <c r="T259" i="1" s="1"/>
  <c r="U259" i="1" s="1"/>
  <c r="M403" i="1"/>
  <c r="G403" i="1"/>
  <c r="D396" i="1"/>
  <c r="K396" i="1" s="1"/>
  <c r="Q396" i="1" s="1"/>
  <c r="S403" i="1"/>
  <c r="L403" i="1"/>
  <c r="R403" i="1"/>
  <c r="H589" i="1"/>
  <c r="N589" i="1" s="1"/>
  <c r="D588" i="1"/>
  <c r="D598" i="1"/>
  <c r="K598" i="1" s="1"/>
  <c r="Q598" i="1" s="1"/>
  <c r="H195" i="1"/>
  <c r="N195" i="1" s="1"/>
  <c r="D194" i="1"/>
  <c r="D204" i="1"/>
  <c r="K204" i="1" s="1"/>
  <c r="Q204" i="1" s="1"/>
  <c r="E31" i="2"/>
  <c r="D35" i="2"/>
  <c r="F29" i="2"/>
  <c r="E30" i="2"/>
  <c r="D86" i="2" l="1"/>
  <c r="D89" i="2" s="1"/>
  <c r="D84" i="2"/>
  <c r="T195" i="1"/>
  <c r="U195" i="1" s="1"/>
  <c r="N216" i="1"/>
  <c r="T216" i="1" s="1"/>
  <c r="U216" i="1" s="1"/>
  <c r="K284" i="1"/>
  <c r="F327" i="1"/>
  <c r="F305" i="1"/>
  <c r="N473" i="1"/>
  <c r="T473" i="1" s="1"/>
  <c r="U473" i="1" s="1"/>
  <c r="U480" i="1" s="1"/>
  <c r="T452" i="1"/>
  <c r="U452" i="1" s="1"/>
  <c r="U459" i="1" s="1"/>
  <c r="M604" i="1"/>
  <c r="G604" i="1"/>
  <c r="D597" i="1"/>
  <c r="K597" i="1" s="1"/>
  <c r="Q597" i="1" s="1"/>
  <c r="H588" i="1"/>
  <c r="N588" i="1" s="1"/>
  <c r="S604" i="1"/>
  <c r="R604" i="1"/>
  <c r="L604" i="1"/>
  <c r="K303" i="1"/>
  <c r="Q303" i="1" s="1"/>
  <c r="Q282" i="1"/>
  <c r="U403" i="1"/>
  <c r="U402" i="1"/>
  <c r="F369" i="1"/>
  <c r="F347" i="1"/>
  <c r="K326" i="1"/>
  <c r="T324" i="1"/>
  <c r="U324" i="1" s="1"/>
  <c r="N345" i="1"/>
  <c r="T345" i="1" s="1"/>
  <c r="U345" i="1" s="1"/>
  <c r="K258" i="1"/>
  <c r="Q258" i="1" s="1"/>
  <c r="Q237" i="1"/>
  <c r="F329" i="1"/>
  <c r="F307" i="1"/>
  <c r="K286" i="1"/>
  <c r="G536" i="1"/>
  <c r="D529" i="1"/>
  <c r="K529" i="1" s="1"/>
  <c r="Q529" i="1" s="1"/>
  <c r="M124" i="1"/>
  <c r="G124" i="1"/>
  <c r="D117" i="1"/>
  <c r="K117" i="1" s="1"/>
  <c r="Q117" i="1" s="1"/>
  <c r="H108" i="1"/>
  <c r="N108" i="1" s="1"/>
  <c r="S124" i="1"/>
  <c r="R124" i="1"/>
  <c r="L124" i="1"/>
  <c r="D203" i="1"/>
  <c r="K203" i="1" s="1"/>
  <c r="Q203" i="1" s="1"/>
  <c r="H194" i="1"/>
  <c r="N194" i="1" s="1"/>
  <c r="M210" i="1"/>
  <c r="G210" i="1"/>
  <c r="S210" i="1"/>
  <c r="L210" i="1"/>
  <c r="R210" i="1"/>
  <c r="T589" i="1"/>
  <c r="U589" i="1" s="1"/>
  <c r="N610" i="1"/>
  <c r="T610" i="1" s="1"/>
  <c r="U610" i="1" s="1"/>
  <c r="K263" i="1"/>
  <c r="L251" i="1"/>
  <c r="Q242" i="1"/>
  <c r="R251" i="1" s="1"/>
  <c r="M425" i="1"/>
  <c r="H409" i="1"/>
  <c r="N409" i="1" s="1"/>
  <c r="G425" i="1"/>
  <c r="D418" i="1"/>
  <c r="K418" i="1" s="1"/>
  <c r="Q418" i="1" s="1"/>
  <c r="S425" i="1"/>
  <c r="L425" i="1"/>
  <c r="R425" i="1"/>
  <c r="K280" i="1"/>
  <c r="F323" i="1"/>
  <c r="F301" i="1"/>
  <c r="Q241" i="1"/>
  <c r="K262" i="1"/>
  <c r="Q262" i="1" s="1"/>
  <c r="Q281" i="1"/>
  <c r="K302" i="1"/>
  <c r="Q302" i="1" s="1"/>
  <c r="Q221" i="1"/>
  <c r="R230" i="1" s="1"/>
  <c r="L230" i="1"/>
  <c r="N431" i="1"/>
  <c r="T431" i="1" s="1"/>
  <c r="U431" i="1" s="1"/>
  <c r="T410" i="1"/>
  <c r="U410" i="1" s="1"/>
  <c r="M560" i="1"/>
  <c r="D553" i="1"/>
  <c r="K553" i="1" s="1"/>
  <c r="Q553" i="1" s="1"/>
  <c r="G560" i="1"/>
  <c r="H544" i="1"/>
  <c r="N544" i="1" s="1"/>
  <c r="S560" i="1"/>
  <c r="R560" i="1"/>
  <c r="L560" i="1"/>
  <c r="Q220" i="1"/>
  <c r="R229" i="1" s="1"/>
  <c r="L229" i="1"/>
  <c r="F367" i="1"/>
  <c r="K324" i="1"/>
  <c r="F345" i="1"/>
  <c r="M296" i="1"/>
  <c r="H280" i="1"/>
  <c r="N280" i="1" s="1"/>
  <c r="G296" i="1"/>
  <c r="D289" i="1"/>
  <c r="K289" i="1" s="1"/>
  <c r="Q289" i="1" s="1"/>
  <c r="S296" i="1"/>
  <c r="L296" i="1"/>
  <c r="R296" i="1"/>
  <c r="F368" i="1"/>
  <c r="F346" i="1"/>
  <c r="K325" i="1"/>
  <c r="F306" i="1"/>
  <c r="K285" i="1"/>
  <c r="F328" i="1"/>
  <c r="U381" i="1"/>
  <c r="U382" i="1"/>
  <c r="Q283" i="1"/>
  <c r="K304" i="1"/>
  <c r="Q304" i="1" s="1"/>
  <c r="D332" i="1"/>
  <c r="K332" i="1" s="1"/>
  <c r="Q332" i="1" s="1"/>
  <c r="H323" i="1"/>
  <c r="N323" i="1" s="1"/>
  <c r="M339" i="1"/>
  <c r="G339" i="1"/>
  <c r="S339" i="1"/>
  <c r="L339" i="1"/>
  <c r="R339" i="1"/>
  <c r="N566" i="1"/>
  <c r="T566" i="1" s="1"/>
  <c r="U566" i="1" s="1"/>
  <c r="T545" i="1"/>
  <c r="U545" i="1" s="1"/>
  <c r="N172" i="1"/>
  <c r="T172" i="1" s="1"/>
  <c r="U172" i="1" s="1"/>
  <c r="U179" i="1" s="1"/>
  <c r="T151" i="1"/>
  <c r="U151" i="1" s="1"/>
  <c r="U158" i="1" s="1"/>
  <c r="H172" i="1"/>
  <c r="G188" i="1"/>
  <c r="D181" i="1"/>
  <c r="K181" i="1" s="1"/>
  <c r="Q181" i="1" s="1"/>
  <c r="K264" i="1"/>
  <c r="Q243" i="1"/>
  <c r="R252" i="1" s="1"/>
  <c r="L252" i="1"/>
  <c r="N520" i="1"/>
  <c r="T520" i="1" s="1"/>
  <c r="U520" i="1" s="1"/>
  <c r="U527" i="1" s="1"/>
  <c r="T499" i="1"/>
  <c r="U499" i="1" s="1"/>
  <c r="U506" i="1" s="1"/>
  <c r="N258" i="1"/>
  <c r="T258" i="1" s="1"/>
  <c r="U258" i="1" s="1"/>
  <c r="U265" i="1" s="1"/>
  <c r="T237" i="1"/>
  <c r="U237" i="1" s="1"/>
  <c r="U244" i="1" s="1"/>
  <c r="N302" i="1"/>
  <c r="T302" i="1" s="1"/>
  <c r="U302" i="1" s="1"/>
  <c r="T281" i="1"/>
  <c r="U281" i="1" s="1"/>
  <c r="F30" i="2"/>
  <c r="E32" i="2"/>
  <c r="G29" i="2"/>
  <c r="F31" i="2"/>
  <c r="F348" i="1" l="1"/>
  <c r="F370" i="1"/>
  <c r="K327" i="1"/>
  <c r="U166" i="1"/>
  <c r="U167" i="1"/>
  <c r="Q285" i="1"/>
  <c r="R294" i="1" s="1"/>
  <c r="L294" i="1"/>
  <c r="K306" i="1"/>
  <c r="T409" i="1"/>
  <c r="U409" i="1" s="1"/>
  <c r="U416" i="1" s="1"/>
  <c r="N430" i="1"/>
  <c r="T430" i="1" s="1"/>
  <c r="U430" i="1" s="1"/>
  <c r="U437" i="1" s="1"/>
  <c r="N215" i="1"/>
  <c r="T215" i="1" s="1"/>
  <c r="U215" i="1" s="1"/>
  <c r="U222" i="1" s="1"/>
  <c r="T194" i="1"/>
  <c r="U194" i="1" s="1"/>
  <c r="U201" i="1" s="1"/>
  <c r="N609" i="1"/>
  <c r="T609" i="1" s="1"/>
  <c r="U609" i="1" s="1"/>
  <c r="U616" i="1" s="1"/>
  <c r="T588" i="1"/>
  <c r="U588" i="1" s="1"/>
  <c r="U595" i="1" s="1"/>
  <c r="U468" i="1"/>
  <c r="U467" i="1"/>
  <c r="K305" i="1"/>
  <c r="Q305" i="1" s="1"/>
  <c r="Q284" i="1"/>
  <c r="U535" i="1"/>
  <c r="U536" i="1"/>
  <c r="U188" i="1"/>
  <c r="U187" i="1"/>
  <c r="N344" i="1"/>
  <c r="T344" i="1" s="1"/>
  <c r="U344" i="1" s="1"/>
  <c r="U351" i="1" s="1"/>
  <c r="T323" i="1"/>
  <c r="U323" i="1" s="1"/>
  <c r="U330" i="1" s="1"/>
  <c r="K345" i="1"/>
  <c r="Q345" i="1" s="1"/>
  <c r="Q324" i="1"/>
  <c r="F344" i="1"/>
  <c r="F366" i="1"/>
  <c r="K323" i="1"/>
  <c r="T108" i="1"/>
  <c r="U108" i="1" s="1"/>
  <c r="U115" i="1" s="1"/>
  <c r="N129" i="1"/>
  <c r="T129" i="1" s="1"/>
  <c r="U129" i="1" s="1"/>
  <c r="U136" i="1" s="1"/>
  <c r="K329" i="1"/>
  <c r="F372" i="1"/>
  <c r="F350" i="1"/>
  <c r="U489" i="1"/>
  <c r="U488" i="1"/>
  <c r="U273" i="1"/>
  <c r="U274" i="1"/>
  <c r="F371" i="1"/>
  <c r="K328" i="1"/>
  <c r="F349" i="1"/>
  <c r="L295" i="1"/>
  <c r="K307" i="1"/>
  <c r="Q286" i="1"/>
  <c r="R295" i="1" s="1"/>
  <c r="U514" i="1"/>
  <c r="U515" i="1"/>
  <c r="Q264" i="1"/>
  <c r="R273" i="1" s="1"/>
  <c r="L273" i="1"/>
  <c r="F389" i="1"/>
  <c r="K368" i="1"/>
  <c r="F411" i="1"/>
  <c r="N565" i="1"/>
  <c r="T565" i="1" s="1"/>
  <c r="U565" i="1" s="1"/>
  <c r="U572" i="1" s="1"/>
  <c r="T544" i="1"/>
  <c r="U544" i="1" s="1"/>
  <c r="U551" i="1" s="1"/>
  <c r="L272" i="1"/>
  <c r="Q263" i="1"/>
  <c r="R272" i="1" s="1"/>
  <c r="K369" i="1"/>
  <c r="F412" i="1"/>
  <c r="F390" i="1"/>
  <c r="U253" i="1"/>
  <c r="U252" i="1"/>
  <c r="Q325" i="1"/>
  <c r="K346" i="1"/>
  <c r="Q346" i="1" s="1"/>
  <c r="N301" i="1"/>
  <c r="T301" i="1" s="1"/>
  <c r="U301" i="1" s="1"/>
  <c r="U308" i="1" s="1"/>
  <c r="T280" i="1"/>
  <c r="U280" i="1" s="1"/>
  <c r="U287" i="1" s="1"/>
  <c r="F388" i="1"/>
  <c r="K367" i="1"/>
  <c r="F410" i="1"/>
  <c r="K301" i="1"/>
  <c r="Q301" i="1" s="1"/>
  <c r="Q280" i="1"/>
  <c r="K347" i="1"/>
  <c r="Q347" i="1" s="1"/>
  <c r="Q326" i="1"/>
  <c r="G31" i="2"/>
  <c r="F32" i="2"/>
  <c r="E35" i="2"/>
  <c r="H29" i="2"/>
  <c r="G30" i="2"/>
  <c r="F33" i="2"/>
  <c r="E86" i="2" l="1"/>
  <c r="E89" i="2" s="1"/>
  <c r="E84" i="2"/>
  <c r="F433" i="1"/>
  <c r="K412" i="1"/>
  <c r="F455" i="1"/>
  <c r="U295" i="1"/>
  <c r="U296" i="1"/>
  <c r="K390" i="1"/>
  <c r="Q390" i="1" s="1"/>
  <c r="Q369" i="1"/>
  <c r="U580" i="1"/>
  <c r="U581" i="1"/>
  <c r="K349" i="1"/>
  <c r="L337" i="1"/>
  <c r="Q328" i="1"/>
  <c r="R337" i="1" s="1"/>
  <c r="K350" i="1"/>
  <c r="Q329" i="1"/>
  <c r="R338" i="1" s="1"/>
  <c r="L338" i="1"/>
  <c r="K366" i="1"/>
  <c r="F409" i="1"/>
  <c r="F387" i="1"/>
  <c r="U338" i="1"/>
  <c r="U339" i="1"/>
  <c r="U210" i="1"/>
  <c r="U209" i="1"/>
  <c r="L315" i="1"/>
  <c r="Q306" i="1"/>
  <c r="R315" i="1" s="1"/>
  <c r="F431" i="1"/>
  <c r="K410" i="1"/>
  <c r="F453" i="1"/>
  <c r="U316" i="1"/>
  <c r="U317" i="1"/>
  <c r="F454" i="1"/>
  <c r="K411" i="1"/>
  <c r="F432" i="1"/>
  <c r="L316" i="1"/>
  <c r="Q307" i="1"/>
  <c r="R316" i="1" s="1"/>
  <c r="F392" i="1"/>
  <c r="F414" i="1"/>
  <c r="K371" i="1"/>
  <c r="U145" i="1"/>
  <c r="U144" i="1"/>
  <c r="U359" i="1"/>
  <c r="U360" i="1"/>
  <c r="U230" i="1"/>
  <c r="U231" i="1"/>
  <c r="K348" i="1"/>
  <c r="Q348" i="1" s="1"/>
  <c r="Q327" i="1"/>
  <c r="Q367" i="1"/>
  <c r="K388" i="1"/>
  <c r="Q388" i="1" s="1"/>
  <c r="Q368" i="1"/>
  <c r="K389" i="1"/>
  <c r="Q389" i="1" s="1"/>
  <c r="U123" i="1"/>
  <c r="U124" i="1"/>
  <c r="U603" i="1"/>
  <c r="U604" i="1"/>
  <c r="U446" i="1"/>
  <c r="U445" i="1"/>
  <c r="F413" i="1"/>
  <c r="K370" i="1"/>
  <c r="F391" i="1"/>
  <c r="U559" i="1"/>
  <c r="U560" i="1"/>
  <c r="F393" i="1"/>
  <c r="F415" i="1"/>
  <c r="K372" i="1"/>
  <c r="K344" i="1"/>
  <c r="Q344" i="1" s="1"/>
  <c r="Q323" i="1"/>
  <c r="U625" i="1"/>
  <c r="U624" i="1"/>
  <c r="U425" i="1"/>
  <c r="U424" i="1"/>
  <c r="G33" i="2"/>
  <c r="G34" i="2"/>
  <c r="G32" i="2"/>
  <c r="H30" i="2"/>
  <c r="F35" i="2"/>
  <c r="H31" i="2"/>
  <c r="F84" i="2" l="1"/>
  <c r="F86" i="2" s="1"/>
  <c r="F89" i="2" s="1"/>
  <c r="F434" i="1"/>
  <c r="K413" i="1"/>
  <c r="F456" i="1"/>
  <c r="F435" i="1"/>
  <c r="K414" i="1"/>
  <c r="F457" i="1"/>
  <c r="K387" i="1"/>
  <c r="Q387" i="1" s="1"/>
  <c r="Q366" i="1"/>
  <c r="L381" i="1"/>
  <c r="Q372" i="1"/>
  <c r="R381" i="1" s="1"/>
  <c r="K393" i="1"/>
  <c r="K432" i="1"/>
  <c r="Q432" i="1" s="1"/>
  <c r="Q411" i="1"/>
  <c r="F500" i="1"/>
  <c r="K453" i="1"/>
  <c r="F474" i="1"/>
  <c r="K455" i="1"/>
  <c r="F502" i="1"/>
  <c r="F476" i="1"/>
  <c r="F458" i="1"/>
  <c r="F436" i="1"/>
  <c r="K415" i="1"/>
  <c r="F475" i="1"/>
  <c r="K454" i="1"/>
  <c r="F501" i="1"/>
  <c r="K431" i="1"/>
  <c r="Q431" i="1" s="1"/>
  <c r="Q410" i="1"/>
  <c r="Q349" i="1"/>
  <c r="R358" i="1" s="1"/>
  <c r="L358" i="1"/>
  <c r="Q412" i="1"/>
  <c r="K433" i="1"/>
  <c r="Q433" i="1" s="1"/>
  <c r="K391" i="1"/>
  <c r="Q391" i="1" s="1"/>
  <c r="Q370" i="1"/>
  <c r="Q371" i="1"/>
  <c r="R380" i="1" s="1"/>
  <c r="K392" i="1"/>
  <c r="L380" i="1"/>
  <c r="F430" i="1"/>
  <c r="K409" i="1"/>
  <c r="F452" i="1"/>
  <c r="Q350" i="1"/>
  <c r="R359" i="1" s="1"/>
  <c r="L359" i="1"/>
  <c r="H34" i="2"/>
  <c r="G35" i="2"/>
  <c r="H32" i="2"/>
  <c r="H35" i="2" s="1"/>
  <c r="H33" i="2"/>
  <c r="G84" i="2" l="1"/>
  <c r="G86" i="2" s="1"/>
  <c r="G89" i="2" s="1"/>
  <c r="K475" i="1"/>
  <c r="Q475" i="1" s="1"/>
  <c r="Q454" i="1"/>
  <c r="K458" i="1"/>
  <c r="F505" i="1"/>
  <c r="F479" i="1"/>
  <c r="F473" i="1"/>
  <c r="K452" i="1"/>
  <c r="F499" i="1"/>
  <c r="L401" i="1"/>
  <c r="Q392" i="1"/>
  <c r="R401" i="1" s="1"/>
  <c r="K474" i="1"/>
  <c r="Q474" i="1" s="1"/>
  <c r="Q453" i="1"/>
  <c r="L402" i="1"/>
  <c r="Q393" i="1"/>
  <c r="R402" i="1" s="1"/>
  <c r="F477" i="1"/>
  <c r="F503" i="1"/>
  <c r="K456" i="1"/>
  <c r="K430" i="1"/>
  <c r="Q430" i="1" s="1"/>
  <c r="Q409" i="1"/>
  <c r="L424" i="1"/>
  <c r="Q415" i="1"/>
  <c r="R424" i="1" s="1"/>
  <c r="K436" i="1"/>
  <c r="F523" i="1"/>
  <c r="F547" i="1"/>
  <c r="K502" i="1"/>
  <c r="F521" i="1"/>
  <c r="F545" i="1"/>
  <c r="K500" i="1"/>
  <c r="F504" i="1"/>
  <c r="F478" i="1"/>
  <c r="K457" i="1"/>
  <c r="K434" i="1"/>
  <c r="Q434" i="1" s="1"/>
  <c r="Q413" i="1"/>
  <c r="F546" i="1"/>
  <c r="K501" i="1"/>
  <c r="F522" i="1"/>
  <c r="K476" i="1"/>
  <c r="Q476" i="1" s="1"/>
  <c r="Q455" i="1"/>
  <c r="L423" i="1"/>
  <c r="K435" i="1"/>
  <c r="Q414" i="1"/>
  <c r="R423" i="1" s="1"/>
  <c r="B21" i="2"/>
  <c r="B27" i="2" s="1"/>
  <c r="C21" i="2"/>
  <c r="C22" i="2"/>
  <c r="D21" i="2"/>
  <c r="D23" i="2"/>
  <c r="D22" i="2"/>
  <c r="E21" i="2"/>
  <c r="E22" i="2"/>
  <c r="E23" i="2"/>
  <c r="F21" i="2"/>
  <c r="E24" i="2"/>
  <c r="G21" i="2"/>
  <c r="F23" i="2"/>
  <c r="F22" i="2"/>
  <c r="F24" i="2"/>
  <c r="F25" i="2"/>
  <c r="G22" i="2"/>
  <c r="H22" i="2" s="1"/>
  <c r="G23" i="2"/>
  <c r="H23" i="2" s="1"/>
  <c r="G25" i="2"/>
  <c r="H25" i="2" s="1"/>
  <c r="G24" i="2"/>
  <c r="H24" i="2" s="1"/>
  <c r="G26" i="2"/>
  <c r="H26" i="2" s="1"/>
  <c r="D27" i="2" l="1"/>
  <c r="F567" i="1"/>
  <c r="F590" i="1"/>
  <c r="K546" i="1"/>
  <c r="L444" i="1"/>
  <c r="Q435" i="1"/>
  <c r="R444" i="1" s="1"/>
  <c r="K521" i="1"/>
  <c r="Q521" i="1" s="1"/>
  <c r="Q500" i="1"/>
  <c r="F568" i="1"/>
  <c r="F591" i="1"/>
  <c r="K547" i="1"/>
  <c r="F548" i="1"/>
  <c r="F524" i="1"/>
  <c r="K503" i="1"/>
  <c r="F544" i="1"/>
  <c r="F520" i="1"/>
  <c r="K499" i="1"/>
  <c r="F550" i="1"/>
  <c r="F526" i="1"/>
  <c r="K505" i="1"/>
  <c r="K522" i="1"/>
  <c r="Q522" i="1" s="1"/>
  <c r="Q501" i="1"/>
  <c r="K478" i="1"/>
  <c r="L466" i="1"/>
  <c r="Q457" i="1"/>
  <c r="R466" i="1" s="1"/>
  <c r="F566" i="1"/>
  <c r="F589" i="1"/>
  <c r="K545" i="1"/>
  <c r="K473" i="1"/>
  <c r="Q473" i="1" s="1"/>
  <c r="Q452" i="1"/>
  <c r="K479" i="1"/>
  <c r="Q458" i="1"/>
  <c r="R467" i="1" s="1"/>
  <c r="L467" i="1"/>
  <c r="Q436" i="1"/>
  <c r="R445" i="1" s="1"/>
  <c r="L445" i="1"/>
  <c r="F525" i="1"/>
  <c r="F549" i="1"/>
  <c r="K504" i="1"/>
  <c r="K523" i="1"/>
  <c r="Q523" i="1" s="1"/>
  <c r="Q502" i="1"/>
  <c r="Q456" i="1"/>
  <c r="K477" i="1"/>
  <c r="Q477" i="1" s="1"/>
  <c r="H21" i="2"/>
  <c r="H27" i="2" s="1"/>
  <c r="G27" i="2"/>
  <c r="E27" i="2"/>
  <c r="F27" i="2"/>
  <c r="C27" i="2"/>
  <c r="F610" i="1" l="1"/>
  <c r="K589" i="1"/>
  <c r="F565" i="1"/>
  <c r="F588" i="1"/>
  <c r="K544" i="1"/>
  <c r="K568" i="1"/>
  <c r="Q568" i="1" s="1"/>
  <c r="Q547" i="1"/>
  <c r="F611" i="1"/>
  <c r="K590" i="1"/>
  <c r="K525" i="1"/>
  <c r="Q504" i="1"/>
  <c r="R513" i="1" s="1"/>
  <c r="L513" i="1"/>
  <c r="F570" i="1"/>
  <c r="F593" i="1"/>
  <c r="K549" i="1"/>
  <c r="K520" i="1"/>
  <c r="Q520" i="1" s="1"/>
  <c r="Q499" i="1"/>
  <c r="K566" i="1"/>
  <c r="Q566" i="1" s="1"/>
  <c r="Q545" i="1"/>
  <c r="L514" i="1"/>
  <c r="Q505" i="1"/>
  <c r="R514" i="1" s="1"/>
  <c r="K526" i="1"/>
  <c r="F592" i="1"/>
  <c r="F569" i="1"/>
  <c r="K548" i="1"/>
  <c r="K567" i="1"/>
  <c r="Q567" i="1" s="1"/>
  <c r="Q546" i="1"/>
  <c r="L488" i="1"/>
  <c r="Q479" i="1"/>
  <c r="R488" i="1" s="1"/>
  <c r="L487" i="1"/>
  <c r="Q478" i="1"/>
  <c r="R487" i="1" s="1"/>
  <c r="F594" i="1"/>
  <c r="F571" i="1"/>
  <c r="K550" i="1"/>
  <c r="K524" i="1"/>
  <c r="Q524" i="1" s="1"/>
  <c r="Q503" i="1"/>
  <c r="K591" i="1"/>
  <c r="F612" i="1"/>
  <c r="Q526" i="1" l="1"/>
  <c r="R535" i="1" s="1"/>
  <c r="L535" i="1"/>
  <c r="K593" i="1"/>
  <c r="F614" i="1"/>
  <c r="L534" i="1"/>
  <c r="Q525" i="1"/>
  <c r="R534" i="1" s="1"/>
  <c r="K610" i="1"/>
  <c r="Q610" i="1" s="1"/>
  <c r="Q589" i="1"/>
  <c r="K612" i="1"/>
  <c r="Q612" i="1" s="1"/>
  <c r="Q591" i="1"/>
  <c r="K594" i="1"/>
  <c r="F615" i="1"/>
  <c r="F609" i="1"/>
  <c r="K588" i="1"/>
  <c r="F613" i="1"/>
  <c r="K592" i="1"/>
  <c r="K570" i="1"/>
  <c r="L558" i="1"/>
  <c r="Q549" i="1"/>
  <c r="R558" i="1" s="1"/>
  <c r="L559" i="1"/>
  <c r="K571" i="1"/>
  <c r="Q550" i="1"/>
  <c r="R559" i="1" s="1"/>
  <c r="K569" i="1"/>
  <c r="Q569" i="1" s="1"/>
  <c r="Q548" i="1"/>
  <c r="K611" i="1"/>
  <c r="Q611" i="1" s="1"/>
  <c r="Q590" i="1"/>
  <c r="K565" i="1"/>
  <c r="Q565" i="1" s="1"/>
  <c r="Q544" i="1"/>
  <c r="Q592" i="1" l="1"/>
  <c r="K613" i="1"/>
  <c r="Q613" i="1" s="1"/>
  <c r="K615" i="1"/>
  <c r="Q594" i="1"/>
  <c r="R603" i="1" s="1"/>
  <c r="L603" i="1"/>
  <c r="K614" i="1"/>
  <c r="L602" i="1"/>
  <c r="Q593" i="1"/>
  <c r="R602" i="1" s="1"/>
  <c r="Q588" i="1"/>
  <c r="K609" i="1"/>
  <c r="Q609" i="1" s="1"/>
  <c r="L580" i="1"/>
  <c r="Q571" i="1"/>
  <c r="R580" i="1" s="1"/>
  <c r="L579" i="1"/>
  <c r="Q570" i="1"/>
  <c r="R579" i="1" s="1"/>
  <c r="Q614" i="1" l="1"/>
  <c r="R623" i="1" s="1"/>
  <c r="L623" i="1"/>
  <c r="L624" i="1"/>
  <c r="Q615" i="1"/>
  <c r="R624" i="1" s="1"/>
</calcChain>
</file>

<file path=xl/comments1.xml><?xml version="1.0" encoding="utf-8"?>
<comments xmlns="http://schemas.openxmlformats.org/spreadsheetml/2006/main">
  <authors>
    <author>Keith Ritchie</author>
  </authors>
  <commentList>
    <comment ref="A18" authorId="0">
      <text>
        <r>
          <rPr>
            <b/>
            <sz val="9"/>
            <color indexed="81"/>
            <rFont val="Tahoma"/>
            <family val="2"/>
          </rPr>
          <t>OEB Staff:</t>
        </r>
        <r>
          <rPr>
            <sz val="9"/>
            <color indexed="81"/>
            <rFont val="Tahoma"/>
            <family val="2"/>
          </rPr>
          <t xml:space="preserve">
The distributor should enter its 2015-2020 kWh CDM target.</t>
        </r>
      </text>
    </comment>
    <comment ref="B88" authorId="0">
      <text>
        <r>
          <rPr>
            <b/>
            <sz val="9"/>
            <color indexed="81"/>
            <rFont val="Tahoma"/>
            <family val="2"/>
          </rPr>
          <t>OEB Staff:</t>
        </r>
        <r>
          <rPr>
            <sz val="9"/>
            <color indexed="81"/>
            <rFont val="Tahoma"/>
            <family val="2"/>
          </rPr>
          <t xml:space="preserve">
Enter proposed Total Loss Factor if manual adjustment is applied to base load forecast on system purchased basis, rather than as on a billed (delivered) basis.</t>
        </r>
      </text>
    </comment>
  </commentList>
</comments>
</file>

<file path=xl/sharedStrings.xml><?xml version="1.0" encoding="utf-8"?>
<sst xmlns="http://schemas.openxmlformats.org/spreadsheetml/2006/main" count="780" uniqueCount="126">
  <si>
    <t>Appendix 2-IB</t>
  </si>
  <si>
    <t>Customer, Connections, Load Forecast and Revenues Data and Analysis</t>
  </si>
  <si>
    <t>This sheet requires no inputs, but serves as a summary of the hiostorical and forecasted data to be provided with respect to:</t>
  </si>
  <si>
    <t>1)</t>
  </si>
  <si>
    <t>Customers and connections</t>
  </si>
  <si>
    <t>2)</t>
  </si>
  <si>
    <t>Consumption (kWh)</t>
  </si>
  <si>
    <t>3)</t>
  </si>
  <si>
    <t>Demand (kW or kCA) for applicable demand-billed customer classes</t>
  </si>
  <si>
    <t>4)</t>
  </si>
  <si>
    <t>Revenues</t>
  </si>
  <si>
    <t>The spreadsheet summarizes the data provided and the analyses (variance or year-over-year) that are required. Data are required to be provided on a customer class level. Consumption (kWh) must also be provided on a total distribution system level.</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</si>
  <si>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</si>
  <si>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Chaoter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</si>
  <si>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</si>
  <si>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</si>
  <si>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This sheet is to be filled in accordance with the instructions documented in section 2.3.2 of Chapter 2 of the Filing Requirements for Distribution Rate Applications, in terms of one set of tables per customer class.</t>
  </si>
  <si>
    <t>Color coding for Cells:</t>
  </si>
  <si>
    <t>Data input</t>
  </si>
  <si>
    <t>Drop-down List</t>
  </si>
  <si>
    <t>No data entry required</t>
  </si>
  <si>
    <t>Blank or calculated value</t>
  </si>
  <si>
    <t>Distribution System (Total)</t>
  </si>
  <si>
    <t>Calendar Year</t>
  </si>
  <si>
    <r>
      <t xml:space="preserve">Consumption (kWh) </t>
    </r>
    <r>
      <rPr>
        <b/>
        <vertAlign val="superscript"/>
        <sz val="10"/>
        <rFont val="Arial"/>
        <family val="2"/>
      </rPr>
      <t>(3)</t>
    </r>
  </si>
  <si>
    <t>Actual (Weather actual)</t>
  </si>
  <si>
    <t>Weather-normalized</t>
  </si>
  <si>
    <t>Historical</t>
  </si>
  <si>
    <t>Actual</t>
  </si>
  <si>
    <t>Board-approved</t>
  </si>
  <si>
    <t>Bridge Year</t>
  </si>
  <si>
    <t>Forecast</t>
  </si>
  <si>
    <t>Test Year</t>
  </si>
  <si>
    <t>Variance Analysis</t>
  </si>
  <si>
    <t>Year</t>
  </si>
  <si>
    <t>Year-over-year</t>
  </si>
  <si>
    <t>Versus Board-approved</t>
  </si>
  <si>
    <t>Geometric Mean</t>
  </si>
  <si>
    <t>Customer Class Analysis (one for each Customer Class, excluding MicroFIT and Standby)</t>
  </si>
  <si>
    <t>Customer Class:</t>
  </si>
  <si>
    <t>R1</t>
  </si>
  <si>
    <t>Is the customer class billed on consumption (kWh) or demand (kW or kVA)?</t>
  </si>
  <si>
    <t>kWh</t>
  </si>
  <si>
    <t>Customers</t>
  </si>
  <si>
    <t>Test Year Versus Board-approved</t>
  </si>
  <si>
    <t>Bridge Year (Forecast)</t>
  </si>
  <si>
    <t>Test Year (Forecast)</t>
  </si>
  <si>
    <t>R2</t>
  </si>
  <si>
    <t>Seasonal residential</t>
  </si>
  <si>
    <t>Urban residential</t>
  </si>
  <si>
    <t/>
  </si>
  <si>
    <t>Dgen</t>
  </si>
  <si>
    <t>kW</t>
  </si>
  <si>
    <t>GSd</t>
  </si>
  <si>
    <t>GSe</t>
  </si>
  <si>
    <t>ST</t>
  </si>
  <si>
    <t>UGd</t>
  </si>
  <si>
    <t>UGe</t>
  </si>
  <si>
    <t>Street Lighting</t>
  </si>
  <si>
    <t>Sentinel Lighting</t>
  </si>
  <si>
    <t>USL</t>
  </si>
  <si>
    <r>
      <rPr>
        <b/>
        <sz val="10"/>
        <rFont val="Arial"/>
        <family val="2"/>
      </rPr>
      <t>Note:</t>
    </r>
    <r>
      <rPr>
        <sz val="10"/>
        <rFont val="Arial"/>
        <family val="2"/>
      </rPr>
      <t xml:space="preserve"> If there are more than ten (10) customer classes, please contact OEB Staff to add tables for additional customer classes.</t>
    </r>
  </si>
  <si>
    <t>Appendix 2-I</t>
  </si>
  <si>
    <t>Load Forecast CDM Adjustment Work Form (2017)</t>
  </si>
  <si>
    <t>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for the 2015 year, it has been adjusted because the persistence of 2011-2014 CDM programs will be an adjustment to the load forecast in addition to the estimated savings for the first year (2015) for the new 2015-2020 CDM plan.</t>
  </si>
  <si>
    <r>
      <t>2017 is the third year of the six-year (2015-2020) Conservation First program. Final results for the 2011-14 program were issued in the fall of 2015, and the program in 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impacts of 2015 to 2017 CDM programs need to be reflected in the manual load forecast adjustment and for the LRAMVA threshold amount in 2017 and carrying forward, although the half-year impact of 2015 CDM programs on the 2015 historical data is also assumed to be reflected in the base load forecast.</t>
    </r>
    <r>
      <rPr>
        <sz val="10"/>
        <rFont val="Arial"/>
        <family val="2"/>
      </rPr>
      <t xml:space="preserve">  </t>
    </r>
  </si>
  <si>
    <t>The new six year (2015-2020) CDM program works similarly to the previous 2011-2014 CDM program, meaning that distributors will offer programs each year that, over the six years (from January 1, 2015 to December 31, 2020) will strive to cumulatively achieve savings meeting the new six year CDM target. In other words, distributors will be able to offer and execute programs on a basis so that cumulatively over the period, the measured impacts, including persistence, of the CDM programs will accumulate towards achieving each distributor's 2015-2020 CDM target.</t>
  </si>
  <si>
    <t>2015-2020 CDM Program - 2017, third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</si>
  <si>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</si>
  <si>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6 Year (2015-2020) kWh Target:</t>
  </si>
  <si>
    <t>Total</t>
  </si>
  <si>
    <t>%</t>
  </si>
  <si>
    <t>2015 CDM Programs</t>
  </si>
  <si>
    <t>2016 CDM Programs</t>
  </si>
  <si>
    <t>2017 CDM Programs</t>
  </si>
  <si>
    <t>2018 CDM Programs</t>
  </si>
  <si>
    <t>2019 CDM Programs</t>
  </si>
  <si>
    <t>2020 CDM Programs</t>
  </si>
  <si>
    <t>Total in Year</t>
  </si>
  <si>
    <t>2011 CDM Programs</t>
  </si>
  <si>
    <t>2012 CDM Programs</t>
  </si>
  <si>
    <t>2013 CDM Programs</t>
  </si>
  <si>
    <t>2014 CDM Programs</t>
  </si>
  <si>
    <r>
      <t xml:space="preserve">Note: </t>
    </r>
    <r>
      <rPr>
        <sz val="10"/>
        <rFont val="Arial"/>
        <family val="2"/>
      </rPr>
      <t>The default formulae in the above table assume that 1/21 of the 2015-2020 kWh CDM target is required each year so that, including persistence, 100% of the kWh target is achieved by the end of 2020.  The distributor can input the 2015 CDM savings, including persistence from 2016 to 2020, once the reports become available. The distributor can also input estimates or forecasts of the 2016 and 2017 CDM programs if it believes that these are more realistic;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test year. The sum of cumulative savings, including persistence, should equal the target entered into cell A25.</t>
    </r>
  </si>
  <si>
    <t>Determination of 2017 Load Forecast Adjustment</t>
  </si>
  <si>
    <t>The Board determined that the "net" number should be used in its Decision and Order with respect to Centre Wellington Hydro Ltd.'s 2013 Cost of Service rates (EB-2012-0113).  This approach has also been used in Settlement Agreements accepted by the Board in other 2013 and 2014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</si>
  <si>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2013, 2014 and 2015 CDM Final Reports, issued by the OPA/IESO for the distributor, the distributor should input the "gross" and "net" results of the cumulative CDM savings for 2014 into cells D84 to E88.  The model will calculate the cumulative savings for all programs from 2006 to 2012 and determine the "net" to "gross" factor "g".</t>
  </si>
  <si>
    <t>Net-to-Gross Conversion</t>
  </si>
  <si>
    <t>Is CDM adjustment being done on a "net" or "gross" basis?</t>
  </si>
  <si>
    <t>net</t>
  </si>
  <si>
    <t>"Gross"</t>
  </si>
  <si>
    <t>"Net"</t>
  </si>
  <si>
    <t>Difference</t>
  </si>
  <si>
    <t>"Net-to-Gross" Conversion Factor</t>
  </si>
  <si>
    <t>Persistence of Historical CDM programs to 2015</t>
  </si>
  <si>
    <t>('g')</t>
  </si>
  <si>
    <t>2006-2010 CDM programs</t>
  </si>
  <si>
    <t>2011 CDM program</t>
  </si>
  <si>
    <t>2012 CDM program</t>
  </si>
  <si>
    <t>2013 CDM program</t>
  </si>
  <si>
    <t>2014 CDM program</t>
  </si>
  <si>
    <t>2015 CDM program</t>
  </si>
  <si>
    <t>2006 to 2015 OPA CDM programs:  Persistence to 2017</t>
  </si>
  <si>
    <t>The default values below represent the factor used for how each year's CDM program is factored into the manual CDM adjustment.  Distributors can choose alternative weights of "0", "0.5" or "1" from the drop-down menu for each cell, but must support its alternatives.</t>
  </si>
  <si>
    <t>These factors do not mean that CDM programs are excluded, but the assumption that impacts of previous year CDM programs are already implicitly reflected in the actual data for historical years that are used to derive the load forecast prior to any manual CDM adjustment for the 2017 test year.</t>
  </si>
  <si>
    <t>Weight Factor for Inclusion in CDM Adjustment to 2017 Load Forecast</t>
  </si>
  <si>
    <t>Weight Factor for each year's CDM program impact on 2014 load forecast</t>
  </si>
  <si>
    <t>Distributor can select "0", "0.5", or "1" from drop-down list</t>
  </si>
  <si>
    <t xml:space="preserve">Default Value selection rationale.  </t>
  </si>
  <si>
    <t>Default is 0, but one option is for full year impact of persistence of 2015 CDM programs on 2017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</si>
  <si>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</si>
  <si>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</si>
  <si>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2018, 2019 and 2020 are future years beyond the 2017 test year. No impacts of CDM programs beyond the 2017 test year are factored into the test year load forecast.</t>
  </si>
  <si>
    <t>2015-2020 LRAMVA and 2017 CDM adjustment to Load Forecast</t>
  </si>
  <si>
    <t>One manual adjustment for CDM impacts to the 2017 load forecast is made.  There is a different but related threshold amount that is used for the 2017 LRAMVA amount for Account 1568.</t>
  </si>
  <si>
    <t>The Amount used for the CDM threshold of the LRAMVA is the kWh that will be used to determine the base amount for the LRAMVA balance for 2017, for assessing performance against the five-year target.</t>
  </si>
  <si>
    <t xml:space="preserve">If used to determine the manual CDM adjustment for the system purchased kWh, the proposed loss factor should correspond with the proposed total loss factor calculated in Appendix 2-R </t>
  </si>
  <si>
    <t xml:space="preserve">The Manual Adjustment for the 2017 Load Forecast is the amount manually subtracted from the system-wide load forecast (either based on a purchased or billed basis) derived from the base forecast from historical data. </t>
  </si>
  <si>
    <t>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</si>
  <si>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</si>
  <si>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Amount used for CDM threshold for LRAMVA (2017)</t>
  </si>
  <si>
    <t>Manual Adjustment for 2017 Load Forecast (billed basis)</t>
  </si>
  <si>
    <t>Proposed Loss Factor (TLF)</t>
  </si>
  <si>
    <t xml:space="preserve"> Format: X.XX%</t>
  </si>
  <si>
    <t>Manual Adjustment for 2017 Load Forecast (system purchased basis)</t>
  </si>
  <si>
    <t>Manual adjustment uses "gross" versus "net" (i.e. numbers multiplied by (1 + g).  The Weight factor is also used to calculate the impact of each year's program on the CDM adjustment to the 2017 load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</si>
</sst>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 #,##0_-;_-* &quot;-&quot;??_-;_-@_-"/>
    <numFmt numFmtId="165" formatCode="0.0%"/>
    <numFmt numFmtId="166" formatCode="_-&quot;$&quot;* #,##0_-;\-&quot;$&quot;* #,##0_-;_-&quot;$&quot;* &quot;-&quot;??_-;_-@_-"/>
    <numFmt numFmtId="167" formatCode="_-* #,##0.00_-;\-* #,##0.00_-;_-* &quot;-&quot;??_-;_-@_-"/>
    <numFmt numFmtId="168" formatCode="#,##0_ ;\-#,##0\ "/>
  </numFmts>
  <fonts count="28"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sz val="11"/>
      <name val="Calibri"/>
      <family val="2"/>
    </font>
    <font>
      <b/>
      <i/>
      <sz val="14"/>
      <name val="Calibri"/>
      <family val="2"/>
    </font>
    <font>
      <b/>
      <vertAlign val="superscript"/>
      <sz val="10"/>
      <name val="Arial"/>
      <family val="2"/>
    </font>
    <font>
      <i/>
      <sz val="10"/>
      <name val="Arial"/>
      <family val="2"/>
    </font>
    <font>
      <sz val="10"/>
      <color theme="0" tint="-0.34998626667073579"/>
      <name val="Arial"/>
      <family val="2"/>
    </font>
    <font>
      <sz val="10"/>
      <color theme="0"/>
      <name val="Arial"/>
      <family val="2"/>
    </font>
    <font>
      <i/>
      <sz val="10"/>
      <color theme="0"/>
      <name val="Arial"/>
      <family val="2"/>
    </font>
    <font>
      <sz val="11"/>
      <color rgb="FFFF0000"/>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color rgb="FFFF0000"/>
      <name val="Calibri"/>
      <family val="2"/>
      <scheme val="minor"/>
    </font>
    <font>
      <b/>
      <i/>
      <sz val="14"/>
      <color theme="1"/>
      <name val="Calibri"/>
      <family val="2"/>
      <scheme val="minor"/>
    </font>
    <font>
      <sz val="10"/>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13"/>
      <name val="Tahoma"/>
      <family val="2"/>
    </font>
    <font>
      <b/>
      <sz val="10"/>
      <color rgb="FFFF0000"/>
      <name val="Calibri"/>
      <family val="2"/>
      <scheme val="minor"/>
    </font>
    <font>
      <sz val="10"/>
      <color theme="1"/>
      <name val="Arial"/>
      <family val="2"/>
    </font>
  </fonts>
  <fills count="9">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theme="0"/>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op>
      <bottom/>
      <diagonal/>
    </border>
    <border>
      <left/>
      <right style="double">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theme="0"/>
      </top>
      <bottom style="thin">
        <color theme="0"/>
      </bottom>
      <diagonal/>
    </border>
    <border>
      <left style="medium">
        <color indexed="64"/>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167" fontId="1" fillId="0" borderId="0" applyFont="0" applyFill="0" applyBorder="0" applyAlignment="0" applyProtection="0"/>
    <xf numFmtId="9" fontId="1" fillId="0" borderId="0" applyFont="0" applyFill="0" applyBorder="0" applyAlignment="0" applyProtection="0"/>
  </cellStyleXfs>
  <cellXfs count="356">
    <xf numFmtId="0" fontId="0" fillId="0" borderId="0" xfId="0"/>
    <xf numFmtId="0" fontId="0" fillId="0" borderId="0" xfId="0" applyProtection="1">
      <protection locked="0"/>
    </xf>
    <xf numFmtId="0" fontId="4" fillId="0" borderId="0" xfId="4" applyFont="1" applyAlignment="1" applyProtection="1">
      <alignment horizontal="right" vertical="top"/>
      <protection locked="0"/>
    </xf>
    <xf numFmtId="0" fontId="2" fillId="3" borderId="0" xfId="0" applyFont="1" applyFill="1"/>
    <xf numFmtId="0" fontId="0" fillId="3" borderId="0" xfId="0" applyFill="1"/>
    <xf numFmtId="0" fontId="6" fillId="0" borderId="0" xfId="0" applyFont="1" applyAlignment="1">
      <alignment horizontal="left" vertical="top" wrapText="1"/>
    </xf>
    <xf numFmtId="0" fontId="6" fillId="2" borderId="0" xfId="0" applyFont="1" applyFill="1" applyAlignment="1">
      <alignment horizontal="left" vertical="top"/>
    </xf>
    <xf numFmtId="0" fontId="6" fillId="0" borderId="0" xfId="0" applyFont="1" applyFill="1" applyAlignment="1">
      <alignment horizontal="left" vertical="top"/>
    </xf>
    <xf numFmtId="0" fontId="6" fillId="4" borderId="0" xfId="0" applyFont="1" applyFill="1" applyAlignment="1">
      <alignment horizontal="left" vertical="top"/>
    </xf>
    <xf numFmtId="0" fontId="6" fillId="5" borderId="0" xfId="0" applyFont="1" applyFill="1" applyAlignment="1">
      <alignment horizontal="left" vertical="top"/>
    </xf>
    <xf numFmtId="0" fontId="6" fillId="0" borderId="1" xfId="0" applyFont="1" applyBorder="1" applyAlignment="1">
      <alignment horizontal="left" vertical="top"/>
    </xf>
    <xf numFmtId="0" fontId="7" fillId="0" borderId="0" xfId="0" applyFont="1" applyFill="1" applyAlignment="1">
      <alignment horizontal="left" vertical="top"/>
    </xf>
    <xf numFmtId="0" fontId="6" fillId="0" borderId="2" xfId="0" applyFont="1" applyBorder="1" applyAlignment="1">
      <alignment horizontal="left" vertical="top"/>
    </xf>
    <xf numFmtId="0" fontId="2" fillId="0" borderId="3" xfId="0" applyFont="1" applyBorder="1"/>
    <xf numFmtId="0" fontId="3" fillId="0" borderId="3" xfId="0" applyFont="1" applyBorder="1"/>
    <xf numFmtId="0" fontId="3" fillId="0" borderId="4" xfId="0" applyFont="1" applyBorder="1"/>
    <xf numFmtId="0" fontId="3" fillId="0" borderId="0" xfId="0" applyFont="1" applyFill="1" applyBorder="1" applyAlignment="1">
      <alignment wrapText="1"/>
    </xf>
    <xf numFmtId="0" fontId="3" fillId="0" borderId="5" xfId="0" applyFont="1" applyFill="1" applyBorder="1"/>
    <xf numFmtId="0" fontId="0" fillId="0" borderId="9" xfId="0" applyBorder="1"/>
    <xf numFmtId="0" fontId="3" fillId="0" borderId="9" xfId="0" applyFont="1" applyBorder="1" applyAlignment="1">
      <alignment horizontal="center" vertical="center" wrapText="1"/>
    </xf>
    <xf numFmtId="0" fontId="3" fillId="0" borderId="10" xfId="0" applyFont="1" applyBorder="1"/>
    <xf numFmtId="0" fontId="3" fillId="0" borderId="11" xfId="0" applyFont="1" applyFill="1" applyBorder="1"/>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xf numFmtId="0" fontId="9" fillId="0" borderId="15" xfId="0" applyFont="1" applyBorder="1" applyAlignment="1">
      <alignment horizontal="center" vertical="center"/>
    </xf>
    <xf numFmtId="0" fontId="0" fillId="0" borderId="16" xfId="0" applyBorder="1"/>
    <xf numFmtId="0" fontId="2" fillId="0" borderId="0" xfId="0" applyFont="1" applyFill="1" applyBorder="1" applyAlignment="1">
      <alignment horizontal="center" vertical="center"/>
    </xf>
    <xf numFmtId="164" fontId="2" fillId="0" borderId="0" xfId="1" applyNumberFormat="1" applyFont="1" applyFill="1" applyBorder="1" applyAlignment="1">
      <alignment horizontal="center" vertical="center"/>
    </xf>
    <xf numFmtId="0" fontId="0" fillId="0" borderId="0" xfId="0" applyFill="1" applyBorder="1"/>
    <xf numFmtId="0" fontId="0" fillId="0" borderId="17" xfId="0" applyFill="1" applyBorder="1"/>
    <xf numFmtId="0" fontId="2" fillId="4" borderId="18" xfId="0" applyFont="1" applyFill="1" applyBorder="1" applyAlignment="1">
      <alignment horizontal="center" vertical="center"/>
    </xf>
    <xf numFmtId="3" fontId="2" fillId="2" borderId="0" xfId="0" applyNumberFormat="1" applyFont="1" applyFill="1" applyBorder="1" applyAlignment="1">
      <alignment horizontal="center" vertical="center"/>
    </xf>
    <xf numFmtId="0" fontId="0" fillId="5" borderId="17" xfId="0" applyFill="1" applyBorder="1"/>
    <xf numFmtId="0" fontId="2" fillId="5" borderId="17" xfId="0" applyFont="1" applyFill="1" applyBorder="1" applyAlignment="1">
      <alignment horizontal="center" vertical="center"/>
    </xf>
    <xf numFmtId="0" fontId="2" fillId="0" borderId="0" xfId="0" applyFont="1" applyBorder="1" applyAlignment="1">
      <alignment horizontal="center" vertical="center" wrapText="1"/>
    </xf>
    <xf numFmtId="3" fontId="0" fillId="2" borderId="0" xfId="0" applyNumberFormat="1" applyFill="1" applyBorder="1"/>
    <xf numFmtId="0" fontId="3" fillId="0" borderId="9" xfId="0" applyFont="1" applyBorder="1"/>
    <xf numFmtId="0" fontId="0" fillId="0" borderId="10" xfId="0" applyBorder="1"/>
    <xf numFmtId="0" fontId="2" fillId="0" borderId="2" xfId="0" applyFont="1" applyFill="1" applyBorder="1" applyAlignment="1">
      <alignment horizontal="center" vertical="center"/>
    </xf>
    <xf numFmtId="164" fontId="2" fillId="0" borderId="2" xfId="1" applyNumberFormat="1" applyFont="1" applyFill="1" applyBorder="1" applyAlignment="1">
      <alignment horizontal="center" vertical="center"/>
    </xf>
    <xf numFmtId="0" fontId="0" fillId="0" borderId="2" xfId="0" applyFill="1" applyBorder="1"/>
    <xf numFmtId="0" fontId="0" fillId="0" borderId="11" xfId="0" applyFill="1" applyBorder="1"/>
    <xf numFmtId="3" fontId="0" fillId="2" borderId="2" xfId="0" applyNumberFormat="1" applyFill="1" applyBorder="1"/>
    <xf numFmtId="0" fontId="0" fillId="5" borderId="11" xfId="0" applyFill="1" applyBorder="1"/>
    <xf numFmtId="0" fontId="3" fillId="0" borderId="19" xfId="0" applyFont="1" applyFill="1" applyBorder="1"/>
    <xf numFmtId="0" fontId="0" fillId="0" borderId="19" xfId="0" applyBorder="1"/>
    <xf numFmtId="0" fontId="0" fillId="0" borderId="0" xfId="0" applyFill="1"/>
    <xf numFmtId="0" fontId="10" fillId="0" borderId="0" xfId="0" applyFont="1" applyFill="1"/>
    <xf numFmtId="0" fontId="0" fillId="0" borderId="20" xfId="0" applyBorder="1"/>
    <xf numFmtId="0" fontId="11" fillId="0" borderId="0" xfId="0" applyFont="1" applyFill="1"/>
    <xf numFmtId="0" fontId="3" fillId="0" borderId="4" xfId="0" applyFont="1" applyFill="1" applyBorder="1" applyAlignment="1">
      <alignment horizontal="left" vertical="top"/>
    </xf>
    <xf numFmtId="0" fontId="0" fillId="0" borderId="20" xfId="0" applyFill="1" applyBorder="1"/>
    <xf numFmtId="0" fontId="2" fillId="0" borderId="20" xfId="0" applyFont="1" applyFill="1" applyBorder="1" applyAlignment="1">
      <alignment horizontal="center" vertical="center"/>
    </xf>
    <xf numFmtId="0" fontId="2" fillId="0" borderId="20" xfId="0" applyFont="1" applyFill="1" applyBorder="1" applyAlignment="1">
      <alignment horizontal="center" vertical="center" wrapText="1"/>
    </xf>
    <xf numFmtId="0" fontId="0" fillId="0" borderId="5" xfId="0" applyFill="1" applyBorder="1"/>
    <xf numFmtId="0" fontId="3" fillId="0" borderId="21" xfId="0" applyFont="1" applyBorder="1" applyAlignment="1">
      <alignment horizontal="center" vertical="center"/>
    </xf>
    <xf numFmtId="0" fontId="3" fillId="0" borderId="19" xfId="0" applyFont="1" applyBorder="1"/>
    <xf numFmtId="0" fontId="3" fillId="0" borderId="22" xfId="0" applyFont="1" applyBorder="1" applyAlignment="1">
      <alignment horizontal="center" vertical="center" wrapText="1"/>
    </xf>
    <xf numFmtId="0" fontId="11" fillId="0" borderId="16" xfId="0" applyFont="1" applyBorder="1"/>
    <xf numFmtId="0" fontId="12" fillId="0" borderId="0" xfId="0" applyFont="1" applyBorder="1" applyAlignment="1">
      <alignment horizontal="center" vertical="center"/>
    </xf>
    <xf numFmtId="0" fontId="0" fillId="0" borderId="0" xfId="0" applyBorder="1"/>
    <xf numFmtId="0" fontId="0" fillId="0" borderId="0" xfId="0" applyFill="1" applyBorder="1" applyAlignment="1">
      <alignment horizontal="center"/>
    </xf>
    <xf numFmtId="0" fontId="0" fillId="5" borderId="0" xfId="0" applyFill="1" applyBorder="1" applyAlignment="1">
      <alignment horizontal="center" vertical="center"/>
    </xf>
    <xf numFmtId="165" fontId="0" fillId="0" borderId="0" xfId="3" applyNumberFormat="1" applyFont="1" applyFill="1" applyBorder="1" applyAlignment="1">
      <alignment horizontal="center"/>
    </xf>
    <xf numFmtId="165" fontId="0" fillId="0" borderId="0" xfId="3" applyNumberFormat="1" applyFont="1" applyBorder="1" applyAlignment="1">
      <alignment horizontal="center" vertical="center"/>
    </xf>
    <xf numFmtId="165" fontId="0" fillId="0" borderId="17" xfId="3" applyNumberFormat="1" applyFont="1" applyFill="1" applyBorder="1"/>
    <xf numFmtId="0" fontId="11" fillId="0" borderId="10" xfId="0" applyFont="1" applyBorder="1"/>
    <xf numFmtId="0" fontId="11" fillId="0" borderId="2" xfId="0" applyFont="1" applyBorder="1" applyAlignment="1">
      <alignment horizontal="center" vertical="center"/>
    </xf>
    <xf numFmtId="0" fontId="0" fillId="0" borderId="2" xfId="0" applyBorder="1"/>
    <xf numFmtId="165" fontId="0" fillId="0" borderId="2" xfId="3" applyNumberFormat="1" applyFont="1" applyFill="1" applyBorder="1" applyAlignment="1">
      <alignment horizontal="center"/>
    </xf>
    <xf numFmtId="0" fontId="0" fillId="0" borderId="2" xfId="0" applyFill="1" applyBorder="1" applyAlignment="1">
      <alignment horizontal="center"/>
    </xf>
    <xf numFmtId="0" fontId="0" fillId="0" borderId="11" xfId="0" applyBorder="1"/>
    <xf numFmtId="0" fontId="0" fillId="0" borderId="9" xfId="0" applyBorder="1" applyAlignment="1">
      <alignment horizontal="center" vertical="center" wrapText="1"/>
    </xf>
    <xf numFmtId="165" fontId="0" fillId="0" borderId="2" xfId="3" applyNumberFormat="1" applyFont="1" applyBorder="1" applyAlignment="1">
      <alignment horizontal="center" vertical="center"/>
    </xf>
    <xf numFmtId="165" fontId="0" fillId="0" borderId="11" xfId="3" applyNumberFormat="1" applyFont="1" applyFill="1" applyBorder="1"/>
    <xf numFmtId="0" fontId="7" fillId="0" borderId="0" xfId="0" applyFont="1" applyAlignment="1">
      <alignment horizontal="left" vertical="top"/>
    </xf>
    <xf numFmtId="0" fontId="3" fillId="0" borderId="0" xfId="0" applyFont="1" applyAlignment="1">
      <alignment horizontal="center" vertical="center"/>
    </xf>
    <xf numFmtId="0" fontId="3" fillId="0" borderId="0" xfId="0" applyFont="1"/>
    <xf numFmtId="0" fontId="0" fillId="0" borderId="0" xfId="0" applyFill="1" applyBorder="1" applyAlignment="1">
      <alignment horizontal="left" vertical="top"/>
    </xf>
    <xf numFmtId="0" fontId="2" fillId="0" borderId="0" xfId="0" applyFont="1"/>
    <xf numFmtId="0" fontId="0" fillId="4" borderId="21" xfId="0" applyFill="1" applyBorder="1" applyAlignment="1"/>
    <xf numFmtId="0" fontId="0" fillId="0" borderId="0" xfId="0" applyFill="1" applyBorder="1" applyAlignment="1"/>
    <xf numFmtId="0" fontId="3" fillId="0" borderId="16" xfId="0" applyFont="1" applyBorder="1"/>
    <xf numFmtId="0" fontId="3" fillId="0" borderId="17" xfId="0" applyFont="1" applyBorder="1" applyAlignment="1">
      <alignment horizontal="center"/>
    </xf>
    <xf numFmtId="0" fontId="3" fillId="0" borderId="12" xfId="0" applyFont="1" applyBorder="1"/>
    <xf numFmtId="0" fontId="3" fillId="0" borderId="2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15" xfId="0" applyBorder="1"/>
    <xf numFmtId="0" fontId="2" fillId="0" borderId="25" xfId="0" applyFont="1" applyFill="1" applyBorder="1" applyAlignment="1">
      <alignment horizontal="center" vertical="center"/>
    </xf>
    <xf numFmtId="164" fontId="2" fillId="2" borderId="0" xfId="1" applyNumberFormat="1" applyFont="1" applyFill="1" applyBorder="1" applyAlignment="1">
      <alignment horizontal="center" vertical="center"/>
    </xf>
    <xf numFmtId="0" fontId="2" fillId="0" borderId="18" xfId="0" applyFont="1" applyBorder="1" applyAlignment="1">
      <alignment horizontal="center" vertical="center"/>
    </xf>
    <xf numFmtId="0" fontId="2" fillId="2" borderId="0" xfId="0" applyFont="1" applyFill="1" applyBorder="1" applyAlignment="1">
      <alignment horizontal="center" vertical="center"/>
    </xf>
    <xf numFmtId="0" fontId="0" fillId="0" borderId="18" xfId="0" applyBorder="1" applyAlignment="1">
      <alignment horizontal="center" vertical="center"/>
    </xf>
    <xf numFmtId="0" fontId="0" fillId="0" borderId="26" xfId="0" applyBorder="1"/>
    <xf numFmtId="0" fontId="2" fillId="0" borderId="18" xfId="0" applyFont="1" applyFill="1" applyBorder="1" applyAlignment="1">
      <alignment horizontal="center" vertical="center"/>
    </xf>
    <xf numFmtId="3" fontId="2" fillId="0" borderId="17" xfId="0" applyNumberFormat="1" applyFont="1" applyFill="1" applyBorder="1"/>
    <xf numFmtId="3" fontId="0" fillId="5" borderId="17" xfId="0" applyNumberFormat="1" applyFill="1" applyBorder="1"/>
    <xf numFmtId="3" fontId="0" fillId="0" borderId="17" xfId="0" applyNumberFormat="1" applyFill="1" applyBorder="1"/>
    <xf numFmtId="0" fontId="0" fillId="2" borderId="0" xfId="0" applyFill="1" applyBorder="1"/>
    <xf numFmtId="0" fontId="0" fillId="2" borderId="0" xfId="0" applyFill="1" applyBorder="1" applyAlignment="1">
      <alignment horizontal="center" vertical="center"/>
    </xf>
    <xf numFmtId="0" fontId="9" fillId="0" borderId="9" xfId="0" applyFont="1" applyBorder="1" applyAlignment="1">
      <alignment horizontal="center" vertical="center"/>
    </xf>
    <xf numFmtId="0" fontId="2" fillId="0" borderId="27" xfId="0" applyFont="1" applyFill="1" applyBorder="1" applyAlignment="1">
      <alignment horizontal="center" vertical="center"/>
    </xf>
    <xf numFmtId="164" fontId="2" fillId="2" borderId="2" xfId="1" applyNumberFormat="1" applyFont="1" applyFill="1" applyBorder="1" applyAlignment="1">
      <alignment horizontal="center" vertical="center"/>
    </xf>
    <xf numFmtId="3" fontId="0" fillId="0" borderId="11" xfId="0" applyNumberFormat="1" applyFill="1" applyBorder="1"/>
    <xf numFmtId="0" fontId="2" fillId="0" borderId="27" xfId="0" applyFont="1" applyBorder="1" applyAlignment="1">
      <alignment horizontal="center" vertical="center"/>
    </xf>
    <xf numFmtId="0" fontId="0" fillId="2" borderId="2" xfId="0" applyFill="1" applyBorder="1"/>
    <xf numFmtId="0" fontId="0" fillId="2"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7" xfId="0" applyBorder="1" applyAlignment="1">
      <alignment horizontal="center" vertical="center"/>
    </xf>
    <xf numFmtId="0" fontId="0" fillId="0" borderId="28" xfId="0" applyBorder="1"/>
    <xf numFmtId="0" fontId="3" fillId="0" borderId="20" xfId="0" applyFont="1" applyFill="1" applyBorder="1"/>
    <xf numFmtId="0" fontId="3" fillId="0" borderId="3" xfId="0" applyFont="1" applyFill="1" applyBorder="1" applyAlignment="1">
      <alignment horizontal="left" vertical="top"/>
    </xf>
    <xf numFmtId="0" fontId="3" fillId="0" borderId="23" xfId="0" applyFont="1" applyBorder="1" applyAlignment="1">
      <alignment horizontal="center" vertical="center"/>
    </xf>
    <xf numFmtId="0" fontId="0" fillId="0" borderId="5" xfId="0" applyBorder="1"/>
    <xf numFmtId="0" fontId="0" fillId="0" borderId="3" xfId="0" applyBorder="1"/>
    <xf numFmtId="0" fontId="9" fillId="0" borderId="0" xfId="0" quotePrefix="1" applyFont="1" applyBorder="1" applyAlignment="1">
      <alignment horizontal="center" vertical="center"/>
    </xf>
    <xf numFmtId="0" fontId="0" fillId="5" borderId="0" xfId="0" applyFill="1" applyBorder="1" applyAlignment="1">
      <alignment horizontal="center"/>
    </xf>
    <xf numFmtId="0" fontId="0" fillId="5" borderId="17" xfId="0" applyFill="1" applyBorder="1" applyAlignment="1">
      <alignment horizontal="center"/>
    </xf>
    <xf numFmtId="0" fontId="0" fillId="0" borderId="17" xfId="0" applyBorder="1"/>
    <xf numFmtId="0" fontId="0" fillId="5" borderId="0" xfId="0" applyFill="1" applyBorder="1"/>
    <xf numFmtId="0" fontId="9" fillId="0" borderId="0" xfId="0" applyFont="1" applyBorder="1" applyAlignment="1">
      <alignment horizontal="center" vertical="center"/>
    </xf>
    <xf numFmtId="165" fontId="0" fillId="0" borderId="0" xfId="3" applyNumberFormat="1" applyFont="1" applyBorder="1" applyAlignment="1">
      <alignment horizontal="center"/>
    </xf>
    <xf numFmtId="165" fontId="0" fillId="0" borderId="0" xfId="3" applyNumberFormat="1" applyFont="1" applyBorder="1"/>
    <xf numFmtId="165" fontId="0" fillId="0" borderId="17" xfId="3" applyNumberFormat="1" applyFont="1" applyFill="1" applyBorder="1" applyAlignment="1">
      <alignment horizontal="center"/>
    </xf>
    <xf numFmtId="0" fontId="0" fillId="0" borderId="10" xfId="0" applyBorder="1" applyAlignment="1">
      <alignment horizontal="center" vertical="center" wrapText="1"/>
    </xf>
    <xf numFmtId="165" fontId="0" fillId="0" borderId="2" xfId="3" applyNumberFormat="1" applyFont="1" applyBorder="1" applyAlignment="1">
      <alignment horizontal="center"/>
    </xf>
    <xf numFmtId="165" fontId="0" fillId="0" borderId="11" xfId="3" applyNumberFormat="1" applyFont="1" applyFill="1" applyBorder="1" applyAlignment="1">
      <alignment horizontal="center" vertical="center"/>
    </xf>
    <xf numFmtId="165" fontId="0" fillId="0" borderId="2" xfId="3" applyNumberFormat="1" applyFont="1" applyBorder="1"/>
    <xf numFmtId="0" fontId="3" fillId="0" borderId="27" xfId="0" applyFont="1" applyBorder="1"/>
    <xf numFmtId="0" fontId="3" fillId="0" borderId="11" xfId="0" applyFont="1" applyBorder="1" applyAlignment="1">
      <alignment horizontal="center" vertical="center" wrapText="1"/>
    </xf>
    <xf numFmtId="166" fontId="2" fillId="2" borderId="0" xfId="2" applyNumberFormat="1" applyFont="1" applyFill="1" applyBorder="1" applyAlignment="1">
      <alignment horizontal="center" vertical="center"/>
    </xf>
    <xf numFmtId="0" fontId="0" fillId="5" borderId="5" xfId="0" applyFill="1" applyBorder="1"/>
    <xf numFmtId="44" fontId="2" fillId="5" borderId="17" xfId="2" applyFont="1" applyFill="1" applyBorder="1" applyAlignment="1">
      <alignment horizontal="center" vertical="center"/>
    </xf>
    <xf numFmtId="166" fontId="0" fillId="5" borderId="17" xfId="2" applyNumberFormat="1" applyFont="1" applyFill="1" applyBorder="1"/>
    <xf numFmtId="0" fontId="0" fillId="2" borderId="0" xfId="0" applyFill="1" applyBorder="1" applyAlignment="1">
      <alignment horizontal="center"/>
    </xf>
    <xf numFmtId="166" fontId="2" fillId="2" borderId="2" xfId="2" applyNumberFormat="1" applyFont="1" applyFill="1" applyBorder="1" applyAlignment="1">
      <alignment horizontal="center" vertical="center"/>
    </xf>
    <xf numFmtId="0" fontId="0" fillId="2" borderId="2" xfId="0" applyFill="1" applyBorder="1" applyAlignment="1">
      <alignment horizontal="center"/>
    </xf>
    <xf numFmtId="0" fontId="0" fillId="0" borderId="10" xfId="0"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9" fillId="0" borderId="4" xfId="0" applyFont="1" applyBorder="1" applyAlignment="1">
      <alignment horizontal="center" vertical="center"/>
    </xf>
    <xf numFmtId="0" fontId="0" fillId="5" borderId="17" xfId="0" applyFill="1" applyBorder="1" applyAlignment="1">
      <alignment horizontal="center" vertical="center"/>
    </xf>
    <xf numFmtId="0" fontId="9" fillId="0" borderId="16" xfId="0" applyFont="1" applyBorder="1" applyAlignment="1">
      <alignment horizontal="center" vertical="center"/>
    </xf>
    <xf numFmtId="165" fontId="0" fillId="0" borderId="17" xfId="3" applyNumberFormat="1" applyFont="1" applyFill="1" applyBorder="1" applyAlignment="1">
      <alignment horizontal="center" vertical="center"/>
    </xf>
    <xf numFmtId="0" fontId="2" fillId="0" borderId="29" xfId="0" applyFont="1" applyFill="1" applyBorder="1" applyAlignment="1">
      <alignment horizontal="center" vertical="center"/>
    </xf>
    <xf numFmtId="0" fontId="2" fillId="0" borderId="0" xfId="4" applyProtection="1">
      <protection locked="0"/>
    </xf>
    <xf numFmtId="0" fontId="4" fillId="0" borderId="30" xfId="4" applyFont="1" applyFill="1" applyBorder="1" applyAlignment="1" applyProtection="1">
      <alignment horizontal="right" vertical="top"/>
      <protection locked="0"/>
    </xf>
    <xf numFmtId="0" fontId="1" fillId="0" borderId="0" xfId="5" applyProtection="1">
      <protection locked="0"/>
    </xf>
    <xf numFmtId="0" fontId="4" fillId="0" borderId="0" xfId="4" applyFont="1" applyFill="1" applyAlignment="1" applyProtection="1">
      <alignment horizontal="right" vertical="top"/>
      <protection locked="0"/>
    </xf>
    <xf numFmtId="0" fontId="2" fillId="0" borderId="0" xfId="4" applyAlignment="1" applyProtection="1">
      <alignment horizontal="left"/>
      <protection locked="0"/>
    </xf>
    <xf numFmtId="0" fontId="1" fillId="0" borderId="0" xfId="5" applyFont="1" applyAlignment="1" applyProtection="1">
      <alignment horizontal="left" vertical="top" wrapText="1"/>
      <protection locked="0"/>
    </xf>
    <xf numFmtId="0" fontId="1" fillId="0" borderId="0" xfId="5" applyAlignment="1" applyProtection="1">
      <alignment wrapText="1"/>
      <protection locked="0"/>
    </xf>
    <xf numFmtId="0" fontId="14" fillId="0" borderId="0" xfId="5" applyFont="1" applyBorder="1" applyProtection="1">
      <protection locked="0"/>
    </xf>
    <xf numFmtId="167" fontId="14" fillId="0" borderId="0" xfId="6" applyNumberFormat="1" applyFont="1" applyBorder="1" applyProtection="1">
      <protection locked="0"/>
    </xf>
    <xf numFmtId="0" fontId="14" fillId="5" borderId="16" xfId="5" applyFont="1" applyFill="1" applyBorder="1" applyAlignment="1" applyProtection="1">
      <alignment horizontal="right"/>
      <protection locked="0"/>
    </xf>
    <xf numFmtId="0" fontId="14" fillId="5" borderId="0" xfId="5" applyFont="1" applyFill="1" applyBorder="1" applyAlignment="1" applyProtection="1">
      <alignment horizontal="right"/>
      <protection locked="0"/>
    </xf>
    <xf numFmtId="0" fontId="14" fillId="5" borderId="17" xfId="5" applyFont="1" applyFill="1" applyBorder="1" applyAlignment="1" applyProtection="1">
      <alignment horizontal="right"/>
      <protection locked="0"/>
    </xf>
    <xf numFmtId="0" fontId="1" fillId="0" borderId="16" xfId="5" applyFont="1" applyBorder="1" applyProtection="1">
      <protection locked="0"/>
    </xf>
    <xf numFmtId="10" fontId="16" fillId="0" borderId="0" xfId="7" applyNumberFormat="1" applyFont="1" applyBorder="1" applyProtection="1">
      <protection locked="0"/>
    </xf>
    <xf numFmtId="10" fontId="16" fillId="0" borderId="31" xfId="7" applyNumberFormat="1" applyFont="1" applyBorder="1" applyProtection="1">
      <protection locked="0"/>
    </xf>
    <xf numFmtId="10" fontId="16" fillId="0" borderId="17" xfId="7" applyNumberFormat="1" applyFont="1" applyBorder="1" applyProtection="1">
      <protection locked="0"/>
    </xf>
    <xf numFmtId="0" fontId="1" fillId="8" borderId="0" xfId="5" applyFont="1" applyFill="1" applyBorder="1" applyProtection="1">
      <protection locked="0"/>
    </xf>
    <xf numFmtId="10" fontId="16" fillId="8" borderId="0" xfId="7" applyNumberFormat="1" applyFont="1" applyFill="1" applyBorder="1" applyProtection="1">
      <protection locked="0"/>
    </xf>
    <xf numFmtId="0" fontId="1" fillId="0" borderId="32" xfId="5" applyFont="1" applyBorder="1" applyProtection="1">
      <protection locked="0"/>
    </xf>
    <xf numFmtId="0" fontId="1" fillId="8" borderId="33" xfId="5" applyFont="1" applyFill="1" applyBorder="1" applyProtection="1">
      <protection locked="0"/>
    </xf>
    <xf numFmtId="10" fontId="16" fillId="0" borderId="34" xfId="7" applyNumberFormat="1" applyFont="1" applyBorder="1" applyProtection="1">
      <protection locked="0"/>
    </xf>
    <xf numFmtId="0" fontId="14" fillId="0" borderId="36" xfId="5" applyFont="1" applyBorder="1" applyProtection="1">
      <protection locked="0"/>
    </xf>
    <xf numFmtId="10" fontId="14" fillId="0" borderId="37" xfId="5" applyNumberFormat="1" applyFont="1" applyBorder="1" applyProtection="1">
      <protection locked="0"/>
    </xf>
    <xf numFmtId="10" fontId="14" fillId="0" borderId="38" xfId="5" applyNumberFormat="1" applyFont="1" applyBorder="1" applyProtection="1">
      <protection locked="0"/>
    </xf>
    <xf numFmtId="10" fontId="14" fillId="0" borderId="39" xfId="5" applyNumberFormat="1" applyFont="1" applyBorder="1" applyProtection="1">
      <protection locked="0"/>
    </xf>
    <xf numFmtId="167" fontId="16" fillId="2" borderId="0" xfId="6" applyNumberFormat="1" applyFont="1" applyFill="1" applyBorder="1" applyProtection="1">
      <protection locked="0"/>
    </xf>
    <xf numFmtId="167" fontId="16" fillId="2" borderId="31" xfId="7" applyNumberFormat="1" applyFont="1" applyFill="1" applyBorder="1" applyProtection="1">
      <protection locked="0"/>
    </xf>
    <xf numFmtId="167" fontId="16" fillId="0" borderId="17" xfId="6" applyNumberFormat="1" applyFont="1" applyBorder="1" applyProtection="1">
      <protection locked="0"/>
    </xf>
    <xf numFmtId="167" fontId="16" fillId="8" borderId="0" xfId="6" applyNumberFormat="1" applyFont="1" applyFill="1" applyBorder="1" applyProtection="1">
      <protection locked="0"/>
    </xf>
    <xf numFmtId="167" fontId="16" fillId="2" borderId="43" xfId="6" applyNumberFormat="1" applyFont="1" applyFill="1" applyBorder="1" applyProtection="1">
      <protection locked="0"/>
    </xf>
    <xf numFmtId="167" fontId="16" fillId="2" borderId="0" xfId="7" applyNumberFormat="1" applyFont="1" applyFill="1" applyBorder="1" applyProtection="1">
      <protection locked="0"/>
    </xf>
    <xf numFmtId="9" fontId="0" fillId="3" borderId="0" xfId="7" applyFont="1" applyFill="1" applyProtection="1">
      <protection locked="0"/>
    </xf>
    <xf numFmtId="9" fontId="1" fillId="3" borderId="0" xfId="5" applyNumberFormat="1" applyFill="1" applyProtection="1">
      <protection locked="0"/>
    </xf>
    <xf numFmtId="9" fontId="1" fillId="0" borderId="0" xfId="5" applyNumberFormat="1" applyProtection="1">
      <protection locked="0"/>
    </xf>
    <xf numFmtId="167" fontId="16" fillId="2" borderId="31" xfId="6" applyNumberFormat="1" applyFont="1" applyFill="1" applyBorder="1" applyProtection="1">
      <protection locked="0"/>
    </xf>
    <xf numFmtId="167" fontId="16" fillId="8" borderId="33" xfId="6" applyNumberFormat="1" applyFont="1" applyFill="1" applyBorder="1" applyProtection="1">
      <protection locked="0"/>
    </xf>
    <xf numFmtId="167" fontId="16" fillId="2" borderId="34" xfId="6" applyNumberFormat="1" applyFont="1" applyFill="1" applyBorder="1" applyProtection="1">
      <protection locked="0"/>
    </xf>
    <xf numFmtId="167" fontId="16" fillId="0" borderId="35" xfId="6" applyNumberFormat="1" applyFont="1" applyBorder="1" applyProtection="1">
      <protection locked="0"/>
    </xf>
    <xf numFmtId="0" fontId="14" fillId="0" borderId="10" xfId="5" applyFont="1" applyBorder="1" applyProtection="1">
      <protection locked="0"/>
    </xf>
    <xf numFmtId="167" fontId="14" fillId="0" borderId="2" xfId="6" applyNumberFormat="1" applyFont="1" applyBorder="1" applyProtection="1">
      <protection locked="0"/>
    </xf>
    <xf numFmtId="167" fontId="14" fillId="0" borderId="44" xfId="6" applyNumberFormat="1" applyFont="1" applyBorder="1" applyProtection="1">
      <protection locked="0"/>
    </xf>
    <xf numFmtId="167" fontId="17" fillId="0" borderId="11" xfId="6" applyNumberFormat="1" applyFont="1" applyBorder="1" applyProtection="1">
      <protection locked="0"/>
    </xf>
    <xf numFmtId="0" fontId="1" fillId="0" borderId="0" xfId="5" applyFont="1" applyBorder="1" applyAlignment="1" applyProtection="1">
      <alignment vertical="top" wrapText="1"/>
      <protection locked="0"/>
    </xf>
    <xf numFmtId="0" fontId="1" fillId="0" borderId="0" xfId="5" applyFont="1" applyAlignment="1" applyProtection="1">
      <alignment vertical="top" wrapText="1"/>
      <protection locked="0"/>
    </xf>
    <xf numFmtId="0" fontId="14" fillId="7" borderId="16" xfId="5" applyFont="1" applyFill="1" applyBorder="1" applyAlignment="1" applyProtection="1">
      <alignment horizontal="center"/>
      <protection locked="0"/>
    </xf>
    <xf numFmtId="0" fontId="14" fillId="7" borderId="0" xfId="5" applyFont="1" applyFill="1" applyBorder="1" applyAlignment="1" applyProtection="1">
      <alignment horizontal="center"/>
      <protection locked="0"/>
    </xf>
    <xf numFmtId="0" fontId="14" fillId="7" borderId="17" xfId="5" applyFont="1" applyFill="1" applyBorder="1" applyAlignment="1" applyProtection="1">
      <alignment horizontal="center"/>
      <protection locked="0"/>
    </xf>
    <xf numFmtId="0" fontId="14" fillId="4" borderId="17" xfId="5" applyFont="1" applyFill="1" applyBorder="1" applyAlignment="1" applyProtection="1">
      <alignment horizontal="center"/>
      <protection locked="0"/>
    </xf>
    <xf numFmtId="0" fontId="14" fillId="7" borderId="45" xfId="5" applyFont="1" applyFill="1" applyBorder="1" applyAlignment="1" applyProtection="1">
      <alignment horizontal="center"/>
      <protection locked="0"/>
    </xf>
    <xf numFmtId="0" fontId="14" fillId="7" borderId="46" xfId="5" applyFont="1" applyFill="1" applyBorder="1" applyAlignment="1" applyProtection="1">
      <alignment horizontal="center"/>
      <protection locked="0"/>
    </xf>
    <xf numFmtId="0" fontId="14" fillId="7" borderId="47" xfId="5" applyFont="1" applyFill="1" applyBorder="1" applyAlignment="1" applyProtection="1">
      <alignment horizontal="center"/>
      <protection locked="0"/>
    </xf>
    <xf numFmtId="0" fontId="1" fillId="7" borderId="16" xfId="5" applyFont="1" applyFill="1" applyBorder="1" applyAlignment="1" applyProtection="1">
      <alignment vertical="top"/>
      <protection locked="0"/>
    </xf>
    <xf numFmtId="0" fontId="1" fillId="7" borderId="0" xfId="5" applyFont="1" applyFill="1" applyBorder="1" applyAlignment="1" applyProtection="1">
      <alignment vertical="top"/>
      <protection locked="0"/>
    </xf>
    <xf numFmtId="0" fontId="14" fillId="7" borderId="17" xfId="5" applyFont="1" applyFill="1" applyBorder="1" applyAlignment="1" applyProtection="1">
      <alignment horizontal="center" wrapText="1"/>
      <protection locked="0"/>
    </xf>
    <xf numFmtId="0" fontId="14" fillId="7" borderId="46" xfId="5" applyFont="1" applyFill="1" applyBorder="1" applyAlignment="1" applyProtection="1">
      <alignment horizontal="center" vertical="center"/>
      <protection locked="0"/>
    </xf>
    <xf numFmtId="0" fontId="14" fillId="7" borderId="47" xfId="5" applyFont="1" applyFill="1" applyBorder="1" applyAlignment="1" applyProtection="1">
      <alignment horizontal="center" vertical="center" wrapText="1"/>
      <protection locked="0"/>
    </xf>
    <xf numFmtId="0" fontId="1" fillId="0" borderId="16" xfId="5" applyFont="1" applyFill="1" applyBorder="1" applyAlignment="1" applyProtection="1">
      <alignment vertical="top"/>
      <protection locked="0"/>
    </xf>
    <xf numFmtId="0" fontId="1" fillId="0" borderId="0" xfId="5" applyFont="1" applyFill="1" applyBorder="1" applyAlignment="1" applyProtection="1">
      <alignment vertical="top"/>
      <protection locked="0"/>
    </xf>
    <xf numFmtId="0" fontId="14" fillId="0" borderId="17" xfId="5" applyFont="1" applyFill="1" applyBorder="1" applyAlignment="1" applyProtection="1">
      <alignment horizontal="center" vertical="top" wrapText="1"/>
      <protection locked="0"/>
    </xf>
    <xf numFmtId="0" fontId="0" fillId="0" borderId="32" xfId="5" applyFont="1" applyFill="1" applyBorder="1" applyAlignment="1" applyProtection="1">
      <alignment vertical="top"/>
      <protection locked="0"/>
    </xf>
    <xf numFmtId="0" fontId="1" fillId="0" borderId="33" xfId="5" applyFont="1" applyFill="1" applyBorder="1" applyAlignment="1" applyProtection="1">
      <alignment vertical="top"/>
      <protection locked="0"/>
    </xf>
    <xf numFmtId="0" fontId="14" fillId="0" borderId="35" xfId="5" applyFont="1" applyFill="1" applyBorder="1" applyAlignment="1" applyProtection="1">
      <alignment horizontal="center" vertical="top" wrapText="1"/>
      <protection locked="0"/>
    </xf>
    <xf numFmtId="0" fontId="1" fillId="0" borderId="2" xfId="5" applyFont="1" applyFill="1" applyBorder="1" applyProtection="1">
      <protection locked="0"/>
    </xf>
    <xf numFmtId="0" fontId="1" fillId="0" borderId="2" xfId="5" applyFont="1" applyBorder="1" applyProtection="1">
      <protection locked="0"/>
    </xf>
    <xf numFmtId="10" fontId="19" fillId="0" borderId="11" xfId="7" applyNumberFormat="1" applyFont="1" applyBorder="1" applyProtection="1">
      <protection locked="0"/>
    </xf>
    <xf numFmtId="0" fontId="14" fillId="0" borderId="0" xfId="5" applyFont="1" applyBorder="1" applyAlignment="1" applyProtection="1">
      <alignment vertical="top" wrapText="1"/>
      <protection locked="0"/>
    </xf>
    <xf numFmtId="0" fontId="1" fillId="0" borderId="0" xfId="5" applyFont="1" applyFill="1" applyBorder="1" applyProtection="1">
      <protection locked="0"/>
    </xf>
    <xf numFmtId="0" fontId="1" fillId="0" borderId="0" xfId="5" applyFont="1" applyBorder="1" applyProtection="1">
      <protection locked="0"/>
    </xf>
    <xf numFmtId="10" fontId="19" fillId="0" borderId="0" xfId="7" applyNumberFormat="1" applyFont="1" applyBorder="1" applyProtection="1">
      <protection locked="0"/>
    </xf>
    <xf numFmtId="0" fontId="1" fillId="0" borderId="0" xfId="5" applyFont="1" applyBorder="1" applyAlignment="1" applyProtection="1">
      <alignment horizontal="left" vertical="top" wrapText="1"/>
      <protection locked="0"/>
    </xf>
    <xf numFmtId="0" fontId="14" fillId="0" borderId="0" xfId="5" applyFont="1" applyFill="1" applyBorder="1" applyAlignment="1" applyProtection="1">
      <alignment vertical="top" wrapText="1"/>
      <protection locked="0"/>
    </xf>
    <xf numFmtId="0" fontId="1" fillId="0" borderId="0" xfId="5" applyBorder="1" applyProtection="1">
      <protection locked="0"/>
    </xf>
    <xf numFmtId="0" fontId="14" fillId="0" borderId="4" xfId="5" applyFont="1" applyBorder="1" applyAlignment="1" applyProtection="1">
      <alignment vertical="top" wrapText="1"/>
      <protection locked="0"/>
    </xf>
    <xf numFmtId="0" fontId="14" fillId="0" borderId="20" xfId="5" applyFont="1" applyFill="1" applyBorder="1" applyAlignment="1" applyProtection="1">
      <alignment horizontal="center" vertical="center" wrapText="1"/>
      <protection locked="0"/>
    </xf>
    <xf numFmtId="0" fontId="20" fillId="0" borderId="20" xfId="1" applyNumberFormat="1" applyFont="1" applyBorder="1" applyAlignment="1" applyProtection="1">
      <alignment horizontal="center" vertical="center"/>
      <protection locked="0"/>
    </xf>
    <xf numFmtId="0" fontId="1" fillId="0" borderId="5" xfId="5" applyBorder="1" applyProtection="1">
      <protection locked="0"/>
    </xf>
    <xf numFmtId="0" fontId="14" fillId="0" borderId="16" xfId="5" applyFont="1" applyBorder="1" applyAlignment="1" applyProtection="1">
      <alignment horizontal="left" vertical="center" wrapText="1"/>
      <protection locked="0"/>
    </xf>
    <xf numFmtId="0" fontId="14" fillId="4" borderId="1" xfId="5" applyFont="1" applyFill="1" applyBorder="1" applyAlignment="1" applyProtection="1">
      <alignment horizontal="center" vertical="center" wrapText="1"/>
      <protection locked="0"/>
    </xf>
    <xf numFmtId="0" fontId="14" fillId="0" borderId="1" xfId="5" applyFont="1" applyFill="1" applyBorder="1" applyAlignment="1" applyProtection="1">
      <alignment horizontal="center" vertical="center" wrapText="1"/>
      <protection locked="0"/>
    </xf>
    <xf numFmtId="10" fontId="19" fillId="0" borderId="17" xfId="7" applyNumberFormat="1" applyFont="1" applyBorder="1" applyAlignment="1" applyProtection="1">
      <alignment horizontal="center" vertical="center" wrapText="1"/>
      <protection locked="0"/>
    </xf>
    <xf numFmtId="0" fontId="21" fillId="0" borderId="10" xfId="5" applyFont="1" applyBorder="1" applyAlignment="1" applyProtection="1">
      <alignment horizontal="left" vertical="top" wrapText="1"/>
      <protection locked="0"/>
    </xf>
    <xf numFmtId="0" fontId="22" fillId="6" borderId="2" xfId="5" applyFont="1" applyFill="1" applyBorder="1" applyAlignment="1" applyProtection="1">
      <alignment vertical="top" wrapText="1"/>
      <protection locked="0"/>
    </xf>
    <xf numFmtId="0" fontId="22" fillId="0" borderId="2" xfId="5" applyFont="1" applyBorder="1" applyAlignment="1" applyProtection="1">
      <alignment vertical="top" wrapText="1"/>
      <protection locked="0"/>
    </xf>
    <xf numFmtId="0" fontId="21" fillId="0" borderId="0" xfId="5" applyFont="1" applyBorder="1" applyAlignment="1" applyProtection="1">
      <alignment horizontal="left" vertical="top" wrapText="1"/>
      <protection locked="0"/>
    </xf>
    <xf numFmtId="0" fontId="22" fillId="0" borderId="0" xfId="5" applyFont="1" applyBorder="1" applyAlignment="1" applyProtection="1">
      <alignment vertical="top" wrapText="1"/>
      <protection locked="0"/>
    </xf>
    <xf numFmtId="0" fontId="18" fillId="0" borderId="0" xfId="5" applyFont="1" applyBorder="1" applyAlignment="1" applyProtection="1">
      <alignment horizontal="center" vertical="top" wrapText="1"/>
      <protection locked="0"/>
    </xf>
    <xf numFmtId="0" fontId="1" fillId="0" borderId="0" xfId="5" applyFont="1" applyProtection="1">
      <protection locked="0"/>
    </xf>
    <xf numFmtId="0" fontId="1" fillId="0" borderId="25" xfId="5" applyFont="1" applyBorder="1" applyProtection="1">
      <protection locked="0"/>
    </xf>
    <xf numFmtId="0" fontId="14" fillId="7" borderId="20" xfId="5" applyFont="1" applyFill="1" applyBorder="1" applyAlignment="1" applyProtection="1">
      <alignment horizontal="center" vertical="center"/>
      <protection locked="0"/>
    </xf>
    <xf numFmtId="0" fontId="14" fillId="7" borderId="20" xfId="5" applyFont="1" applyFill="1" applyBorder="1" applyAlignment="1" applyProtection="1">
      <alignment horizontal="center"/>
      <protection locked="0"/>
    </xf>
    <xf numFmtId="0" fontId="14" fillId="7" borderId="7" xfId="5" applyFont="1" applyFill="1" applyBorder="1" applyAlignment="1" applyProtection="1">
      <alignment horizontal="center"/>
      <protection locked="0"/>
    </xf>
    <xf numFmtId="0" fontId="14" fillId="7" borderId="5" xfId="5" applyFont="1" applyFill="1" applyBorder="1" applyAlignment="1" applyProtection="1">
      <alignment horizontal="center" vertical="center"/>
      <protection locked="0"/>
    </xf>
    <xf numFmtId="0" fontId="1" fillId="5" borderId="40" xfId="5" applyFont="1" applyFill="1" applyBorder="1" applyAlignment="1" applyProtection="1">
      <alignment wrapText="1"/>
      <protection locked="0"/>
    </xf>
    <xf numFmtId="167" fontId="1" fillId="5" borderId="41" xfId="5" applyNumberFormat="1" applyFont="1" applyFill="1" applyBorder="1" applyAlignment="1" applyProtection="1">
      <alignment horizontal="center" vertical="center"/>
      <protection locked="0"/>
    </xf>
    <xf numFmtId="167" fontId="1" fillId="5" borderId="42" xfId="5" applyNumberFormat="1" applyFont="1" applyFill="1" applyBorder="1" applyAlignment="1" applyProtection="1">
      <alignment horizontal="center" vertical="center"/>
      <protection locked="0"/>
    </xf>
    <xf numFmtId="0" fontId="0" fillId="0" borderId="49" xfId="5" applyFont="1" applyBorder="1" applyAlignment="1" applyProtection="1">
      <alignment wrapText="1"/>
      <protection locked="0"/>
    </xf>
    <xf numFmtId="167" fontId="1" fillId="0" borderId="50" xfId="5" applyNumberFormat="1" applyFont="1" applyBorder="1" applyAlignment="1" applyProtection="1">
      <alignment horizontal="center" vertical="center"/>
      <protection locked="0"/>
    </xf>
    <xf numFmtId="167" fontId="1" fillId="0" borderId="52" xfId="5" applyNumberFormat="1" applyFont="1" applyBorder="1" applyAlignment="1" applyProtection="1">
      <alignment horizontal="center" vertical="center"/>
      <protection locked="0"/>
    </xf>
    <xf numFmtId="0" fontId="1" fillId="5" borderId="32" xfId="5" applyFont="1" applyFill="1" applyBorder="1" applyAlignment="1" applyProtection="1">
      <alignment wrapText="1"/>
      <protection locked="0"/>
    </xf>
    <xf numFmtId="167" fontId="1" fillId="5" borderId="53" xfId="5" applyNumberFormat="1" applyFont="1" applyFill="1" applyBorder="1" applyAlignment="1" applyProtection="1">
      <alignment horizontal="center" vertical="center"/>
      <protection locked="0"/>
    </xf>
    <xf numFmtId="167" fontId="1" fillId="5" borderId="0" xfId="5" applyNumberFormat="1" applyFont="1" applyFill="1" applyBorder="1" applyAlignment="1" applyProtection="1">
      <alignment horizontal="center" vertical="center"/>
      <protection locked="0"/>
    </xf>
    <xf numFmtId="167" fontId="1" fillId="5" borderId="54" xfId="5" applyNumberFormat="1" applyFont="1" applyFill="1" applyBorder="1" applyAlignment="1" applyProtection="1">
      <alignment horizontal="center" vertical="center"/>
      <protection locked="0"/>
    </xf>
    <xf numFmtId="0" fontId="0" fillId="6" borderId="55" xfId="5" applyFont="1" applyFill="1" applyBorder="1" applyAlignment="1" applyProtection="1">
      <alignment wrapText="1"/>
      <protection locked="0"/>
    </xf>
    <xf numFmtId="167" fontId="19" fillId="0" borderId="56" xfId="6" applyNumberFormat="1" applyFont="1" applyBorder="1" applyAlignment="1" applyProtection="1">
      <alignment horizontal="center" vertical="center"/>
      <protection locked="0"/>
    </xf>
    <xf numFmtId="167" fontId="19" fillId="6" borderId="57" xfId="6" applyNumberFormat="1" applyFont="1" applyFill="1" applyBorder="1" applyAlignment="1" applyProtection="1">
      <alignment horizontal="center" vertical="center"/>
      <protection locked="0"/>
    </xf>
    <xf numFmtId="167" fontId="19" fillId="5" borderId="41" xfId="6" applyNumberFormat="1" applyFont="1" applyFill="1" applyBorder="1" applyAlignment="1" applyProtection="1">
      <alignment horizontal="center" vertical="center"/>
      <protection locked="0"/>
    </xf>
    <xf numFmtId="167" fontId="19" fillId="5" borderId="46" xfId="6" applyNumberFormat="1" applyFont="1" applyFill="1" applyBorder="1" applyAlignment="1" applyProtection="1">
      <alignment horizontal="center" vertical="center"/>
      <protection locked="0"/>
    </xf>
    <xf numFmtId="167" fontId="19" fillId="5" borderId="42" xfId="6" applyNumberFormat="1" applyFont="1" applyFill="1" applyBorder="1" applyAlignment="1" applyProtection="1">
      <alignment horizontal="center" vertical="center"/>
      <protection locked="0"/>
    </xf>
    <xf numFmtId="0" fontId="1" fillId="0" borderId="18" xfId="5" applyFont="1" applyBorder="1" applyAlignment="1" applyProtection="1">
      <alignment vertical="center" wrapText="1"/>
      <protection locked="0"/>
    </xf>
    <xf numFmtId="167" fontId="19" fillId="0" borderId="0" xfId="6" applyNumberFormat="1" applyFont="1" applyBorder="1" applyAlignment="1" applyProtection="1">
      <alignment horizontal="center" vertical="center"/>
      <protection locked="0"/>
    </xf>
    <xf numFmtId="167" fontId="13" fillId="0" borderId="0" xfId="6" applyNumberFormat="1" applyFont="1" applyBorder="1" applyAlignment="1" applyProtection="1">
      <alignment horizontal="center" vertical="center"/>
      <protection locked="0"/>
    </xf>
    <xf numFmtId="167" fontId="19" fillId="0" borderId="51" xfId="6" applyNumberFormat="1" applyFont="1" applyBorder="1" applyAlignment="1" applyProtection="1">
      <alignment horizontal="center" vertical="center"/>
      <protection locked="0"/>
    </xf>
    <xf numFmtId="167" fontId="19" fillId="0" borderId="17" xfId="6" applyNumberFormat="1" applyFont="1" applyBorder="1" applyAlignment="1" applyProtection="1">
      <alignment horizontal="center" vertical="center"/>
      <protection locked="0"/>
    </xf>
    <xf numFmtId="0" fontId="0" fillId="6" borderId="27" xfId="5" applyFont="1" applyFill="1" applyBorder="1" applyAlignment="1" applyProtection="1">
      <alignment wrapText="1"/>
      <protection locked="0"/>
    </xf>
    <xf numFmtId="167" fontId="19" fillId="0" borderId="2" xfId="6" applyNumberFormat="1" applyFont="1" applyBorder="1" applyAlignment="1" applyProtection="1">
      <alignment horizontal="center" vertical="center"/>
      <protection locked="0"/>
    </xf>
    <xf numFmtId="167" fontId="19" fillId="6" borderId="58" xfId="6" applyNumberFormat="1" applyFont="1" applyFill="1" applyBorder="1" applyAlignment="1" applyProtection="1">
      <alignment horizontal="center" vertical="center"/>
      <protection locked="0"/>
    </xf>
    <xf numFmtId="0" fontId="1" fillId="0" borderId="0" xfId="5" applyFont="1" applyBorder="1" applyAlignment="1" applyProtection="1">
      <alignment wrapText="1"/>
      <protection locked="0"/>
    </xf>
    <xf numFmtId="0" fontId="1" fillId="0" borderId="16" xfId="5" applyBorder="1" applyProtection="1">
      <protection locked="0"/>
    </xf>
    <xf numFmtId="0" fontId="14" fillId="0" borderId="0" xfId="5" applyFont="1" applyProtection="1">
      <protection locked="0"/>
    </xf>
    <xf numFmtId="0" fontId="6" fillId="0" borderId="0" xfId="0" applyFont="1" applyAlignment="1">
      <alignment horizontal="left" vertical="top"/>
    </xf>
    <xf numFmtId="0" fontId="3" fillId="0" borderId="2" xfId="0" applyFont="1" applyFill="1" applyBorder="1" applyAlignment="1">
      <alignment horizontal="center"/>
    </xf>
    <xf numFmtId="0" fontId="3" fillId="0" borderId="19" xfId="0" applyFont="1" applyBorder="1" applyAlignment="1">
      <alignment horizontal="center" vertical="center"/>
    </xf>
    <xf numFmtId="0" fontId="1" fillId="6" borderId="0" xfId="5" applyFill="1" applyBorder="1" applyProtection="1">
      <protection locked="0"/>
    </xf>
    <xf numFmtId="3" fontId="25" fillId="6" borderId="0" xfId="0" applyNumberFormat="1" applyFont="1" applyFill="1" applyBorder="1" applyAlignment="1">
      <alignment vertical="top"/>
    </xf>
    <xf numFmtId="3" fontId="14" fillId="2" borderId="48" xfId="5" applyNumberFormat="1" applyFont="1" applyFill="1" applyBorder="1" applyAlignment="1" applyProtection="1">
      <alignment vertical="top"/>
      <protection locked="0"/>
    </xf>
    <xf numFmtId="3" fontId="14" fillId="2" borderId="0" xfId="5" applyNumberFormat="1" applyFont="1" applyFill="1" applyBorder="1" applyAlignment="1" applyProtection="1">
      <alignment vertical="top"/>
      <protection locked="0"/>
    </xf>
    <xf numFmtId="3" fontId="14" fillId="2" borderId="33" xfId="5" applyNumberFormat="1" applyFont="1" applyFill="1" applyBorder="1" applyAlignment="1" applyProtection="1">
      <alignment vertical="top"/>
      <protection locked="0"/>
    </xf>
    <xf numFmtId="10" fontId="26" fillId="2" borderId="0" xfId="7" applyNumberFormat="1" applyFont="1" applyFill="1" applyBorder="1" applyAlignment="1" applyProtection="1">
      <alignment horizontal="center" vertical="center"/>
      <protection locked="0"/>
    </xf>
    <xf numFmtId="3" fontId="27" fillId="2" borderId="0" xfId="0" applyNumberFormat="1" applyFont="1" applyFill="1" applyBorder="1" applyAlignment="1">
      <alignment horizontal="center" vertical="center"/>
    </xf>
    <xf numFmtId="3" fontId="27" fillId="2" borderId="2" xfId="0" applyNumberFormat="1" applyFont="1" applyFill="1" applyBorder="1" applyAlignment="1">
      <alignment horizontal="center" vertical="center"/>
    </xf>
    <xf numFmtId="0" fontId="3" fillId="0" borderId="0" xfId="4" applyFont="1" applyFill="1" applyProtection="1">
      <protection locked="0"/>
    </xf>
    <xf numFmtId="0" fontId="4" fillId="0" borderId="0" xfId="4" applyFont="1" applyFill="1" applyAlignment="1" applyProtection="1">
      <alignment vertical="top"/>
      <protection locked="0"/>
    </xf>
    <xf numFmtId="0" fontId="4" fillId="0" borderId="0" xfId="4" applyFont="1" applyFill="1" applyBorder="1" applyAlignment="1" applyProtection="1">
      <alignment horizontal="right" vertical="top"/>
      <protection locked="0"/>
    </xf>
    <xf numFmtId="0" fontId="4" fillId="0" borderId="0" xfId="4" applyFont="1" applyFill="1" applyBorder="1" applyAlignment="1" applyProtection="1">
      <alignment vertical="top"/>
      <protection locked="0"/>
    </xf>
    <xf numFmtId="15" fontId="4" fillId="0" borderId="0" xfId="4" applyNumberFormat="1" applyFont="1" applyFill="1" applyAlignment="1" applyProtection="1">
      <alignment vertical="top"/>
      <protection locked="0"/>
    </xf>
    <xf numFmtId="0" fontId="3" fillId="0" borderId="0" xfId="4" applyFont="1" applyFill="1" applyAlignment="1" applyProtection="1">
      <alignment horizontal="left"/>
      <protection locked="0"/>
    </xf>
    <xf numFmtId="15" fontId="4" fillId="0" borderId="0" xfId="4" applyNumberFormat="1" applyFont="1" applyFill="1" applyAlignment="1" applyProtection="1">
      <alignment horizontal="right" vertical="top"/>
      <protection locked="0"/>
    </xf>
    <xf numFmtId="165" fontId="0" fillId="0" borderId="11" xfId="3" applyNumberFormat="1" applyFont="1" applyFill="1"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9" xfId="0" applyBorder="1"/>
    <xf numFmtId="0" fontId="1" fillId="0" borderId="59" xfId="5" applyBorder="1" applyProtection="1">
      <protection locked="0"/>
    </xf>
    <xf numFmtId="0" fontId="1" fillId="0" borderId="20" xfId="5" applyBorder="1" applyProtection="1">
      <protection locked="0"/>
    </xf>
    <xf numFmtId="0" fontId="1" fillId="0" borderId="26" xfId="5" applyBorder="1" applyProtection="1">
      <protection locked="0"/>
    </xf>
    <xf numFmtId="0" fontId="1" fillId="0" borderId="28" xfId="5" applyBorder="1" applyProtection="1">
      <protection locked="0"/>
    </xf>
    <xf numFmtId="0" fontId="1" fillId="0" borderId="2" xfId="5" applyBorder="1" applyProtection="1">
      <protection locked="0"/>
    </xf>
    <xf numFmtId="0" fontId="1" fillId="0" borderId="17" xfId="5" applyBorder="1" applyProtection="1">
      <protection locked="0"/>
    </xf>
    <xf numFmtId="0" fontId="1" fillId="0" borderId="11" xfId="5" applyBorder="1" applyProtection="1">
      <protection locked="0"/>
    </xf>
    <xf numFmtId="0" fontId="3" fillId="0" borderId="4" xfId="0" applyFont="1" applyFill="1" applyBorder="1" applyAlignment="1">
      <alignment horizontal="center" wrapText="1"/>
    </xf>
    <xf numFmtId="0" fontId="3" fillId="0" borderId="20" xfId="0" applyFont="1" applyFill="1" applyBorder="1" applyAlignment="1">
      <alignment horizontal="center" wrapText="1"/>
    </xf>
    <xf numFmtId="0" fontId="3" fillId="0" borderId="5" xfId="0" applyFont="1" applyFill="1" applyBorder="1" applyAlignment="1">
      <alignment horizontal="center"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3" fillId="0" borderId="19" xfId="0" applyFont="1" applyBorder="1" applyAlignment="1">
      <alignment horizontal="center" vertical="center"/>
    </xf>
    <xf numFmtId="0" fontId="2" fillId="2" borderId="23" xfId="0" applyFont="1" applyFill="1" applyBorder="1" applyAlignment="1">
      <alignment horizontal="left" vertical="top"/>
    </xf>
    <xf numFmtId="0" fontId="0" fillId="2" borderId="19" xfId="0" applyFill="1" applyBorder="1" applyAlignment="1">
      <alignment horizontal="left" vertical="top"/>
    </xf>
    <xf numFmtId="0" fontId="0" fillId="2" borderId="22" xfId="0" applyFill="1" applyBorder="1" applyAlignment="1">
      <alignment horizontal="left" vertical="top"/>
    </xf>
    <xf numFmtId="0" fontId="3" fillId="4" borderId="4" xfId="0" applyFont="1" applyFill="1" applyBorder="1" applyAlignment="1">
      <alignment horizontal="center" wrapText="1"/>
    </xf>
    <xf numFmtId="0" fontId="3" fillId="4" borderId="20" xfId="0" applyFont="1" applyFill="1" applyBorder="1" applyAlignment="1">
      <alignment horizontal="center" wrapText="1"/>
    </xf>
    <xf numFmtId="0" fontId="3" fillId="4" borderId="5" xfId="0" applyFont="1" applyFill="1" applyBorder="1" applyAlignment="1">
      <alignment horizontal="center" wrapText="1"/>
    </xf>
    <xf numFmtId="0" fontId="3" fillId="0" borderId="11" xfId="0" applyFont="1" applyBorder="1" applyAlignment="1">
      <alignment horizontal="center"/>
    </xf>
    <xf numFmtId="0" fontId="6" fillId="3" borderId="0" xfId="0" applyFont="1" applyFill="1" applyAlignment="1">
      <alignment horizontal="left" vertical="top" wrapText="1"/>
    </xf>
    <xf numFmtId="0" fontId="6" fillId="0" borderId="0" xfId="0" applyFont="1" applyAlignment="1">
      <alignment horizontal="left" vertical="top"/>
    </xf>
    <xf numFmtId="0" fontId="3" fillId="0" borderId="2" xfId="0" applyFont="1" applyFill="1" applyBorder="1" applyAlignment="1">
      <alignment horizontal="center"/>
    </xf>
    <xf numFmtId="0" fontId="5" fillId="0" borderId="0" xfId="4" applyFont="1" applyAlignment="1" applyProtection="1">
      <alignment horizontal="center"/>
      <protection locked="0"/>
    </xf>
    <xf numFmtId="0" fontId="5" fillId="0" borderId="0" xfId="4" applyFont="1" applyAlignment="1" applyProtection="1">
      <alignment horizontal="center" vertical="top" wrapText="1"/>
      <protection locked="0"/>
    </xf>
    <xf numFmtId="0" fontId="2" fillId="3" borderId="0" xfId="0" applyFont="1" applyFill="1" applyAlignment="1">
      <alignment horizontal="left" vertical="top" wrapText="1"/>
    </xf>
    <xf numFmtId="0" fontId="22" fillId="0" borderId="0" xfId="5" applyFont="1" applyBorder="1" applyAlignment="1" applyProtection="1">
      <alignment horizontal="left" vertical="top" wrapText="1"/>
      <protection locked="0"/>
    </xf>
    <xf numFmtId="0" fontId="1" fillId="0" borderId="0" xfId="5" applyFont="1" applyAlignment="1" applyProtection="1">
      <alignment horizontal="left" vertical="top" wrapText="1"/>
      <protection locked="0"/>
    </xf>
    <xf numFmtId="0" fontId="16" fillId="0" borderId="0" xfId="5" applyFont="1" applyAlignment="1" applyProtection="1">
      <alignment horizontal="left" vertical="top" wrapText="1"/>
      <protection locked="0"/>
    </xf>
    <xf numFmtId="0" fontId="18" fillId="0" borderId="0" xfId="5" applyFont="1" applyBorder="1" applyAlignment="1" applyProtection="1">
      <alignment horizontal="center" vertical="top" wrapText="1"/>
      <protection locked="0"/>
    </xf>
    <xf numFmtId="0" fontId="18" fillId="0" borderId="0" xfId="5" applyFont="1" applyBorder="1" applyAlignment="1" applyProtection="1">
      <alignment horizontal="center"/>
      <protection locked="0"/>
    </xf>
    <xf numFmtId="0" fontId="2" fillId="0" borderId="0" xfId="5" applyFont="1" applyBorder="1" applyAlignment="1" applyProtection="1">
      <alignment horizontal="left" vertical="top" wrapText="1"/>
      <protection locked="0"/>
    </xf>
    <xf numFmtId="0" fontId="1" fillId="0" borderId="0" xfId="5" applyFont="1" applyBorder="1" applyAlignment="1" applyProtection="1">
      <alignment horizontal="left" vertical="top" wrapText="1"/>
      <protection locked="0"/>
    </xf>
    <xf numFmtId="0" fontId="0" fillId="0" borderId="0" xfId="5" applyFont="1" applyBorder="1" applyAlignment="1" applyProtection="1">
      <alignment horizontal="left" vertical="top" wrapText="1"/>
      <protection locked="0"/>
    </xf>
    <xf numFmtId="0" fontId="14" fillId="7" borderId="4" xfId="5" applyFont="1" applyFill="1" applyBorder="1" applyAlignment="1" applyProtection="1">
      <alignment horizontal="center"/>
      <protection locked="0"/>
    </xf>
    <xf numFmtId="0" fontId="14" fillId="7" borderId="20" xfId="5" applyFont="1" applyFill="1" applyBorder="1" applyAlignment="1" applyProtection="1">
      <alignment horizontal="center"/>
      <protection locked="0"/>
    </xf>
    <xf numFmtId="0" fontId="14" fillId="7" borderId="5" xfId="5" applyFont="1" applyFill="1" applyBorder="1" applyAlignment="1" applyProtection="1">
      <alignment horizontal="center"/>
      <protection locked="0"/>
    </xf>
    <xf numFmtId="0" fontId="14" fillId="7" borderId="16" xfId="5" applyFont="1" applyFill="1" applyBorder="1" applyAlignment="1" applyProtection="1">
      <alignment horizontal="left" vertical="center"/>
      <protection locked="0"/>
    </xf>
    <xf numFmtId="0" fontId="14" fillId="7" borderId="0" xfId="5" applyFont="1" applyFill="1" applyBorder="1" applyAlignment="1" applyProtection="1">
      <alignment horizontal="left" vertical="center"/>
      <protection locked="0"/>
    </xf>
    <xf numFmtId="0" fontId="0" fillId="7" borderId="45" xfId="5" applyFont="1" applyFill="1" applyBorder="1" applyAlignment="1" applyProtection="1">
      <alignment vertical="top" wrapText="1"/>
      <protection locked="0"/>
    </xf>
    <xf numFmtId="0" fontId="1" fillId="7" borderId="46" xfId="5" applyFont="1" applyFill="1" applyBorder="1" applyAlignment="1" applyProtection="1">
      <alignment vertical="top" wrapText="1"/>
      <protection locked="0"/>
    </xf>
    <xf numFmtId="0" fontId="14" fillId="0" borderId="10" xfId="5" applyFont="1" applyBorder="1" applyAlignment="1" applyProtection="1">
      <alignment vertical="top" wrapText="1"/>
      <protection locked="0"/>
    </xf>
    <xf numFmtId="0" fontId="14" fillId="0" borderId="2" xfId="5" applyFont="1" applyBorder="1" applyAlignment="1" applyProtection="1">
      <alignment vertical="top" wrapText="1"/>
      <protection locked="0"/>
    </xf>
    <xf numFmtId="0" fontId="14" fillId="0" borderId="0" xfId="5" applyFont="1" applyBorder="1" applyAlignment="1" applyProtection="1">
      <alignment horizontal="center" vertical="top" wrapText="1"/>
      <protection locked="0"/>
    </xf>
    <xf numFmtId="0" fontId="22" fillId="6" borderId="13" xfId="5" applyFont="1" applyFill="1" applyBorder="1" applyAlignment="1" applyProtection="1">
      <alignment horizontal="left" vertical="top" wrapText="1"/>
      <protection locked="0"/>
    </xf>
    <xf numFmtId="0" fontId="14" fillId="0" borderId="0" xfId="5" applyFont="1" applyBorder="1" applyAlignment="1" applyProtection="1">
      <alignment horizontal="left" vertical="top" wrapText="1"/>
      <protection locked="0"/>
    </xf>
    <xf numFmtId="0" fontId="2" fillId="0" borderId="0" xfId="5" applyFont="1" applyAlignment="1" applyProtection="1">
      <alignment horizontal="left" vertical="top" wrapText="1"/>
      <protection locked="0"/>
    </xf>
    <xf numFmtId="0" fontId="15" fillId="0" borderId="0" xfId="5" applyFont="1" applyAlignment="1" applyProtection="1">
      <alignment horizontal="center" vertical="top"/>
      <protection locked="0"/>
    </xf>
    <xf numFmtId="0" fontId="14" fillId="5" borderId="4" xfId="5" applyFont="1" applyFill="1" applyBorder="1" applyAlignment="1" applyProtection="1">
      <alignment horizontal="center" vertical="top"/>
      <protection locked="0"/>
    </xf>
    <xf numFmtId="0" fontId="14" fillId="5" borderId="20" xfId="5" applyFont="1" applyFill="1" applyBorder="1" applyAlignment="1" applyProtection="1">
      <alignment horizontal="center" vertical="top"/>
      <protection locked="0"/>
    </xf>
    <xf numFmtId="0" fontId="14" fillId="5" borderId="5" xfId="5" applyFont="1" applyFill="1" applyBorder="1" applyAlignment="1" applyProtection="1">
      <alignment horizontal="center" vertical="top"/>
      <protection locked="0"/>
    </xf>
    <xf numFmtId="168" fontId="16" fillId="2" borderId="16" xfId="6" applyNumberFormat="1" applyFont="1" applyFill="1" applyBorder="1" applyAlignment="1" applyProtection="1">
      <alignment horizontal="center" vertical="top"/>
      <protection locked="0"/>
    </xf>
    <xf numFmtId="168" fontId="16" fillId="2" borderId="0" xfId="6" applyNumberFormat="1" applyFont="1" applyFill="1" applyBorder="1" applyAlignment="1" applyProtection="1">
      <alignment horizontal="center" vertical="top"/>
      <protection locked="0"/>
    </xf>
    <xf numFmtId="168" fontId="16" fillId="2" borderId="17" xfId="6" applyNumberFormat="1" applyFont="1" applyFill="1" applyBorder="1" applyAlignment="1" applyProtection="1">
      <alignment horizontal="center" vertical="top"/>
      <protection locked="0"/>
    </xf>
    <xf numFmtId="0" fontId="14" fillId="7" borderId="16" xfId="5" applyFont="1" applyFill="1" applyBorder="1" applyAlignment="1" applyProtection="1">
      <alignment horizontal="center" vertical="top"/>
      <protection locked="0"/>
    </xf>
    <xf numFmtId="0" fontId="14" fillId="7" borderId="0" xfId="5" applyFont="1" applyFill="1" applyBorder="1" applyAlignment="1" applyProtection="1">
      <alignment horizontal="center" vertical="top"/>
      <protection locked="0"/>
    </xf>
    <xf numFmtId="0" fontId="14" fillId="7" borderId="17" xfId="5" applyFont="1" applyFill="1" applyBorder="1" applyAlignment="1" applyProtection="1">
      <alignment horizontal="center" vertical="top"/>
      <protection locked="0"/>
    </xf>
    <xf numFmtId="0" fontId="14" fillId="7" borderId="40" xfId="5" applyFont="1" applyFill="1" applyBorder="1" applyAlignment="1" applyProtection="1">
      <alignment horizontal="center" vertical="center"/>
      <protection locked="0"/>
    </xf>
    <xf numFmtId="0" fontId="14" fillId="7" borderId="41" xfId="5" applyFont="1" applyFill="1" applyBorder="1" applyAlignment="1" applyProtection="1">
      <alignment horizontal="center" vertical="center"/>
      <protection locked="0"/>
    </xf>
    <xf numFmtId="0" fontId="14" fillId="7" borderId="42" xfId="5" applyFont="1" applyFill="1" applyBorder="1" applyAlignment="1" applyProtection="1">
      <alignment horizontal="center" vertical="center"/>
      <protection locked="0"/>
    </xf>
  </cellXfs>
  <cellStyles count="8">
    <cellStyle name="Comma" xfId="1" builtinId="3"/>
    <cellStyle name="Comma 3 2" xfId="6"/>
    <cellStyle name="Currency" xfId="2" builtinId="4"/>
    <cellStyle name="Normal" xfId="0" builtinId="0"/>
    <cellStyle name="Normal 2" xfId="4"/>
    <cellStyle name="Normal 5 2" xfId="5"/>
    <cellStyle name="Percent" xfId="3" builtinId="5"/>
    <cellStyle name="Percent 3 2" xfId="7"/>
  </cellStyles>
  <dxfs count="467">
    <dxf>
      <font>
        <color theme="1"/>
      </font>
    </dxf>
    <dxf>
      <font>
        <color theme="0"/>
      </font>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oad%20Forecast%20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efreshError="1">
        <row r="24">
          <cell r="E24">
            <v>2017</v>
          </cell>
        </row>
        <row r="28">
          <cell r="E28">
            <v>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W836"/>
  <sheetViews>
    <sheetView tabSelected="1" view="pageLayout" topLeftCell="I583" zoomScaleNormal="85" zoomScaleSheetLayoutView="90" workbookViewId="0">
      <selection activeCell="V588" sqref="V588"/>
    </sheetView>
  </sheetViews>
  <sheetFormatPr defaultRowHeight="15" x14ac:dyDescent="0.25"/>
  <cols>
    <col min="1" max="1" width="1.7109375" customWidth="1"/>
    <col min="2" max="2" width="3.7109375" customWidth="1"/>
    <col min="3" max="3" width="17.5703125" customWidth="1"/>
    <col min="4" max="4" width="14.7109375" customWidth="1"/>
    <col min="5" max="5" width="2.28515625" customWidth="1"/>
    <col min="6" max="6" width="9.7109375" customWidth="1"/>
    <col min="7" max="8" width="14.7109375" customWidth="1"/>
    <col min="9" max="9" width="14.42578125" customWidth="1"/>
    <col min="10" max="10" width="2.7109375" customWidth="1"/>
    <col min="11" max="11" width="12" customWidth="1"/>
    <col min="12" max="13" width="13.7109375" customWidth="1"/>
    <col min="14" max="14" width="14.5703125" customWidth="1"/>
    <col min="15" max="15" width="15.42578125" customWidth="1"/>
    <col min="16" max="16" width="2.28515625" customWidth="1"/>
    <col min="17" max="17" width="12.7109375" customWidth="1"/>
    <col min="18" max="18" width="10.5703125" customWidth="1"/>
    <col min="19" max="19" width="11.42578125" customWidth="1"/>
    <col min="20" max="20" width="14" customWidth="1"/>
    <col min="21" max="21" width="13.7109375" customWidth="1"/>
    <col min="22" max="22" width="3.28515625" customWidth="1"/>
  </cols>
  <sheetData>
    <row r="1" spans="2:22" ht="14.45" customHeight="1" x14ac:dyDescent="0.3">
      <c r="B1" s="1"/>
      <c r="C1" s="1"/>
      <c r="D1" s="1"/>
      <c r="E1" s="1"/>
      <c r="F1" s="1"/>
      <c r="G1" s="1"/>
      <c r="H1" s="1"/>
      <c r="I1" s="1"/>
      <c r="J1" s="1"/>
      <c r="K1" s="1"/>
      <c r="L1" s="1"/>
      <c r="M1" s="1"/>
      <c r="N1" s="1"/>
      <c r="O1" s="1"/>
      <c r="P1" s="1"/>
      <c r="Q1" s="1"/>
      <c r="R1" s="1"/>
      <c r="S1" s="1"/>
      <c r="T1" s="279"/>
      <c r="U1" s="280"/>
    </row>
    <row r="2" spans="2:22" ht="14.45" customHeight="1" x14ac:dyDescent="0.3">
      <c r="B2" s="1"/>
      <c r="C2" s="1"/>
      <c r="D2" s="1"/>
      <c r="E2" s="1"/>
      <c r="F2" s="1"/>
      <c r="G2" s="1"/>
      <c r="H2" s="1"/>
      <c r="I2" s="1"/>
      <c r="J2" s="1"/>
      <c r="K2" s="1"/>
      <c r="L2" s="1"/>
      <c r="M2" s="1"/>
      <c r="N2" s="1"/>
      <c r="O2" s="1"/>
      <c r="P2" s="1"/>
      <c r="Q2" s="1"/>
      <c r="R2" s="1"/>
      <c r="S2" s="1"/>
      <c r="T2" s="279"/>
      <c r="U2" s="281"/>
    </row>
    <row r="3" spans="2:22" ht="14.45" customHeight="1" x14ac:dyDescent="0.3">
      <c r="B3" s="1"/>
      <c r="C3" s="1"/>
      <c r="D3" s="1"/>
      <c r="E3" s="1"/>
      <c r="F3" s="1"/>
      <c r="G3" s="1"/>
      <c r="H3" s="1"/>
      <c r="I3" s="1"/>
      <c r="J3" s="1"/>
      <c r="K3" s="1"/>
      <c r="L3" s="1"/>
      <c r="M3" s="1"/>
      <c r="N3" s="1"/>
      <c r="O3" s="1"/>
      <c r="P3" s="1"/>
      <c r="Q3" s="1"/>
      <c r="R3" s="1"/>
      <c r="S3" s="1"/>
      <c r="T3" s="279"/>
      <c r="U3" s="282"/>
    </row>
    <row r="4" spans="2:22" ht="14.45" customHeight="1" x14ac:dyDescent="0.3">
      <c r="B4" s="1"/>
      <c r="C4" s="1"/>
      <c r="D4" s="1"/>
      <c r="E4" s="1"/>
      <c r="F4" s="1"/>
      <c r="G4" s="1"/>
      <c r="H4" s="1"/>
      <c r="I4" s="1"/>
      <c r="J4" s="1"/>
      <c r="K4" s="1"/>
      <c r="L4" s="1"/>
      <c r="M4" s="1"/>
      <c r="N4" s="1"/>
      <c r="O4" s="1"/>
      <c r="P4" s="1"/>
      <c r="Q4" s="1"/>
      <c r="R4" s="1"/>
      <c r="S4" s="1"/>
      <c r="T4" s="279"/>
      <c r="U4" s="282"/>
    </row>
    <row r="5" spans="2:22" ht="14.45" customHeight="1" x14ac:dyDescent="0.3">
      <c r="B5" s="1"/>
      <c r="C5" s="1"/>
      <c r="D5" s="1"/>
      <c r="E5" s="1"/>
      <c r="F5" s="1"/>
      <c r="G5" s="1"/>
      <c r="H5" s="1"/>
      <c r="I5" s="1"/>
      <c r="J5" s="1"/>
      <c r="K5" s="1"/>
      <c r="L5" s="1"/>
      <c r="M5" s="1"/>
      <c r="N5" s="1"/>
      <c r="O5" s="1"/>
      <c r="P5" s="1"/>
      <c r="Q5" s="1"/>
      <c r="R5" s="1"/>
      <c r="S5" s="1"/>
      <c r="T5" s="279"/>
      <c r="U5" s="282"/>
    </row>
    <row r="6" spans="2:22" ht="14.45" customHeight="1" x14ac:dyDescent="0.3">
      <c r="B6" s="1"/>
      <c r="C6" s="1"/>
      <c r="D6" s="1"/>
      <c r="E6" s="1"/>
      <c r="F6" s="1"/>
      <c r="G6" s="1"/>
      <c r="H6" s="1"/>
      <c r="I6" s="1"/>
      <c r="J6" s="1"/>
      <c r="K6" s="1"/>
      <c r="L6" s="1"/>
      <c r="M6" s="1"/>
      <c r="N6" s="1"/>
      <c r="O6" s="1"/>
      <c r="P6" s="1"/>
      <c r="Q6" s="1"/>
      <c r="R6" s="1"/>
      <c r="S6" s="1"/>
      <c r="T6" s="279"/>
      <c r="U6" s="280"/>
    </row>
    <row r="7" spans="2:22" ht="14.45" customHeight="1" x14ac:dyDescent="0.3">
      <c r="B7" s="1"/>
      <c r="C7" s="1"/>
      <c r="D7" s="1"/>
      <c r="E7" s="1"/>
      <c r="F7" s="1"/>
      <c r="G7" s="1"/>
      <c r="H7" s="1"/>
      <c r="I7" s="1"/>
      <c r="J7" s="1"/>
      <c r="K7" s="1"/>
      <c r="L7" s="1"/>
      <c r="M7" s="1"/>
      <c r="N7" s="1"/>
      <c r="O7" s="1"/>
      <c r="P7" s="1"/>
      <c r="Q7" s="1"/>
      <c r="R7" s="1"/>
      <c r="S7" s="1"/>
      <c r="T7" s="279"/>
      <c r="U7" s="279"/>
    </row>
    <row r="8" spans="2:22" ht="14.45" customHeight="1" x14ac:dyDescent="0.3">
      <c r="B8" s="1"/>
      <c r="C8" s="1"/>
      <c r="D8" s="1"/>
      <c r="E8" s="1"/>
      <c r="F8" s="1"/>
      <c r="G8" s="1"/>
      <c r="H8" s="1"/>
      <c r="I8" s="1"/>
      <c r="J8" s="1"/>
      <c r="K8" s="1"/>
      <c r="L8" s="1"/>
      <c r="M8" s="1"/>
      <c r="N8" s="1"/>
      <c r="O8" s="1"/>
      <c r="P8" s="1"/>
      <c r="Q8" s="1"/>
      <c r="R8" s="1"/>
      <c r="S8" s="1"/>
      <c r="T8" s="279"/>
      <c r="U8" s="152"/>
    </row>
    <row r="9" spans="2:22" ht="14.45" customHeight="1" x14ac:dyDescent="0.35">
      <c r="B9" s="1"/>
      <c r="C9" s="1"/>
      <c r="D9" s="1"/>
      <c r="E9" s="1"/>
      <c r="F9" s="1"/>
      <c r="G9" s="1"/>
      <c r="H9" s="1"/>
      <c r="I9" s="1"/>
      <c r="J9" s="1"/>
      <c r="K9" s="1"/>
      <c r="L9" s="1"/>
      <c r="M9" s="1"/>
      <c r="N9" s="1"/>
      <c r="O9" s="1"/>
      <c r="P9" s="1"/>
      <c r="Q9" s="1"/>
      <c r="R9" s="1"/>
      <c r="S9" s="1"/>
      <c r="T9" s="279"/>
      <c r="U9" s="283"/>
    </row>
    <row r="10" spans="2:22" ht="14.45" customHeight="1" x14ac:dyDescent="0.35">
      <c r="B10" s="1"/>
      <c r="C10" s="1"/>
      <c r="D10" s="1"/>
      <c r="E10" s="1"/>
      <c r="F10" s="1"/>
      <c r="G10" s="1"/>
      <c r="H10" s="1"/>
      <c r="I10" s="1"/>
      <c r="J10" s="1"/>
      <c r="K10" s="1"/>
      <c r="L10" s="1"/>
      <c r="M10" s="1"/>
    </row>
    <row r="11" spans="2:22" ht="17.45" customHeight="1" x14ac:dyDescent="0.4">
      <c r="B11" s="319" t="s">
        <v>0</v>
      </c>
      <c r="C11" s="319"/>
      <c r="D11" s="319"/>
      <c r="E11" s="319"/>
      <c r="F11" s="319"/>
      <c r="G11" s="319"/>
      <c r="H11" s="319"/>
      <c r="I11" s="319"/>
      <c r="J11" s="319"/>
      <c r="K11" s="319"/>
      <c r="L11" s="319"/>
      <c r="M11" s="319"/>
      <c r="N11" s="319"/>
      <c r="O11" s="319"/>
      <c r="P11" s="319"/>
      <c r="Q11" s="319"/>
      <c r="R11" s="319"/>
      <c r="S11" s="319"/>
      <c r="T11" s="319"/>
      <c r="U11" s="319"/>
      <c r="V11" s="319"/>
    </row>
    <row r="12" spans="2:22" ht="17.45" customHeight="1" x14ac:dyDescent="0.35">
      <c r="B12" s="320" t="s">
        <v>1</v>
      </c>
      <c r="C12" s="320"/>
      <c r="D12" s="320"/>
      <c r="E12" s="320"/>
      <c r="F12" s="320"/>
      <c r="G12" s="320"/>
      <c r="H12" s="320"/>
      <c r="I12" s="320"/>
      <c r="J12" s="320"/>
      <c r="K12" s="320"/>
      <c r="L12" s="320"/>
      <c r="M12" s="320"/>
      <c r="N12" s="320"/>
      <c r="O12" s="320"/>
      <c r="P12" s="320"/>
      <c r="Q12" s="320"/>
      <c r="R12" s="320"/>
      <c r="S12" s="320"/>
      <c r="T12" s="320"/>
      <c r="U12" s="320"/>
      <c r="V12" s="320"/>
    </row>
    <row r="14" spans="2:22" ht="14.45" hidden="1" customHeight="1" x14ac:dyDescent="0.35">
      <c r="B14" s="3" t="s">
        <v>2</v>
      </c>
      <c r="C14" s="4"/>
      <c r="D14" s="4"/>
      <c r="E14" s="4"/>
      <c r="F14" s="4"/>
      <c r="G14" s="4"/>
      <c r="H14" s="4"/>
      <c r="I14" s="4"/>
      <c r="J14" s="4"/>
      <c r="K14" s="4"/>
      <c r="L14" s="4"/>
      <c r="M14" s="4"/>
      <c r="N14" s="4"/>
      <c r="O14" s="4"/>
      <c r="P14" s="4"/>
      <c r="Q14" s="4"/>
      <c r="R14" s="4"/>
      <c r="S14" s="4"/>
      <c r="T14" s="4"/>
      <c r="U14" s="4"/>
      <c r="V14" s="4"/>
    </row>
    <row r="15" spans="2:22" ht="14.45" hidden="1" customHeight="1" x14ac:dyDescent="0.35">
      <c r="B15" s="4"/>
      <c r="C15" s="4"/>
      <c r="D15" s="4"/>
      <c r="E15" s="4"/>
      <c r="F15" s="4"/>
      <c r="G15" s="4"/>
      <c r="H15" s="4"/>
      <c r="I15" s="4"/>
      <c r="J15" s="4"/>
      <c r="K15" s="4"/>
      <c r="L15" s="4"/>
      <c r="M15" s="4"/>
      <c r="N15" s="4"/>
      <c r="O15" s="4"/>
      <c r="P15" s="4"/>
      <c r="Q15" s="4"/>
      <c r="R15" s="4"/>
      <c r="S15" s="4"/>
      <c r="T15" s="4"/>
      <c r="U15" s="4"/>
      <c r="V15" s="4"/>
    </row>
    <row r="16" spans="2:22" ht="14.45" hidden="1" customHeight="1" x14ac:dyDescent="0.35">
      <c r="B16" s="3" t="s">
        <v>3</v>
      </c>
      <c r="C16" s="3" t="s">
        <v>4</v>
      </c>
      <c r="D16" s="4"/>
      <c r="E16" s="4"/>
      <c r="F16" s="4"/>
      <c r="G16" s="4"/>
      <c r="H16" s="4"/>
      <c r="I16" s="4"/>
      <c r="J16" s="4"/>
      <c r="K16" s="4"/>
      <c r="L16" s="4"/>
      <c r="M16" s="4"/>
      <c r="N16" s="4"/>
      <c r="O16" s="4"/>
      <c r="P16" s="4"/>
      <c r="Q16" s="4"/>
      <c r="R16" s="4"/>
      <c r="S16" s="4"/>
      <c r="T16" s="4"/>
      <c r="U16" s="4"/>
      <c r="V16" s="4"/>
    </row>
    <row r="17" spans="2:22" ht="14.45" hidden="1" customHeight="1" x14ac:dyDescent="0.35">
      <c r="B17" s="3" t="s">
        <v>5</v>
      </c>
      <c r="C17" s="3" t="s">
        <v>6</v>
      </c>
      <c r="D17" s="4"/>
      <c r="E17" s="4"/>
      <c r="F17" s="4"/>
      <c r="G17" s="4"/>
      <c r="H17" s="4"/>
      <c r="I17" s="4"/>
      <c r="J17" s="4"/>
      <c r="K17" s="4"/>
      <c r="L17" s="4"/>
      <c r="M17" s="4"/>
      <c r="N17" s="4"/>
      <c r="O17" s="4"/>
      <c r="P17" s="4"/>
      <c r="Q17" s="4"/>
      <c r="R17" s="4"/>
      <c r="S17" s="4"/>
      <c r="T17" s="4"/>
      <c r="U17" s="4"/>
      <c r="V17" s="4"/>
    </row>
    <row r="18" spans="2:22" ht="14.45" hidden="1" customHeight="1" x14ac:dyDescent="0.35">
      <c r="B18" s="3" t="s">
        <v>7</v>
      </c>
      <c r="C18" s="3" t="s">
        <v>8</v>
      </c>
      <c r="D18" s="4"/>
      <c r="E18" s="4"/>
      <c r="F18" s="4"/>
      <c r="G18" s="4"/>
      <c r="H18" s="4"/>
      <c r="I18" s="4"/>
      <c r="J18" s="4"/>
      <c r="K18" s="4"/>
      <c r="L18" s="4"/>
      <c r="M18" s="4"/>
      <c r="N18" s="4"/>
      <c r="O18" s="4"/>
      <c r="P18" s="4"/>
      <c r="Q18" s="4"/>
      <c r="R18" s="4"/>
      <c r="S18" s="4"/>
      <c r="T18" s="4"/>
      <c r="U18" s="4"/>
      <c r="V18" s="4"/>
    </row>
    <row r="19" spans="2:22" ht="14.45" hidden="1" customHeight="1" x14ac:dyDescent="0.35">
      <c r="B19" s="3" t="s">
        <v>9</v>
      </c>
      <c r="C19" s="3" t="s">
        <v>10</v>
      </c>
      <c r="D19" s="4"/>
      <c r="E19" s="4"/>
      <c r="F19" s="4"/>
      <c r="G19" s="4"/>
      <c r="H19" s="4"/>
      <c r="I19" s="4"/>
      <c r="J19" s="4"/>
      <c r="K19" s="4"/>
      <c r="L19" s="4"/>
      <c r="M19" s="4"/>
      <c r="N19" s="4"/>
      <c r="O19" s="4"/>
      <c r="P19" s="4"/>
      <c r="Q19" s="4"/>
      <c r="R19" s="4"/>
      <c r="S19" s="4"/>
      <c r="T19" s="4"/>
      <c r="U19" s="4"/>
      <c r="V19" s="4"/>
    </row>
    <row r="20" spans="2:22" ht="14.45" hidden="1" customHeight="1" x14ac:dyDescent="0.35">
      <c r="B20" s="4"/>
      <c r="C20" s="4"/>
      <c r="D20" s="4"/>
      <c r="E20" s="4"/>
      <c r="F20" s="4"/>
      <c r="G20" s="4"/>
      <c r="H20" s="4"/>
      <c r="I20" s="4"/>
      <c r="J20" s="4"/>
      <c r="K20" s="4"/>
      <c r="L20" s="4"/>
      <c r="M20" s="4"/>
      <c r="N20" s="4"/>
      <c r="O20" s="4"/>
      <c r="P20" s="4"/>
      <c r="Q20" s="4"/>
      <c r="R20" s="4"/>
      <c r="S20" s="4"/>
      <c r="T20" s="4"/>
      <c r="U20" s="4"/>
      <c r="V20" s="4"/>
    </row>
    <row r="21" spans="2:22" ht="14.45" hidden="1" customHeight="1" x14ac:dyDescent="0.35">
      <c r="B21" s="321" t="s">
        <v>11</v>
      </c>
      <c r="C21" s="321"/>
      <c r="D21" s="321"/>
      <c r="E21" s="321"/>
      <c r="F21" s="321"/>
      <c r="G21" s="321"/>
      <c r="H21" s="321"/>
      <c r="I21" s="321"/>
      <c r="J21" s="321"/>
      <c r="K21" s="321"/>
      <c r="L21" s="321"/>
      <c r="M21" s="321"/>
      <c r="N21" s="321"/>
      <c r="O21" s="321"/>
      <c r="P21" s="321"/>
      <c r="Q21" s="321"/>
      <c r="R21" s="321"/>
      <c r="S21" s="321"/>
      <c r="T21" s="321"/>
      <c r="U21" s="321"/>
      <c r="V21" s="321"/>
    </row>
    <row r="22" spans="2:22" ht="14.45" hidden="1" customHeight="1" x14ac:dyDescent="0.35">
      <c r="B22" s="4"/>
      <c r="C22" s="4"/>
      <c r="D22" s="4"/>
      <c r="E22" s="4"/>
      <c r="F22" s="4"/>
      <c r="G22" s="4"/>
      <c r="H22" s="4"/>
      <c r="I22" s="4"/>
      <c r="J22" s="4"/>
      <c r="K22" s="4"/>
      <c r="L22" s="4"/>
      <c r="M22" s="4"/>
      <c r="N22" s="4"/>
      <c r="O22" s="4"/>
      <c r="P22" s="4"/>
      <c r="Q22" s="4"/>
      <c r="R22" s="4"/>
      <c r="S22" s="4"/>
      <c r="T22" s="4"/>
      <c r="U22" s="4"/>
      <c r="V22" s="4"/>
    </row>
    <row r="23" spans="2:22" ht="14.65" hidden="1" customHeight="1" x14ac:dyDescent="0.35">
      <c r="B23" s="321" t="s">
        <v>12</v>
      </c>
      <c r="C23" s="321"/>
      <c r="D23" s="321"/>
      <c r="E23" s="321"/>
      <c r="F23" s="321"/>
      <c r="G23" s="321"/>
      <c r="H23" s="321"/>
      <c r="I23" s="321"/>
      <c r="J23" s="321"/>
      <c r="K23" s="321"/>
      <c r="L23" s="321"/>
      <c r="M23" s="321"/>
      <c r="N23" s="321"/>
      <c r="O23" s="321"/>
      <c r="P23" s="321"/>
      <c r="Q23" s="321"/>
      <c r="R23" s="321"/>
      <c r="S23" s="321"/>
      <c r="T23" s="321"/>
      <c r="U23" s="321"/>
      <c r="V23" s="321"/>
    </row>
    <row r="24" spans="2:22" ht="14.65" hidden="1" x14ac:dyDescent="0.35">
      <c r="B24" s="4"/>
      <c r="C24" s="4"/>
      <c r="D24" s="4"/>
      <c r="E24" s="4"/>
      <c r="F24" s="4"/>
      <c r="G24" s="4"/>
      <c r="H24" s="4"/>
      <c r="I24" s="4"/>
      <c r="J24" s="4"/>
      <c r="K24" s="4"/>
      <c r="L24" s="4"/>
      <c r="M24" s="4"/>
      <c r="N24" s="4"/>
      <c r="O24" s="4"/>
      <c r="P24" s="4"/>
      <c r="Q24" s="4"/>
      <c r="R24" s="4"/>
      <c r="S24" s="4"/>
      <c r="T24" s="4"/>
      <c r="U24" s="4"/>
      <c r="V24" s="4"/>
    </row>
    <row r="25" spans="2:22" ht="14.65" hidden="1" customHeight="1" x14ac:dyDescent="0.35">
      <c r="B25" s="321" t="s">
        <v>13</v>
      </c>
      <c r="C25" s="321"/>
      <c r="D25" s="321"/>
      <c r="E25" s="321"/>
      <c r="F25" s="321"/>
      <c r="G25" s="321"/>
      <c r="H25" s="321"/>
      <c r="I25" s="321"/>
      <c r="J25" s="321"/>
      <c r="K25" s="321"/>
      <c r="L25" s="321"/>
      <c r="M25" s="321"/>
      <c r="N25" s="321"/>
      <c r="O25" s="321"/>
      <c r="P25" s="321"/>
      <c r="Q25" s="321"/>
      <c r="R25" s="321"/>
      <c r="S25" s="321"/>
      <c r="T25" s="321"/>
      <c r="U25" s="321"/>
      <c r="V25" s="321"/>
    </row>
    <row r="26" spans="2:22" ht="14.65" hidden="1" x14ac:dyDescent="0.35">
      <c r="B26" s="4"/>
      <c r="C26" s="4"/>
      <c r="D26" s="4"/>
      <c r="E26" s="4"/>
      <c r="F26" s="4"/>
      <c r="G26" s="4"/>
      <c r="H26" s="4"/>
      <c r="I26" s="4"/>
      <c r="J26" s="4"/>
      <c r="K26" s="4"/>
      <c r="L26" s="4"/>
      <c r="M26" s="4"/>
      <c r="N26" s="4"/>
      <c r="O26" s="4"/>
      <c r="P26" s="4"/>
      <c r="Q26" s="4"/>
      <c r="R26" s="4"/>
      <c r="S26" s="4"/>
      <c r="T26" s="4"/>
      <c r="U26" s="4"/>
      <c r="V26" s="4"/>
    </row>
    <row r="27" spans="2:22" ht="14.65" hidden="1" customHeight="1" x14ac:dyDescent="0.35">
      <c r="B27" s="321" t="s">
        <v>14</v>
      </c>
      <c r="C27" s="321"/>
      <c r="D27" s="321"/>
      <c r="E27" s="321"/>
      <c r="F27" s="321"/>
      <c r="G27" s="321"/>
      <c r="H27" s="321"/>
      <c r="I27" s="321"/>
      <c r="J27" s="321"/>
      <c r="K27" s="321"/>
      <c r="L27" s="321"/>
      <c r="M27" s="321"/>
      <c r="N27" s="321"/>
      <c r="O27" s="321"/>
      <c r="P27" s="321"/>
      <c r="Q27" s="321"/>
      <c r="R27" s="321"/>
      <c r="S27" s="321"/>
      <c r="T27" s="321"/>
      <c r="U27" s="321"/>
      <c r="V27" s="321"/>
    </row>
    <row r="28" spans="2:22" ht="14.65" hidden="1" x14ac:dyDescent="0.35">
      <c r="B28" s="4"/>
      <c r="C28" s="4"/>
      <c r="D28" s="4"/>
      <c r="E28" s="4"/>
      <c r="F28" s="4"/>
      <c r="G28" s="4"/>
      <c r="H28" s="4"/>
      <c r="I28" s="4"/>
      <c r="J28" s="4"/>
      <c r="K28" s="4"/>
      <c r="L28" s="4"/>
      <c r="M28" s="4"/>
      <c r="N28" s="4"/>
      <c r="O28" s="4"/>
      <c r="P28" s="4"/>
      <c r="Q28" s="4"/>
      <c r="R28" s="4"/>
      <c r="S28" s="4"/>
      <c r="T28" s="4"/>
      <c r="U28" s="4"/>
      <c r="V28" s="4"/>
    </row>
    <row r="29" spans="2:22" ht="14.65" hidden="1" customHeight="1" x14ac:dyDescent="0.35">
      <c r="B29" s="316" t="s">
        <v>15</v>
      </c>
      <c r="C29" s="316"/>
      <c r="D29" s="316"/>
      <c r="E29" s="316"/>
      <c r="F29" s="316"/>
      <c r="G29" s="316"/>
      <c r="H29" s="316"/>
      <c r="I29" s="316"/>
      <c r="J29" s="316"/>
      <c r="K29" s="316"/>
      <c r="L29" s="316"/>
      <c r="M29" s="316"/>
      <c r="N29" s="316"/>
      <c r="O29" s="316"/>
      <c r="P29" s="316"/>
      <c r="Q29" s="316"/>
      <c r="R29" s="316"/>
      <c r="S29" s="316"/>
      <c r="T29" s="316"/>
      <c r="U29" s="316"/>
      <c r="V29" s="316"/>
    </row>
    <row r="30" spans="2:22" x14ac:dyDescent="0.25">
      <c r="B30" s="5"/>
      <c r="C30" s="5"/>
      <c r="D30" s="5"/>
      <c r="E30" s="5"/>
      <c r="F30" s="5"/>
      <c r="G30" s="5"/>
      <c r="H30" s="5"/>
      <c r="I30" s="5"/>
      <c r="J30" s="5"/>
      <c r="K30" s="5"/>
      <c r="L30" s="5"/>
      <c r="M30" s="5"/>
      <c r="N30" s="5"/>
      <c r="O30" s="5"/>
      <c r="P30" s="5"/>
      <c r="Q30" s="5"/>
      <c r="R30" s="5"/>
      <c r="S30" s="5"/>
      <c r="T30" s="5"/>
      <c r="U30" s="5"/>
      <c r="V30" s="5"/>
    </row>
    <row r="31" spans="2:22" ht="14.65" x14ac:dyDescent="0.35">
      <c r="B31" s="317" t="s">
        <v>16</v>
      </c>
      <c r="C31" s="317"/>
      <c r="D31" s="317"/>
      <c r="E31" s="317"/>
      <c r="F31" s="317"/>
      <c r="G31" s="317"/>
      <c r="H31" s="317"/>
      <c r="I31" s="317"/>
      <c r="J31" s="317"/>
      <c r="K31" s="317"/>
      <c r="L31" s="317"/>
      <c r="M31" s="317"/>
      <c r="N31" s="317"/>
      <c r="O31" s="317"/>
      <c r="P31" s="317"/>
      <c r="Q31" s="317"/>
      <c r="R31" s="317"/>
      <c r="S31" s="317"/>
      <c r="T31" s="317"/>
      <c r="U31" s="317"/>
      <c r="V31" s="317"/>
    </row>
    <row r="32" spans="2:22" ht="14.65" x14ac:dyDescent="0.35">
      <c r="B32" s="268"/>
      <c r="C32" s="268"/>
      <c r="D32" s="268"/>
      <c r="E32" s="268"/>
      <c r="F32" s="268"/>
      <c r="G32" s="268"/>
      <c r="H32" s="268"/>
      <c r="I32" s="268"/>
      <c r="J32" s="268"/>
      <c r="K32" s="268"/>
      <c r="L32" s="268"/>
      <c r="M32" s="268"/>
      <c r="N32" s="268"/>
      <c r="O32" s="268"/>
      <c r="P32" s="268"/>
      <c r="Q32" s="268"/>
      <c r="R32" s="268"/>
      <c r="S32" s="268"/>
      <c r="T32" s="268"/>
      <c r="U32" s="268"/>
      <c r="V32" s="268"/>
    </row>
    <row r="33" spans="2:23" ht="14.65" x14ac:dyDescent="0.35">
      <c r="B33" s="268" t="s">
        <v>17</v>
      </c>
      <c r="C33" s="268"/>
      <c r="D33" s="6"/>
      <c r="E33" s="268"/>
      <c r="F33" s="268" t="s">
        <v>18</v>
      </c>
      <c r="G33" s="268"/>
      <c r="H33" s="7"/>
      <c r="I33" s="8"/>
      <c r="J33" s="268"/>
      <c r="K33" s="268" t="s">
        <v>19</v>
      </c>
      <c r="L33" s="268"/>
      <c r="M33" s="268"/>
      <c r="N33" s="268"/>
      <c r="O33" s="268"/>
      <c r="P33" s="268"/>
      <c r="Q33" s="268"/>
      <c r="R33" s="268"/>
      <c r="S33" s="268"/>
      <c r="T33" s="268"/>
      <c r="U33" s="268"/>
      <c r="V33" s="268"/>
    </row>
    <row r="34" spans="2:23" ht="14.65" x14ac:dyDescent="0.35">
      <c r="B34" s="268"/>
      <c r="C34" s="268"/>
      <c r="D34" s="268"/>
      <c r="E34" s="268"/>
      <c r="F34" s="268"/>
      <c r="G34" s="268"/>
      <c r="H34" s="268"/>
      <c r="I34" s="268"/>
      <c r="J34" s="268"/>
      <c r="K34" s="268"/>
      <c r="L34" s="268"/>
      <c r="M34" s="268"/>
      <c r="N34" s="268"/>
      <c r="O34" s="268"/>
      <c r="P34" s="268"/>
      <c r="Q34" s="268"/>
      <c r="R34" s="268"/>
      <c r="S34" s="268"/>
      <c r="T34" s="268"/>
      <c r="U34" s="268"/>
      <c r="V34" s="268"/>
    </row>
    <row r="35" spans="2:23" ht="15.75" customHeight="1" x14ac:dyDescent="0.35">
      <c r="B35" s="268"/>
      <c r="C35" s="268"/>
      <c r="D35" s="9"/>
      <c r="E35" s="268"/>
      <c r="F35" s="268" t="s">
        <v>20</v>
      </c>
      <c r="G35" s="268"/>
      <c r="H35" s="268"/>
      <c r="I35" s="10"/>
      <c r="J35" s="268"/>
      <c r="K35" s="268" t="s">
        <v>21</v>
      </c>
      <c r="L35" s="268"/>
      <c r="M35" s="268"/>
      <c r="N35" s="268"/>
      <c r="O35" s="268"/>
      <c r="P35" s="268"/>
      <c r="Q35" s="268"/>
      <c r="R35" s="268"/>
      <c r="S35" s="268"/>
      <c r="T35" s="268"/>
      <c r="U35" s="268"/>
      <c r="V35" s="268"/>
    </row>
    <row r="36" spans="2:23" ht="15.75" customHeight="1" x14ac:dyDescent="0.35">
      <c r="B36" s="268"/>
      <c r="C36" s="268"/>
      <c r="D36" s="268"/>
      <c r="E36" s="268"/>
      <c r="F36" s="268"/>
      <c r="G36" s="268"/>
      <c r="H36" s="268"/>
      <c r="I36" s="268"/>
      <c r="J36" s="268"/>
      <c r="K36" s="268"/>
      <c r="L36" s="268"/>
      <c r="M36" s="268"/>
      <c r="N36" s="268"/>
      <c r="O36" s="268"/>
      <c r="P36" s="268"/>
      <c r="Q36" s="268"/>
      <c r="R36" s="268"/>
      <c r="S36" s="268"/>
      <c r="T36" s="268"/>
      <c r="U36" s="268"/>
      <c r="V36" s="268"/>
    </row>
    <row r="37" spans="2:23" ht="15.75" customHeight="1" x14ac:dyDescent="0.35">
      <c r="B37" s="11" t="s">
        <v>22</v>
      </c>
      <c r="C37" s="7"/>
      <c r="D37" s="7"/>
      <c r="E37" s="268"/>
      <c r="F37" s="268"/>
      <c r="G37" s="268"/>
      <c r="H37" s="268"/>
      <c r="I37" s="268"/>
      <c r="J37" s="268"/>
      <c r="K37" s="268"/>
      <c r="L37" s="268"/>
      <c r="M37" s="268"/>
      <c r="N37" s="268"/>
      <c r="O37" s="268"/>
      <c r="P37" s="268"/>
      <c r="Q37" s="268"/>
      <c r="R37" s="268"/>
      <c r="S37" s="268"/>
      <c r="T37" s="268"/>
      <c r="U37" s="268"/>
      <c r="V37" s="268"/>
    </row>
    <row r="38" spans="2:23" ht="15.75" customHeight="1" thickBot="1" x14ac:dyDescent="0.4">
      <c r="B38" s="7"/>
      <c r="C38" s="7"/>
      <c r="D38" s="7"/>
      <c r="E38" s="268"/>
      <c r="F38" s="12"/>
      <c r="G38" s="12"/>
      <c r="H38" s="12"/>
      <c r="I38" s="12"/>
      <c r="J38" s="268"/>
      <c r="K38" s="268"/>
      <c r="L38" s="268"/>
      <c r="M38" s="268"/>
      <c r="N38" s="268"/>
      <c r="O38" s="268"/>
      <c r="P38" s="268"/>
      <c r="Q38" s="268"/>
      <c r="R38" s="268"/>
      <c r="S38" s="268"/>
      <c r="T38" s="268"/>
      <c r="U38" s="268"/>
      <c r="V38" s="268"/>
    </row>
    <row r="39" spans="2:23" ht="15.75" customHeight="1" x14ac:dyDescent="0.35">
      <c r="C39" s="13"/>
      <c r="D39" s="14" t="s">
        <v>23</v>
      </c>
      <c r="E39" s="15"/>
      <c r="F39" s="16"/>
      <c r="G39" s="16"/>
      <c r="H39" s="16"/>
      <c r="I39" s="16"/>
      <c r="J39" s="17"/>
      <c r="K39" s="300" t="s">
        <v>24</v>
      </c>
      <c r="L39" s="301"/>
      <c r="M39" s="301"/>
      <c r="N39" s="301"/>
      <c r="O39" s="302"/>
      <c r="P39" s="268"/>
      <c r="Q39" s="268"/>
      <c r="R39" s="268"/>
      <c r="S39" s="268"/>
      <c r="T39" s="268"/>
      <c r="U39" s="268"/>
      <c r="V39" s="268"/>
      <c r="W39" s="268"/>
    </row>
    <row r="40" spans="2:23" ht="39.75" customHeight="1" thickBot="1" x14ac:dyDescent="0.4">
      <c r="C40" s="18"/>
      <c r="D40" s="19" t="str">
        <f>CONCATENATE("(for ",TestYear," Cost of Service")</f>
        <v>(for 2017 Cost of Service</v>
      </c>
      <c r="E40" s="20"/>
      <c r="F40" s="318"/>
      <c r="G40" s="318"/>
      <c r="H40" s="318"/>
      <c r="I40" s="269"/>
      <c r="J40" s="21"/>
      <c r="K40" s="22"/>
      <c r="L40" s="23" t="s">
        <v>25</v>
      </c>
      <c r="M40" s="23" t="s">
        <v>26</v>
      </c>
      <c r="N40" s="24"/>
      <c r="O40" s="25" t="s">
        <v>26</v>
      </c>
      <c r="P40" s="268"/>
      <c r="Q40" s="268"/>
      <c r="R40" s="268"/>
      <c r="S40" s="268"/>
      <c r="T40" s="268"/>
      <c r="U40" s="268"/>
      <c r="V40" s="268"/>
      <c r="W40" s="268"/>
    </row>
    <row r="41" spans="2:23" ht="15.75" customHeight="1" x14ac:dyDescent="0.3">
      <c r="C41" s="26" t="s">
        <v>27</v>
      </c>
      <c r="D41" s="27">
        <v>2012</v>
      </c>
      <c r="E41" s="28"/>
      <c r="F41" s="29"/>
      <c r="G41" s="30"/>
      <c r="H41" s="31"/>
      <c r="I41" s="31"/>
      <c r="J41" s="32"/>
      <c r="K41" s="33" t="s">
        <v>28</v>
      </c>
      <c r="L41" s="34">
        <v>35901241906.273773</v>
      </c>
      <c r="M41" s="34">
        <v>35679686906.870178</v>
      </c>
      <c r="N41" s="32" t="str">
        <f t="shared" ref="N41:N47" si="0">IF(D41=RebaseYear,"Board-approved","")</f>
        <v/>
      </c>
      <c r="O41" s="35"/>
      <c r="P41" s="268"/>
      <c r="Q41" s="268"/>
      <c r="R41" s="268"/>
      <c r="S41" s="268"/>
      <c r="T41" s="268"/>
      <c r="U41" s="268"/>
      <c r="V41" s="268"/>
      <c r="W41" s="268"/>
    </row>
    <row r="42" spans="2:23" ht="15.75" customHeight="1" x14ac:dyDescent="0.3">
      <c r="C42" s="26" t="s">
        <v>27</v>
      </c>
      <c r="D42" s="27">
        <v>2013</v>
      </c>
      <c r="E42" s="28"/>
      <c r="F42" s="29"/>
      <c r="G42" s="30"/>
      <c r="H42" s="31"/>
      <c r="I42" s="31"/>
      <c r="J42" s="32"/>
      <c r="K42" s="33" t="s">
        <v>28</v>
      </c>
      <c r="L42" s="34">
        <v>35185681223.653946</v>
      </c>
      <c r="M42" s="34">
        <v>35093864088.336197</v>
      </c>
      <c r="N42" s="32" t="str">
        <f t="shared" si="0"/>
        <v/>
      </c>
      <c r="O42" s="35"/>
      <c r="P42" s="268"/>
      <c r="Q42" s="268"/>
      <c r="R42" s="268"/>
      <c r="S42" s="268"/>
      <c r="T42" s="268"/>
      <c r="U42" s="268"/>
      <c r="V42" s="268"/>
      <c r="W42" s="268"/>
    </row>
    <row r="43" spans="2:23" ht="15.75" customHeight="1" x14ac:dyDescent="0.3">
      <c r="C43" s="26" t="s">
        <v>27</v>
      </c>
      <c r="D43" s="27">
        <v>2014</v>
      </c>
      <c r="E43" s="28"/>
      <c r="F43" s="29"/>
      <c r="G43" s="30"/>
      <c r="H43" s="31"/>
      <c r="I43" s="29"/>
      <c r="J43" s="32"/>
      <c r="K43" s="33" t="s">
        <v>28</v>
      </c>
      <c r="L43" s="34">
        <v>35327036116.311981</v>
      </c>
      <c r="M43" s="34">
        <v>34531149022.143364</v>
      </c>
      <c r="N43" s="32"/>
      <c r="O43" s="36"/>
      <c r="P43" s="268"/>
      <c r="Q43" s="268"/>
      <c r="R43" s="268"/>
      <c r="S43" s="268"/>
      <c r="T43" s="268"/>
      <c r="U43" s="268"/>
      <c r="V43" s="268"/>
      <c r="W43" s="268"/>
    </row>
    <row r="44" spans="2:23" ht="15.75" customHeight="1" x14ac:dyDescent="0.3">
      <c r="C44" s="26" t="s">
        <v>27</v>
      </c>
      <c r="D44" s="27">
        <v>2015</v>
      </c>
      <c r="E44" s="28"/>
      <c r="F44" s="29"/>
      <c r="G44" s="30"/>
      <c r="H44" s="31"/>
      <c r="I44" s="31"/>
      <c r="J44" s="32"/>
      <c r="K44" s="33" t="s">
        <v>28</v>
      </c>
      <c r="L44" s="34">
        <v>34586096805.8078</v>
      </c>
      <c r="M44" s="34">
        <v>34333747140.836079</v>
      </c>
      <c r="N44" s="37" t="s">
        <v>29</v>
      </c>
      <c r="O44" s="35">
        <v>35940245368.245102</v>
      </c>
      <c r="P44" s="268"/>
      <c r="Q44" s="268"/>
      <c r="R44" s="268"/>
      <c r="S44" s="268"/>
      <c r="T44" s="268"/>
      <c r="U44" s="268"/>
      <c r="V44" s="268"/>
      <c r="W44" s="268"/>
    </row>
    <row r="45" spans="2:23" ht="15.75" customHeight="1" x14ac:dyDescent="0.3">
      <c r="C45" s="26" t="s">
        <v>27</v>
      </c>
      <c r="D45" s="27">
        <v>2016</v>
      </c>
      <c r="E45" s="28"/>
      <c r="F45" s="29"/>
      <c r="G45" s="30"/>
      <c r="H45" s="31"/>
      <c r="I45" s="31"/>
      <c r="J45" s="32"/>
      <c r="K45" s="33" t="s">
        <v>28</v>
      </c>
      <c r="L45" s="34">
        <v>33804018903.791817</v>
      </c>
      <c r="M45" s="34">
        <v>34068250092.37748</v>
      </c>
      <c r="N45" s="32"/>
      <c r="O45" s="35"/>
      <c r="P45" s="268"/>
      <c r="Q45" s="268"/>
      <c r="R45" s="268"/>
      <c r="S45" s="268"/>
      <c r="T45" s="268"/>
      <c r="U45" s="268"/>
      <c r="V45" s="268"/>
      <c r="W45" s="268"/>
    </row>
    <row r="46" spans="2:23" ht="15.75" customHeight="1" x14ac:dyDescent="0.3">
      <c r="C46" s="26" t="s">
        <v>30</v>
      </c>
      <c r="D46" s="27">
        <v>2017</v>
      </c>
      <c r="E46" s="28"/>
      <c r="F46" s="29"/>
      <c r="G46" s="30"/>
      <c r="H46" s="31"/>
      <c r="I46" s="31"/>
      <c r="J46" s="32"/>
      <c r="K46" s="33" t="s">
        <v>31</v>
      </c>
      <c r="L46" s="38"/>
      <c r="M46" s="277">
        <v>34169571900.00663</v>
      </c>
      <c r="N46" s="32" t="str">
        <f t="shared" si="0"/>
        <v/>
      </c>
      <c r="O46" s="35"/>
      <c r="P46" s="268"/>
      <c r="Q46" s="268"/>
      <c r="R46" s="268"/>
      <c r="S46" s="268"/>
      <c r="T46" s="268"/>
      <c r="U46" s="268"/>
      <c r="V46" s="268"/>
      <c r="W46" s="268"/>
    </row>
    <row r="47" spans="2:23" ht="15.75" customHeight="1" thickBot="1" x14ac:dyDescent="0.35">
      <c r="C47" s="39" t="s">
        <v>32</v>
      </c>
      <c r="D47" s="27">
        <v>2018</v>
      </c>
      <c r="E47" s="40"/>
      <c r="F47" s="41"/>
      <c r="G47" s="42"/>
      <c r="H47" s="43"/>
      <c r="I47" s="43"/>
      <c r="J47" s="44"/>
      <c r="K47" s="33" t="s">
        <v>31</v>
      </c>
      <c r="L47" s="45"/>
      <c r="M47" s="278">
        <v>33957468360.675026</v>
      </c>
      <c r="N47" s="44" t="str">
        <f t="shared" si="0"/>
        <v/>
      </c>
      <c r="O47" s="46"/>
      <c r="P47" s="268"/>
      <c r="Q47" s="268"/>
      <c r="R47" s="268"/>
      <c r="S47" s="268"/>
      <c r="T47" s="268"/>
      <c r="U47" s="268"/>
      <c r="V47" s="268"/>
      <c r="W47" s="268"/>
    </row>
    <row r="48" spans="2:23" ht="15.75" customHeight="1" thickBot="1" x14ac:dyDescent="0.35">
      <c r="C48" s="47"/>
      <c r="D48" s="48"/>
      <c r="F48" s="49"/>
      <c r="G48" s="49"/>
      <c r="H48" s="49"/>
      <c r="I48" s="50"/>
      <c r="J48" s="49"/>
      <c r="K48" s="51"/>
      <c r="O48" s="52">
        <f>SUM(O41:O46)</f>
        <v>35940245368.245102</v>
      </c>
      <c r="P48" s="268"/>
      <c r="Q48" s="268"/>
      <c r="R48" s="268"/>
      <c r="S48" s="268"/>
      <c r="T48" s="268"/>
      <c r="U48" s="268"/>
      <c r="V48" s="268"/>
      <c r="W48" s="268"/>
    </row>
    <row r="49" spans="2:23" ht="33" customHeight="1" thickBot="1" x14ac:dyDescent="0.35">
      <c r="C49" s="53" t="s">
        <v>33</v>
      </c>
      <c r="D49" s="51"/>
      <c r="E49" s="51"/>
      <c r="F49" s="54"/>
      <c r="G49" s="55"/>
      <c r="H49" s="54"/>
      <c r="I49" s="56"/>
      <c r="J49" s="57"/>
      <c r="K49" s="58" t="s">
        <v>34</v>
      </c>
      <c r="L49" s="308" t="s">
        <v>35</v>
      </c>
      <c r="M49" s="308"/>
      <c r="N49" s="59"/>
      <c r="O49" s="60" t="s">
        <v>36</v>
      </c>
      <c r="P49" s="268"/>
      <c r="Q49" s="268"/>
      <c r="R49" s="268"/>
      <c r="S49" s="268"/>
      <c r="T49" s="268"/>
      <c r="U49" s="268"/>
      <c r="V49" s="268"/>
      <c r="W49" s="268"/>
    </row>
    <row r="50" spans="2:23" ht="15.75" customHeight="1" x14ac:dyDescent="0.3">
      <c r="C50" s="61"/>
      <c r="D50" s="62">
        <f>D41</f>
        <v>2012</v>
      </c>
      <c r="E50" s="63"/>
      <c r="F50" s="31"/>
      <c r="G50" s="64"/>
      <c r="H50" s="31"/>
      <c r="I50" s="64"/>
      <c r="J50" s="32"/>
      <c r="K50" s="27">
        <f>D50</f>
        <v>2012</v>
      </c>
      <c r="L50" s="65"/>
      <c r="M50" s="65"/>
      <c r="N50" s="63"/>
      <c r="O50" s="35"/>
      <c r="P50" s="268"/>
      <c r="Q50" s="268"/>
      <c r="R50" s="268"/>
      <c r="S50" s="268"/>
      <c r="T50" s="268"/>
      <c r="U50" s="268"/>
      <c r="V50" s="268"/>
      <c r="W50" s="268"/>
    </row>
    <row r="51" spans="2:23" ht="15.75" customHeight="1" x14ac:dyDescent="0.3">
      <c r="C51" s="61"/>
      <c r="D51" s="62">
        <f t="shared" ref="D51:D56" si="1">D42</f>
        <v>2013</v>
      </c>
      <c r="E51" s="63"/>
      <c r="F51" s="31"/>
      <c r="G51" s="66"/>
      <c r="H51" s="31"/>
      <c r="I51" s="64"/>
      <c r="J51" s="32"/>
      <c r="K51" s="27">
        <f t="shared" ref="K51:K57" si="2">D51</f>
        <v>2013</v>
      </c>
      <c r="L51" s="67">
        <f t="shared" ref="L51:M54" si="3">IF(L41=0,"",L42/L41-1)</f>
        <v>-1.9931362945268538E-2</v>
      </c>
      <c r="M51" s="67">
        <f t="shared" si="3"/>
        <v>-1.6418945044643363E-2</v>
      </c>
      <c r="N51" s="63"/>
      <c r="O51" s="35"/>
      <c r="P51" s="268"/>
      <c r="Q51" s="268"/>
      <c r="R51" s="268"/>
      <c r="S51" s="268"/>
      <c r="T51" s="268"/>
      <c r="U51" s="268"/>
      <c r="V51" s="268"/>
      <c r="W51" s="268"/>
    </row>
    <row r="52" spans="2:23" ht="15.75" customHeight="1" x14ac:dyDescent="0.3">
      <c r="C52" s="61"/>
      <c r="D52" s="62">
        <f t="shared" si="1"/>
        <v>2014</v>
      </c>
      <c r="E52" s="63"/>
      <c r="F52" s="31"/>
      <c r="G52" s="66"/>
      <c r="H52" s="31"/>
      <c r="I52" s="64"/>
      <c r="J52" s="32"/>
      <c r="K52" s="27">
        <f t="shared" si="2"/>
        <v>2014</v>
      </c>
      <c r="L52" s="67">
        <f t="shared" si="3"/>
        <v>4.017398206944689E-3</v>
      </c>
      <c r="M52" s="67">
        <f t="shared" si="3"/>
        <v>-1.6034571307861678E-2</v>
      </c>
      <c r="N52" s="63"/>
      <c r="O52" s="35"/>
      <c r="P52" s="268"/>
      <c r="Q52" s="268"/>
      <c r="R52" s="268"/>
      <c r="S52" s="268"/>
      <c r="T52" s="268"/>
      <c r="U52" s="268"/>
      <c r="V52" s="268"/>
      <c r="W52" s="268"/>
    </row>
    <row r="53" spans="2:23" ht="15.75" customHeight="1" x14ac:dyDescent="0.3">
      <c r="C53" s="61"/>
      <c r="D53" s="62">
        <f t="shared" si="1"/>
        <v>2015</v>
      </c>
      <c r="E53" s="63"/>
      <c r="F53" s="31"/>
      <c r="G53" s="66"/>
      <c r="H53" s="31"/>
      <c r="I53" s="64"/>
      <c r="J53" s="32"/>
      <c r="K53" s="27">
        <f t="shared" si="2"/>
        <v>2015</v>
      </c>
      <c r="L53" s="67">
        <f t="shared" si="3"/>
        <v>-2.0973718487582338E-2</v>
      </c>
      <c r="M53" s="67">
        <f t="shared" si="3"/>
        <v>-5.7166322841066819E-3</v>
      </c>
      <c r="N53" s="63"/>
      <c r="O53" s="35"/>
      <c r="P53" s="268"/>
      <c r="Q53" s="268"/>
      <c r="R53" s="268"/>
      <c r="S53" s="268"/>
      <c r="T53" s="268"/>
      <c r="U53" s="268"/>
      <c r="V53" s="268"/>
      <c r="W53" s="268"/>
    </row>
    <row r="54" spans="2:23" ht="15.75" customHeight="1" x14ac:dyDescent="0.3">
      <c r="C54" s="61"/>
      <c r="D54" s="62">
        <f t="shared" si="1"/>
        <v>2016</v>
      </c>
      <c r="E54" s="63"/>
      <c r="F54" s="31"/>
      <c r="G54" s="66"/>
      <c r="H54" s="31"/>
      <c r="I54" s="64"/>
      <c r="J54" s="32"/>
      <c r="K54" s="27">
        <f t="shared" si="2"/>
        <v>2016</v>
      </c>
      <c r="L54" s="67">
        <f t="shared" si="3"/>
        <v>-2.26124938702148E-2</v>
      </c>
      <c r="M54" s="67">
        <f t="shared" si="3"/>
        <v>-7.7328305404457121E-3</v>
      </c>
      <c r="N54" s="63"/>
      <c r="O54" s="35"/>
      <c r="P54" s="268"/>
      <c r="Q54" s="268"/>
      <c r="R54" s="268"/>
      <c r="S54" s="268"/>
      <c r="T54" s="268"/>
      <c r="U54" s="268"/>
      <c r="V54" s="268"/>
      <c r="W54" s="268"/>
    </row>
    <row r="55" spans="2:23" ht="15.75" customHeight="1" x14ac:dyDescent="0.25">
      <c r="C55" s="61"/>
      <c r="D55" s="62">
        <f t="shared" si="1"/>
        <v>2017</v>
      </c>
      <c r="E55" s="63"/>
      <c r="F55" s="31"/>
      <c r="G55" s="66"/>
      <c r="H55" s="31"/>
      <c r="I55" s="64"/>
      <c r="J55" s="32"/>
      <c r="K55" s="27">
        <f t="shared" si="2"/>
        <v>2017</v>
      </c>
      <c r="L55" s="67" t="str">
        <f>IF(K46="Forecast","",IF(L45=0,"",L46/L45-1))</f>
        <v/>
      </c>
      <c r="M55" s="67">
        <f>IF(M45=0,"",M46/M45-1)</f>
        <v>2.9740831229785325E-3</v>
      </c>
      <c r="N55" s="63"/>
      <c r="O55" s="35"/>
      <c r="P55" s="268"/>
      <c r="Q55" s="268"/>
      <c r="R55" s="268"/>
      <c r="S55" s="268"/>
      <c r="T55" s="268"/>
      <c r="U55" s="268"/>
      <c r="V55" s="268"/>
      <c r="W55" s="268"/>
    </row>
    <row r="56" spans="2:23" ht="15.75" customHeight="1" x14ac:dyDescent="0.25">
      <c r="C56" s="61"/>
      <c r="D56" s="62">
        <f t="shared" si="1"/>
        <v>2018</v>
      </c>
      <c r="E56" s="63"/>
      <c r="F56" s="31"/>
      <c r="G56" s="66"/>
      <c r="H56" s="31"/>
      <c r="I56" s="66"/>
      <c r="J56" s="32"/>
      <c r="K56" s="27">
        <f t="shared" si="2"/>
        <v>2018</v>
      </c>
      <c r="L56" s="67" t="str">
        <f>IF(K47="Forecast","",IF(L46=0,"",L47/L46-1))</f>
        <v/>
      </c>
      <c r="M56" s="67">
        <f>IF(M46=0,"",M47/M46-1)</f>
        <v>-6.2073806470944737E-3</v>
      </c>
      <c r="N56" s="63"/>
      <c r="O56" s="127">
        <f>IF(O48=0,"",M47/O48-1)</f>
        <v>-5.5168710932673615E-2</v>
      </c>
      <c r="P56" s="268"/>
      <c r="Q56" s="268"/>
      <c r="R56" s="268"/>
      <c r="S56" s="268"/>
      <c r="T56" s="268"/>
      <c r="U56" s="268"/>
      <c r="V56" s="268"/>
      <c r="W56" s="268"/>
    </row>
    <row r="57" spans="2:23" ht="31.5" customHeight="1" thickBot="1" x14ac:dyDescent="0.3">
      <c r="C57" s="69"/>
      <c r="D57" s="70" t="s">
        <v>37</v>
      </c>
      <c r="E57" s="71"/>
      <c r="F57" s="43"/>
      <c r="G57" s="72"/>
      <c r="H57" s="43"/>
      <c r="I57" s="73"/>
      <c r="J57" s="74"/>
      <c r="K57" s="75" t="str">
        <f t="shared" si="2"/>
        <v>Geometric Mean</v>
      </c>
      <c r="L57" s="129">
        <f>IF(L41=0,"",(L45/L41)^(1/($D45-$D41-1))-1)</f>
        <v>-1.9864119634900756E-2</v>
      </c>
      <c r="M57" s="129">
        <f>IF(M41=0,"",(M47/M41)^(1/($D47-$D41-1))-1)</f>
        <v>-9.8457543790674285E-3</v>
      </c>
      <c r="N57" s="287"/>
      <c r="O57" s="286">
        <f>IF(O48=0,"",(M47/O48)^(1/(TestYear-RebaseYear-1))-1)</f>
        <v>-5.5168710932673615E-2</v>
      </c>
      <c r="P57" s="268"/>
      <c r="Q57" s="268"/>
      <c r="R57" s="268"/>
      <c r="S57" s="268"/>
      <c r="T57" s="268"/>
      <c r="U57" s="268"/>
      <c r="V57" s="268"/>
      <c r="W57" s="268"/>
    </row>
    <row r="58" spans="2:23" ht="15.75" customHeight="1" x14ac:dyDescent="0.25">
      <c r="B58" s="268"/>
      <c r="C58" s="268"/>
      <c r="D58" s="268"/>
      <c r="E58" s="268"/>
      <c r="F58" s="268"/>
      <c r="G58" s="268"/>
      <c r="H58" s="268"/>
      <c r="I58" s="268"/>
      <c r="J58" s="268"/>
      <c r="K58" s="268"/>
      <c r="L58" s="268"/>
      <c r="M58" s="268"/>
      <c r="N58" s="268"/>
      <c r="O58" s="268"/>
      <c r="P58" s="268"/>
      <c r="Q58" s="268"/>
      <c r="R58" s="268"/>
      <c r="S58" s="268"/>
      <c r="T58" s="268"/>
      <c r="U58" s="268"/>
      <c r="V58" s="268"/>
    </row>
    <row r="59" spans="2:23" ht="20.25" customHeight="1" x14ac:dyDescent="0.25">
      <c r="B59" s="78" t="s">
        <v>38</v>
      </c>
      <c r="C59" s="268"/>
      <c r="D59" s="268"/>
      <c r="E59" s="268"/>
      <c r="F59" s="268"/>
      <c r="G59" s="268"/>
      <c r="H59" s="268"/>
      <c r="I59" s="268"/>
      <c r="J59" s="268"/>
      <c r="K59" s="268"/>
      <c r="L59" s="268"/>
      <c r="M59" s="268"/>
      <c r="N59" s="268"/>
      <c r="O59" s="268"/>
      <c r="P59" s="268"/>
      <c r="Q59" s="268"/>
      <c r="R59" s="268"/>
      <c r="S59" s="268"/>
      <c r="T59" s="268"/>
      <c r="U59" s="268"/>
      <c r="V59" s="268"/>
    </row>
    <row r="60" spans="2:23" ht="14.25" customHeight="1" thickBot="1" x14ac:dyDescent="0.3">
      <c r="B60" s="268"/>
      <c r="C60" s="268"/>
      <c r="D60" s="268"/>
      <c r="E60" s="268"/>
      <c r="F60" s="268"/>
      <c r="G60" s="268"/>
      <c r="H60" s="268"/>
      <c r="I60" s="268"/>
      <c r="J60" s="268"/>
      <c r="K60" s="268"/>
      <c r="L60" s="268"/>
      <c r="M60" s="268"/>
      <c r="N60" s="268"/>
      <c r="O60" s="268"/>
      <c r="P60" s="268"/>
      <c r="Q60" s="268"/>
      <c r="R60" s="268"/>
      <c r="S60" s="268"/>
      <c r="T60" s="268"/>
      <c r="U60" s="268"/>
      <c r="V60" s="268"/>
    </row>
    <row r="61" spans="2:23" ht="15.75" thickBot="1" x14ac:dyDescent="0.3">
      <c r="B61" s="79">
        <v>1</v>
      </c>
      <c r="C61" s="80" t="s">
        <v>39</v>
      </c>
      <c r="D61" s="309" t="s">
        <v>40</v>
      </c>
      <c r="E61" s="310"/>
      <c r="F61" s="311"/>
      <c r="G61" s="81"/>
      <c r="H61" s="82" t="s">
        <v>41</v>
      </c>
      <c r="N61" s="83" t="s">
        <v>42</v>
      </c>
      <c r="O61" s="84"/>
      <c r="P61" s="84"/>
      <c r="Q61" s="84"/>
      <c r="R61" s="84"/>
      <c r="S61" s="84"/>
      <c r="T61" s="84"/>
      <c r="U61" s="84"/>
    </row>
    <row r="62" spans="2:23" ht="15.75" thickBot="1" x14ac:dyDescent="0.3">
      <c r="Q62" s="71"/>
      <c r="R62" s="71"/>
      <c r="S62" s="71"/>
      <c r="T62" s="71"/>
      <c r="U62" s="71"/>
    </row>
    <row r="63" spans="2:23" ht="12.75" customHeight="1" x14ac:dyDescent="0.25">
      <c r="C63" s="13"/>
      <c r="D63" s="14" t="s">
        <v>23</v>
      </c>
      <c r="E63" s="14"/>
      <c r="F63" s="312" t="s">
        <v>43</v>
      </c>
      <c r="G63" s="313"/>
      <c r="H63" s="313"/>
      <c r="I63" s="314"/>
      <c r="J63" s="14"/>
      <c r="K63" s="300" t="s">
        <v>24</v>
      </c>
      <c r="L63" s="301"/>
      <c r="M63" s="301"/>
      <c r="N63" s="301"/>
      <c r="O63" s="302"/>
      <c r="P63" s="15"/>
      <c r="Q63" s="303" t="str">
        <f>CONCATENATE("Consumption (kWh) per ",LEFT(F63,LEN(F63)-1))</f>
        <v>Consumption (kWh) per Customer</v>
      </c>
      <c r="R63" s="304"/>
      <c r="S63" s="304"/>
      <c r="T63" s="304"/>
      <c r="U63" s="305"/>
      <c r="V63" s="85"/>
    </row>
    <row r="64" spans="2:23" ht="38.25" customHeight="1" thickBot="1" x14ac:dyDescent="0.3">
      <c r="C64" s="18"/>
      <c r="D64" s="19" t="str">
        <f>CONCATENATE("(for ","2018"," Cost of Service")</f>
        <v>(for 2018 Cost of Service</v>
      </c>
      <c r="E64" s="26"/>
      <c r="F64" s="306"/>
      <c r="G64" s="307"/>
      <c r="H64" s="315"/>
      <c r="I64" s="86"/>
      <c r="J64" s="26"/>
      <c r="K64" s="22"/>
      <c r="L64" s="23" t="s">
        <v>25</v>
      </c>
      <c r="M64" s="23" t="s">
        <v>26</v>
      </c>
      <c r="N64" s="24"/>
      <c r="O64" s="25" t="s">
        <v>26</v>
      </c>
      <c r="P64" s="26"/>
      <c r="Q64" s="87"/>
      <c r="R64" s="88" t="str">
        <f>L64</f>
        <v>Actual (Weather actual)</v>
      </c>
      <c r="S64" s="89" t="str">
        <f>M64</f>
        <v>Weather-normalized</v>
      </c>
      <c r="T64" s="89"/>
      <c r="U64" s="90" t="str">
        <f>O64</f>
        <v>Weather-normalized</v>
      </c>
      <c r="V64" s="85"/>
    </row>
    <row r="65" spans="2:22" x14ac:dyDescent="0.25">
      <c r="C65" s="26" t="s">
        <v>27</v>
      </c>
      <c r="D65" s="27">
        <v>2012</v>
      </c>
      <c r="E65" s="91"/>
      <c r="F65" s="92" t="str">
        <f>K41</f>
        <v>Actual</v>
      </c>
      <c r="G65" s="93">
        <v>403304</v>
      </c>
      <c r="H65" s="32" t="str">
        <f t="shared" ref="H65" si="4">IF(D65=RebaseYear,"Board-approved","")</f>
        <v/>
      </c>
      <c r="I65" s="35"/>
      <c r="J65" s="91"/>
      <c r="K65" s="94" t="str">
        <f>F65</f>
        <v>Actual</v>
      </c>
      <c r="L65" s="95">
        <v>4395940934.6599998</v>
      </c>
      <c r="M65" s="95">
        <v>4495296323.553791</v>
      </c>
      <c r="N65" s="37" t="str">
        <f>H65</f>
        <v/>
      </c>
      <c r="O65" s="35"/>
      <c r="P65" s="91"/>
      <c r="Q65" s="96" t="str">
        <f>K65</f>
        <v>Actual</v>
      </c>
      <c r="R65" s="97">
        <f>IF(G65=0,"",L65/G65)</f>
        <v>10899.819824896356</v>
      </c>
      <c r="S65" s="63">
        <f>IF(G65=0,"",M65/G65)</f>
        <v>11146.17341646448</v>
      </c>
      <c r="T65" s="63" t="str">
        <f>N65</f>
        <v/>
      </c>
      <c r="U65" s="63" t="str">
        <f>IF(T65="","",IF(I65=0,"",O65/I65))</f>
        <v/>
      </c>
      <c r="V65" s="28"/>
    </row>
    <row r="66" spans="2:22" x14ac:dyDescent="0.25">
      <c r="C66" s="26" t="s">
        <v>27</v>
      </c>
      <c r="D66" s="27">
        <v>2013</v>
      </c>
      <c r="E66" s="91"/>
      <c r="F66" s="98" t="str">
        <f t="shared" ref="F66:F71" si="5">K42</f>
        <v>Actual</v>
      </c>
      <c r="G66" s="93">
        <v>409900.75614478835</v>
      </c>
      <c r="H66" s="32"/>
      <c r="I66" s="35"/>
      <c r="J66" s="91"/>
      <c r="K66" s="94" t="str">
        <f t="shared" ref="K66:K71" si="6">F66</f>
        <v>Actual</v>
      </c>
      <c r="L66" s="95">
        <v>4553314587.6536655</v>
      </c>
      <c r="M66" s="95">
        <v>4527827068.0604105</v>
      </c>
      <c r="N66" s="37"/>
      <c r="O66" s="35"/>
      <c r="P66" s="91"/>
      <c r="Q66" s="96" t="str">
        <f t="shared" ref="Q66:Q71" si="7">K66</f>
        <v>Actual</v>
      </c>
      <c r="R66" s="97">
        <f t="shared" ref="R66:R71" si="8">IF(G66=0,"",L66/G66)</f>
        <v>11108.334198937921</v>
      </c>
      <c r="S66" s="63">
        <f t="shared" ref="S66:S71" si="9">IF(G66=0,"",M66/G66)</f>
        <v>11046.154465889924</v>
      </c>
      <c r="T66" s="63">
        <f t="shared" ref="T66:T71" si="10">N66</f>
        <v>0</v>
      </c>
      <c r="U66" s="63" t="str">
        <f t="shared" ref="U66:U71" si="11">IF(T66="","",IF(I66=0,"",O66/I66))</f>
        <v/>
      </c>
      <c r="V66" s="28"/>
    </row>
    <row r="67" spans="2:22" x14ac:dyDescent="0.25">
      <c r="C67" s="26" t="s">
        <v>27</v>
      </c>
      <c r="D67" s="27">
        <v>2014</v>
      </c>
      <c r="E67" s="91"/>
      <c r="F67" s="98" t="str">
        <f t="shared" si="5"/>
        <v>Actual</v>
      </c>
      <c r="G67" s="93">
        <v>416493</v>
      </c>
      <c r="H67" s="99"/>
      <c r="I67" s="35"/>
      <c r="J67" s="91"/>
      <c r="K67" s="94" t="str">
        <f t="shared" si="6"/>
        <v>Actual</v>
      </c>
      <c r="L67" s="95">
        <v>4499007978.6820278</v>
      </c>
      <c r="M67" s="95">
        <v>4453012862.3139</v>
      </c>
      <c r="N67" s="37"/>
      <c r="O67" s="36"/>
      <c r="P67" s="91"/>
      <c r="Q67" s="96" t="str">
        <f t="shared" si="7"/>
        <v>Actual</v>
      </c>
      <c r="R67" s="97">
        <f t="shared" si="8"/>
        <v>10802.121473066842</v>
      </c>
      <c r="S67" s="63">
        <f t="shared" si="9"/>
        <v>10691.687164763633</v>
      </c>
      <c r="T67" s="63">
        <f t="shared" si="10"/>
        <v>0</v>
      </c>
      <c r="U67" s="63" t="str">
        <f t="shared" si="11"/>
        <v/>
      </c>
      <c r="V67" s="28"/>
    </row>
    <row r="68" spans="2:22" x14ac:dyDescent="0.25">
      <c r="C68" s="26" t="s">
        <v>27</v>
      </c>
      <c r="D68" s="27">
        <v>2015</v>
      </c>
      <c r="E68" s="91"/>
      <c r="F68" s="98" t="str">
        <f t="shared" si="5"/>
        <v>Actual</v>
      </c>
      <c r="G68" s="93">
        <v>432519.29859831237</v>
      </c>
      <c r="H68" s="99" t="s">
        <v>29</v>
      </c>
      <c r="I68" s="100">
        <v>445242.90946647938</v>
      </c>
      <c r="J68" s="91"/>
      <c r="K68" s="94" t="str">
        <f t="shared" si="6"/>
        <v>Actual</v>
      </c>
      <c r="L68" s="95">
        <v>4929829656.8070269</v>
      </c>
      <c r="M68" s="95">
        <v>4900578643.4494762</v>
      </c>
      <c r="N68" s="37" t="str">
        <f t="shared" ref="N68" si="12">H68</f>
        <v>Board-approved</v>
      </c>
      <c r="O68" s="35">
        <v>5105111619.4480171</v>
      </c>
      <c r="P68" s="91"/>
      <c r="Q68" s="96" t="str">
        <f t="shared" si="7"/>
        <v>Actual</v>
      </c>
      <c r="R68" s="97">
        <f t="shared" si="8"/>
        <v>11397.941485578518</v>
      </c>
      <c r="S68" s="63">
        <f t="shared" si="9"/>
        <v>11330.312102444988</v>
      </c>
      <c r="T68" s="63" t="str">
        <f t="shared" si="10"/>
        <v>Board-approved</v>
      </c>
      <c r="U68" s="63">
        <f t="shared" si="11"/>
        <v>11465.902119733501</v>
      </c>
      <c r="V68" s="28"/>
    </row>
    <row r="69" spans="2:22" x14ac:dyDescent="0.25">
      <c r="C69" s="26" t="s">
        <v>27</v>
      </c>
      <c r="D69" s="27">
        <v>2016</v>
      </c>
      <c r="E69" s="91"/>
      <c r="F69" s="98" t="str">
        <f t="shared" si="5"/>
        <v>Actual</v>
      </c>
      <c r="G69" s="93">
        <v>441836</v>
      </c>
      <c r="H69" s="101"/>
      <c r="I69" s="35"/>
      <c r="J69" s="91"/>
      <c r="K69" s="94" t="str">
        <f t="shared" si="6"/>
        <v>Actual</v>
      </c>
      <c r="L69" s="95">
        <v>4851170977.3147593</v>
      </c>
      <c r="M69" s="95">
        <v>4907416957.5251408</v>
      </c>
      <c r="N69" s="37"/>
      <c r="O69" s="35"/>
      <c r="P69" s="91"/>
      <c r="Q69" s="96" t="str">
        <f t="shared" si="7"/>
        <v>Actual</v>
      </c>
      <c r="R69" s="97">
        <f t="shared" si="8"/>
        <v>10979.573817694256</v>
      </c>
      <c r="S69" s="63">
        <f t="shared" si="9"/>
        <v>11106.87440028685</v>
      </c>
      <c r="T69" s="63">
        <f t="shared" si="10"/>
        <v>0</v>
      </c>
      <c r="U69" s="63" t="str">
        <f t="shared" si="11"/>
        <v/>
      </c>
      <c r="V69" s="28"/>
    </row>
    <row r="70" spans="2:22" x14ac:dyDescent="0.25">
      <c r="C70" s="26" t="s">
        <v>30</v>
      </c>
      <c r="D70" s="27">
        <v>2017</v>
      </c>
      <c r="E70" s="91"/>
      <c r="F70" s="98" t="str">
        <f t="shared" si="5"/>
        <v>Forecast</v>
      </c>
      <c r="G70" s="93">
        <v>446636.2861797419</v>
      </c>
      <c r="H70" s="101"/>
      <c r="I70" s="35"/>
      <c r="J70" s="91"/>
      <c r="K70" s="94" t="str">
        <f t="shared" si="6"/>
        <v>Forecast</v>
      </c>
      <c r="L70" s="102"/>
      <c r="M70" s="103">
        <v>4938598660.7491817</v>
      </c>
      <c r="N70" s="37"/>
      <c r="O70" s="35"/>
      <c r="P70" s="91"/>
      <c r="Q70" s="96" t="str">
        <f t="shared" si="7"/>
        <v>Forecast</v>
      </c>
      <c r="R70" s="97">
        <f t="shared" si="8"/>
        <v>0</v>
      </c>
      <c r="S70" s="63">
        <f t="shared" si="9"/>
        <v>11057.31624044921</v>
      </c>
      <c r="T70" s="63">
        <f t="shared" si="10"/>
        <v>0</v>
      </c>
      <c r="U70" s="63" t="str">
        <f t="shared" si="11"/>
        <v/>
      </c>
      <c r="V70" s="28"/>
    </row>
    <row r="71" spans="2:22" ht="15.75" thickBot="1" x14ac:dyDescent="0.3">
      <c r="C71" s="39" t="s">
        <v>32</v>
      </c>
      <c r="D71" s="104">
        <v>2018</v>
      </c>
      <c r="E71" s="18"/>
      <c r="F71" s="105" t="str">
        <f t="shared" si="5"/>
        <v>Forecast</v>
      </c>
      <c r="G71" s="106">
        <v>446101.51280686347</v>
      </c>
      <c r="H71" s="107"/>
      <c r="I71" s="46"/>
      <c r="J71" s="18"/>
      <c r="K71" s="108" t="str">
        <f t="shared" si="6"/>
        <v>Forecast</v>
      </c>
      <c r="L71" s="109"/>
      <c r="M71" s="110">
        <v>4924068302.5766773</v>
      </c>
      <c r="N71" s="111"/>
      <c r="O71" s="46"/>
      <c r="P71" s="18"/>
      <c r="Q71" s="112" t="str">
        <f t="shared" si="7"/>
        <v>Forecast</v>
      </c>
      <c r="R71" s="113">
        <f t="shared" si="8"/>
        <v>0</v>
      </c>
      <c r="S71" s="71">
        <f t="shared" si="9"/>
        <v>11037.999561118992</v>
      </c>
      <c r="T71" s="71">
        <f t="shared" si="10"/>
        <v>0</v>
      </c>
      <c r="U71" s="71" t="str">
        <f t="shared" si="11"/>
        <v/>
      </c>
      <c r="V71" s="28"/>
    </row>
    <row r="72" spans="2:22" ht="15.75" thickBot="1" x14ac:dyDescent="0.3">
      <c r="B72" s="63"/>
      <c r="C72" s="114"/>
      <c r="I72" s="52">
        <f>SUM(I65:I70)</f>
        <v>445242.90946647938</v>
      </c>
      <c r="O72" s="52">
        <f>SUM(O65:O70)</f>
        <v>5105111619.4480171</v>
      </c>
      <c r="U72" s="52">
        <f>SUM(U65:U70)</f>
        <v>11465.902119733501</v>
      </c>
    </row>
    <row r="73" spans="2:22" ht="39" thickBot="1" x14ac:dyDescent="0.3">
      <c r="C73" s="115" t="s">
        <v>33</v>
      </c>
      <c r="D73" s="116" t="s">
        <v>34</v>
      </c>
      <c r="E73" s="48"/>
      <c r="F73" s="48"/>
      <c r="G73" s="270" t="s">
        <v>35</v>
      </c>
      <c r="H73" s="48"/>
      <c r="I73" s="60" t="s">
        <v>44</v>
      </c>
      <c r="J73" s="117"/>
      <c r="K73" s="58" t="s">
        <v>34</v>
      </c>
      <c r="L73" s="308" t="s">
        <v>35</v>
      </c>
      <c r="M73" s="308"/>
      <c r="N73" s="48"/>
      <c r="O73" s="60" t="str">
        <f>I73</f>
        <v>Test Year Versus Board-approved</v>
      </c>
      <c r="P73" s="118"/>
      <c r="Q73" s="58" t="s">
        <v>34</v>
      </c>
      <c r="R73" s="308" t="s">
        <v>35</v>
      </c>
      <c r="S73" s="308"/>
      <c r="T73" s="48"/>
      <c r="U73" s="60" t="str">
        <f>O73</f>
        <v>Test Year Versus Board-approved</v>
      </c>
    </row>
    <row r="74" spans="2:22" x14ac:dyDescent="0.25">
      <c r="C74" s="91"/>
      <c r="D74" s="119">
        <f t="shared" ref="D74:D80" si="13">D65</f>
        <v>2012</v>
      </c>
      <c r="E74" s="63"/>
      <c r="F74" s="63"/>
      <c r="G74" s="120"/>
      <c r="H74" s="63"/>
      <c r="I74" s="121"/>
      <c r="J74" s="122"/>
      <c r="K74" s="27">
        <f>D74</f>
        <v>2012</v>
      </c>
      <c r="L74" s="65"/>
      <c r="M74" s="65"/>
      <c r="N74" s="63"/>
      <c r="O74" s="35"/>
      <c r="P74" s="91"/>
      <c r="Q74" s="27">
        <f>K74</f>
        <v>2012</v>
      </c>
      <c r="R74" s="123"/>
      <c r="S74" s="123"/>
      <c r="T74" s="63"/>
      <c r="U74" s="35"/>
    </row>
    <row r="75" spans="2:22" x14ac:dyDescent="0.25">
      <c r="C75" s="91"/>
      <c r="D75" s="124">
        <f t="shared" si="13"/>
        <v>2013</v>
      </c>
      <c r="E75" s="63"/>
      <c r="F75" s="63"/>
      <c r="G75" s="125">
        <f t="shared" ref="G75:G80" si="14">IF(G65=0,"",G66/G65-1)</f>
        <v>1.6356783331651359E-2</v>
      </c>
      <c r="H75" s="63"/>
      <c r="I75" s="121"/>
      <c r="J75" s="122"/>
      <c r="K75" s="27">
        <f t="shared" ref="K75:K81" si="15">D75</f>
        <v>2013</v>
      </c>
      <c r="L75" s="67">
        <f t="shared" ref="L75:M78" si="16">IF(L65=0,"",L66/L65-1)</f>
        <v>3.5799765131702799E-2</v>
      </c>
      <c r="M75" s="67">
        <f t="shared" si="16"/>
        <v>7.236618493016822E-3</v>
      </c>
      <c r="N75" s="63"/>
      <c r="O75" s="35"/>
      <c r="P75" s="91"/>
      <c r="Q75" s="27">
        <f t="shared" ref="Q75:Q81" si="17">K75</f>
        <v>2013</v>
      </c>
      <c r="R75" s="126">
        <f>IF(R65="","",IF(R65=0,"",R66/R65-1))</f>
        <v>1.9130075303198657E-2</v>
      </c>
      <c r="S75" s="126">
        <f>IF(S65="","",IF(S65=0,"",S66/S65-1))</f>
        <v>-8.9733890580613318E-3</v>
      </c>
      <c r="T75" s="63"/>
      <c r="U75" s="35"/>
    </row>
    <row r="76" spans="2:22" x14ac:dyDescent="0.25">
      <c r="C76" s="91"/>
      <c r="D76" s="124">
        <f t="shared" si="13"/>
        <v>2014</v>
      </c>
      <c r="E76" s="63"/>
      <c r="F76" s="63"/>
      <c r="G76" s="125">
        <f t="shared" si="14"/>
        <v>1.6082536458857044E-2</v>
      </c>
      <c r="H76" s="63"/>
      <c r="I76" s="121"/>
      <c r="J76" s="122"/>
      <c r="K76" s="27">
        <f t="shared" si="15"/>
        <v>2014</v>
      </c>
      <c r="L76" s="67">
        <f t="shared" si="16"/>
        <v>-1.1926829988617604E-2</v>
      </c>
      <c r="M76" s="67">
        <f t="shared" si="16"/>
        <v>-1.6523202989410679E-2</v>
      </c>
      <c r="N76" s="63"/>
      <c r="O76" s="35"/>
      <c r="P76" s="91"/>
      <c r="Q76" s="27">
        <f t="shared" si="17"/>
        <v>2014</v>
      </c>
      <c r="R76" s="126">
        <f t="shared" ref="R76:S80" si="18">IF(R66="","",IF(R66=0,"",R67/R66-1))</f>
        <v>-2.7566034689553764E-2</v>
      </c>
      <c r="S76" s="126">
        <f t="shared" si="18"/>
        <v>-3.2089656379590936E-2</v>
      </c>
      <c r="T76" s="63"/>
      <c r="U76" s="35"/>
    </row>
    <row r="77" spans="2:22" x14ac:dyDescent="0.25">
      <c r="C77" s="91"/>
      <c r="D77" s="124">
        <f t="shared" si="13"/>
        <v>2015</v>
      </c>
      <c r="E77" s="63"/>
      <c r="F77" s="63"/>
      <c r="G77" s="125">
        <f t="shared" si="14"/>
        <v>3.8479154747648403E-2</v>
      </c>
      <c r="H77" s="63"/>
      <c r="I77" s="121"/>
      <c r="J77" s="122"/>
      <c r="K77" s="27">
        <f t="shared" si="15"/>
        <v>2015</v>
      </c>
      <c r="L77" s="67">
        <f t="shared" si="16"/>
        <v>9.5759260745122532E-2</v>
      </c>
      <c r="M77" s="67">
        <f t="shared" si="16"/>
        <v>0.1005085309596454</v>
      </c>
      <c r="N77" s="63"/>
      <c r="O77" s="35"/>
      <c r="P77" s="91"/>
      <c r="Q77" s="27">
        <f t="shared" si="17"/>
        <v>2015</v>
      </c>
      <c r="R77" s="126">
        <f t="shared" si="18"/>
        <v>5.5157684904511228E-2</v>
      </c>
      <c r="S77" s="126">
        <f t="shared" si="18"/>
        <v>5.9730978641617805E-2</v>
      </c>
      <c r="T77" s="63"/>
      <c r="U77" s="35"/>
    </row>
    <row r="78" spans="2:22" x14ac:dyDescent="0.25">
      <c r="C78" s="91"/>
      <c r="D78" s="124">
        <f t="shared" si="13"/>
        <v>2016</v>
      </c>
      <c r="E78" s="63"/>
      <c r="F78" s="63"/>
      <c r="G78" s="125">
        <f t="shared" si="14"/>
        <v>2.1540544969625097E-2</v>
      </c>
      <c r="H78" s="63"/>
      <c r="I78" s="121"/>
      <c r="J78" s="122"/>
      <c r="K78" s="27">
        <f t="shared" si="15"/>
        <v>2016</v>
      </c>
      <c r="L78" s="67">
        <f t="shared" si="16"/>
        <v>-1.5955658707934695E-2</v>
      </c>
      <c r="M78" s="67">
        <f t="shared" si="16"/>
        <v>1.3954095165487068E-3</v>
      </c>
      <c r="N78" s="63"/>
      <c r="O78" s="35"/>
      <c r="P78" s="91"/>
      <c r="Q78" s="27">
        <f t="shared" si="17"/>
        <v>2016</v>
      </c>
      <c r="R78" s="126">
        <f t="shared" si="18"/>
        <v>-3.6705546208814166E-2</v>
      </c>
      <c r="S78" s="126">
        <f t="shared" si="18"/>
        <v>-1.9720348401516929E-2</v>
      </c>
      <c r="T78" s="63"/>
      <c r="U78" s="35"/>
    </row>
    <row r="79" spans="2:22" x14ac:dyDescent="0.25">
      <c r="C79" s="91"/>
      <c r="D79" s="124">
        <f t="shared" si="13"/>
        <v>2017</v>
      </c>
      <c r="E79" s="63"/>
      <c r="F79" s="63"/>
      <c r="G79" s="125">
        <f t="shared" si="14"/>
        <v>1.0864407109746343E-2</v>
      </c>
      <c r="H79" s="63"/>
      <c r="I79" s="121"/>
      <c r="J79" s="122"/>
      <c r="K79" s="27">
        <f t="shared" si="15"/>
        <v>2017</v>
      </c>
      <c r="L79" s="67" t="str">
        <f>IF(K70="Forecast","",IF(L69=0,"",L70/L69-1))</f>
        <v/>
      </c>
      <c r="M79" s="67">
        <f>IF(M69=0,"",M70/M69-1)</f>
        <v>6.3539950841606796E-3</v>
      </c>
      <c r="N79" s="63"/>
      <c r="O79" s="35"/>
      <c r="P79" s="91"/>
      <c r="Q79" s="27">
        <f t="shared" si="17"/>
        <v>2017</v>
      </c>
      <c r="R79" s="126" t="str">
        <f>IF(Q70="Forecast","",IF(R69=0,"",R70/R69-1))</f>
        <v/>
      </c>
      <c r="S79" s="126">
        <f t="shared" si="18"/>
        <v>-4.461935739217493E-3</v>
      </c>
      <c r="T79" s="63"/>
      <c r="U79" s="35"/>
    </row>
    <row r="80" spans="2:22" x14ac:dyDescent="0.25">
      <c r="C80" s="91"/>
      <c r="D80" s="124">
        <f t="shared" si="13"/>
        <v>2018</v>
      </c>
      <c r="E80" s="63"/>
      <c r="F80" s="63"/>
      <c r="G80" s="125">
        <f t="shared" si="14"/>
        <v>-1.1973352578505958E-3</v>
      </c>
      <c r="H80" s="63"/>
      <c r="I80" s="127">
        <f>IF(I72=0,"",G71/I72-1)</f>
        <v>1.9283930684330652E-3</v>
      </c>
      <c r="J80" s="122"/>
      <c r="K80" s="27">
        <f t="shared" si="15"/>
        <v>2018</v>
      </c>
      <c r="L80" s="67" t="str">
        <f>IF(K71="Forecast","",IF(L70=0,"",L71/L70-1))</f>
        <v/>
      </c>
      <c r="M80" s="67">
        <f>IF(M70=0,"",M71/M70-1)</f>
        <v>-2.942202671374794E-3</v>
      </c>
      <c r="N80" s="63"/>
      <c r="O80" s="127">
        <f>IF(O72=0,"",M71/O72-1)</f>
        <v>-3.5463145640469818E-2</v>
      </c>
      <c r="P80" s="91"/>
      <c r="Q80" s="27">
        <f t="shared" si="17"/>
        <v>2018</v>
      </c>
      <c r="R80" s="126" t="str">
        <f>IF(Q71="Forecast","",IF(R70=0,"",R71/R70-1))</f>
        <v/>
      </c>
      <c r="S80" s="126">
        <f t="shared" si="18"/>
        <v>-1.7469591092598158E-3</v>
      </c>
      <c r="T80" s="63"/>
      <c r="U80" s="127">
        <f>IF(U72=0,"",S71/U72-1)</f>
        <v>-3.7319571905124027E-2</v>
      </c>
    </row>
    <row r="81" spans="3:21" ht="30.75" thickBot="1" x14ac:dyDescent="0.3">
      <c r="C81" s="18"/>
      <c r="D81" s="128" t="s">
        <v>37</v>
      </c>
      <c r="E81" s="71"/>
      <c r="F81" s="71"/>
      <c r="G81" s="129">
        <f>IF(G65=0,"",(G71/G65)^(1/($D71-$D65-1))-1)</f>
        <v>2.037599575580562E-2</v>
      </c>
      <c r="H81" s="287"/>
      <c r="I81" s="286">
        <f>IF(I72=0,"",(G71/I72)^(1/(TestYear-RebaseYear-1))-1)</f>
        <v>1.9283930684330652E-3</v>
      </c>
      <c r="J81" s="74"/>
      <c r="K81" s="75" t="str">
        <f t="shared" si="15"/>
        <v>Geometric Mean</v>
      </c>
      <c r="L81" s="129">
        <f>IF(L65=0,"",(L69/L65)^(1/($D69-$D65-1))-1)</f>
        <v>3.3391561813993054E-2</v>
      </c>
      <c r="M81" s="129">
        <f>IF(M65=0,"",(M71/M65)^(1/($D71-$D65-1))-1)</f>
        <v>1.8387707905450856E-2</v>
      </c>
      <c r="N81" s="287"/>
      <c r="O81" s="286">
        <f>IF(O72=0,"",(M71/O72)^(1/(TestYear-RebaseYear-1))-1)</f>
        <v>-3.5463145640469818E-2</v>
      </c>
      <c r="P81" s="18"/>
      <c r="Q81" s="75" t="str">
        <f t="shared" si="17"/>
        <v>Geometric Mean</v>
      </c>
      <c r="R81" s="129">
        <f>IF(R65="","",IF(R65=0,"",(R69/R65)^(1/($D69-$D65-1))-1))</f>
        <v>2.4330756822228405E-3</v>
      </c>
      <c r="S81" s="129">
        <f>IF(S65="","",IF(S65=0,"",(S71/S65)^(1/($D71-$D65-1))-1))</f>
        <v>-1.9485835208048474E-3</v>
      </c>
      <c r="T81" s="71"/>
      <c r="U81" s="286">
        <f>IF(U72=0,"",(S71/U72)^(1/(TestYear-RebaseYear-1))-1)</f>
        <v>-3.7319571905124027E-2</v>
      </c>
    </row>
    <row r="83" spans="3:21" ht="15.75" thickBot="1" x14ac:dyDescent="0.3">
      <c r="Q83" s="71"/>
      <c r="R83" s="71"/>
      <c r="S83" s="71"/>
      <c r="T83" s="71"/>
      <c r="U83" s="71"/>
    </row>
    <row r="84" spans="3:21" ht="14.65" customHeight="1" x14ac:dyDescent="0.25">
      <c r="C84" s="13"/>
      <c r="D84" s="14" t="s">
        <v>23</v>
      </c>
      <c r="E84" s="14"/>
      <c r="F84" s="297" t="s">
        <v>10</v>
      </c>
      <c r="G84" s="298"/>
      <c r="H84" s="298"/>
      <c r="I84" s="299"/>
      <c r="K84" s="300" t="str">
        <f>IF(ISBLANK(N61),"",CONCATENATE("Demand (",N61,")"))</f>
        <v>Demand (kWh)</v>
      </c>
      <c r="L84" s="301"/>
      <c r="M84" s="301"/>
      <c r="N84" s="301"/>
      <c r="O84" s="302"/>
      <c r="Q84" s="303" t="str">
        <f>CONCATENATE("Demand (",N61,") per ",LEFT(F63,LEN(F63)-1))</f>
        <v>Demand (kWh) per Customer</v>
      </c>
      <c r="R84" s="304"/>
      <c r="S84" s="304"/>
      <c r="T84" s="304"/>
      <c r="U84" s="305"/>
    </row>
    <row r="85" spans="3:21" ht="39" thickBot="1" x14ac:dyDescent="0.3">
      <c r="C85" s="18"/>
      <c r="D85" s="19" t="str">
        <f>CONCATENATE("(for ",TestYear," Cost of Service")</f>
        <v>(for 2017 Cost of Service</v>
      </c>
      <c r="E85" s="26"/>
      <c r="F85" s="306"/>
      <c r="G85" s="307"/>
      <c r="H85" s="307"/>
      <c r="I85" s="86"/>
      <c r="K85" s="22"/>
      <c r="L85" s="23" t="s">
        <v>25</v>
      </c>
      <c r="M85" s="23" t="s">
        <v>26</v>
      </c>
      <c r="N85" s="24"/>
      <c r="O85" s="25" t="str">
        <f>M85</f>
        <v>Weather-normalized</v>
      </c>
      <c r="Q85" s="132"/>
      <c r="R85" s="23" t="str">
        <f>L85</f>
        <v>Actual (Weather actual)</v>
      </c>
      <c r="S85" s="23" t="str">
        <f>M85</f>
        <v>Weather-normalized</v>
      </c>
      <c r="T85" s="23"/>
      <c r="U85" s="133" t="str">
        <f>O85</f>
        <v>Weather-normalized</v>
      </c>
    </row>
    <row r="86" spans="3:21" x14ac:dyDescent="0.25">
      <c r="C86" s="26" t="s">
        <v>27</v>
      </c>
      <c r="D86" s="27">
        <v>2012</v>
      </c>
      <c r="E86" s="91"/>
      <c r="F86" s="92" t="str">
        <f t="shared" ref="F86:F92" si="19">F65</f>
        <v>Actual</v>
      </c>
      <c r="G86" s="134">
        <v>241251219.36267218</v>
      </c>
      <c r="H86" s="31" t="str">
        <f t="shared" ref="H86:H92" si="20">IF(D86=RebaseYear,"Board-approved","")</f>
        <v/>
      </c>
      <c r="I86" s="135"/>
      <c r="K86" s="94" t="str">
        <f t="shared" ref="K86:K92" si="21">K65</f>
        <v>Actual</v>
      </c>
      <c r="L86" s="95"/>
      <c r="M86" s="95"/>
      <c r="N86" s="37" t="str">
        <f t="shared" ref="N86:N92" si="22">N65</f>
        <v/>
      </c>
      <c r="O86" s="35"/>
      <c r="Q86" s="96" t="str">
        <f>K86</f>
        <v>Actual</v>
      </c>
      <c r="R86" s="63">
        <f>IF(G86=0,"",L86/G86)</f>
        <v>0</v>
      </c>
      <c r="S86" s="28">
        <f>IF(G86=0,"",M86/G86)</f>
        <v>0</v>
      </c>
      <c r="T86" s="28" t="str">
        <f>N86</f>
        <v/>
      </c>
      <c r="U86" s="91" t="str">
        <f>IF(T86="","",IF(I86=0,"",O86/I86))</f>
        <v/>
      </c>
    </row>
    <row r="87" spans="3:21" x14ac:dyDescent="0.25">
      <c r="C87" s="26" t="s">
        <v>27</v>
      </c>
      <c r="D87" s="27">
        <v>2013</v>
      </c>
      <c r="E87" s="91"/>
      <c r="F87" s="98" t="str">
        <f t="shared" si="19"/>
        <v>Actual</v>
      </c>
      <c r="G87" s="134">
        <v>250704502.963615</v>
      </c>
      <c r="H87" s="31"/>
      <c r="I87" s="35"/>
      <c r="K87" s="94" t="str">
        <f t="shared" si="21"/>
        <v>Actual</v>
      </c>
      <c r="L87" s="95"/>
      <c r="M87" s="95"/>
      <c r="N87" s="37">
        <f t="shared" si="22"/>
        <v>0</v>
      </c>
      <c r="O87" s="35"/>
      <c r="Q87" s="96" t="str">
        <f t="shared" ref="Q87:Q92" si="23">K87</f>
        <v>Actual</v>
      </c>
      <c r="R87" s="63">
        <f t="shared" ref="R87:R92" si="24">IF(G87=0,"",L87/G87)</f>
        <v>0</v>
      </c>
      <c r="S87" s="28">
        <f t="shared" ref="S87:S92" si="25">IF(G87=0,"",M87/G87)</f>
        <v>0</v>
      </c>
      <c r="T87" s="28">
        <f t="shared" ref="T87:T92" si="26">N87</f>
        <v>0</v>
      </c>
      <c r="U87" s="91" t="str">
        <f t="shared" ref="U87:U92" si="27">IF(T87="","",IF(I87=0,"",O87/I87))</f>
        <v/>
      </c>
    </row>
    <row r="88" spans="3:21" x14ac:dyDescent="0.25">
      <c r="C88" s="26" t="s">
        <v>27</v>
      </c>
      <c r="D88" s="27">
        <v>2014</v>
      </c>
      <c r="E88" s="91"/>
      <c r="F88" s="98" t="str">
        <f t="shared" si="19"/>
        <v>Actual</v>
      </c>
      <c r="G88" s="134">
        <v>253224377.87732071</v>
      </c>
      <c r="H88" s="31" t="str">
        <f t="shared" si="20"/>
        <v/>
      </c>
      <c r="I88" s="136"/>
      <c r="K88" s="94" t="str">
        <f t="shared" si="21"/>
        <v>Actual</v>
      </c>
      <c r="L88" s="95"/>
      <c r="M88" s="95"/>
      <c r="N88" s="37">
        <f t="shared" si="22"/>
        <v>0</v>
      </c>
      <c r="O88" s="36"/>
      <c r="Q88" s="96" t="str">
        <f t="shared" si="23"/>
        <v>Actual</v>
      </c>
      <c r="R88" s="63">
        <f t="shared" si="24"/>
        <v>0</v>
      </c>
      <c r="S88" s="28">
        <f t="shared" si="25"/>
        <v>0</v>
      </c>
      <c r="T88" s="28">
        <f t="shared" si="26"/>
        <v>0</v>
      </c>
      <c r="U88" s="91" t="str">
        <f t="shared" si="27"/>
        <v/>
      </c>
    </row>
    <row r="89" spans="3:21" x14ac:dyDescent="0.25">
      <c r="C89" s="26" t="s">
        <v>27</v>
      </c>
      <c r="D89" s="27">
        <v>2015</v>
      </c>
      <c r="E89" s="91"/>
      <c r="F89" s="98" t="str">
        <f t="shared" si="19"/>
        <v>Actual</v>
      </c>
      <c r="G89" s="134">
        <v>298279089.75048149</v>
      </c>
      <c r="H89" s="31" t="s">
        <v>29</v>
      </c>
      <c r="I89" s="137">
        <v>297624053.08489573</v>
      </c>
      <c r="K89" s="94" t="str">
        <f t="shared" si="21"/>
        <v>Actual</v>
      </c>
      <c r="L89" s="95"/>
      <c r="M89" s="95"/>
      <c r="N89" s="37" t="str">
        <f t="shared" si="22"/>
        <v>Board-approved</v>
      </c>
      <c r="O89" s="35"/>
      <c r="Q89" s="96" t="str">
        <f t="shared" si="23"/>
        <v>Actual</v>
      </c>
      <c r="R89" s="63">
        <f t="shared" si="24"/>
        <v>0</v>
      </c>
      <c r="S89" s="28">
        <f t="shared" si="25"/>
        <v>0</v>
      </c>
      <c r="T89" s="28" t="str">
        <f t="shared" si="26"/>
        <v>Board-approved</v>
      </c>
      <c r="U89" s="91">
        <f t="shared" si="27"/>
        <v>0</v>
      </c>
    </row>
    <row r="90" spans="3:21" x14ac:dyDescent="0.25">
      <c r="C90" s="26" t="s">
        <v>27</v>
      </c>
      <c r="D90" s="27">
        <v>2016</v>
      </c>
      <c r="E90" s="91"/>
      <c r="F90" s="98" t="str">
        <f t="shared" si="19"/>
        <v>Actual</v>
      </c>
      <c r="G90" s="134">
        <v>304694195.74171126</v>
      </c>
      <c r="H90" s="31" t="str">
        <f t="shared" si="20"/>
        <v/>
      </c>
      <c r="I90" s="35"/>
      <c r="K90" s="94" t="str">
        <f t="shared" si="21"/>
        <v>Actual</v>
      </c>
      <c r="L90" s="95"/>
      <c r="M90" s="95"/>
      <c r="N90" s="37">
        <f t="shared" si="22"/>
        <v>0</v>
      </c>
      <c r="O90" s="35"/>
      <c r="Q90" s="96" t="str">
        <f t="shared" si="23"/>
        <v>Actual</v>
      </c>
      <c r="R90" s="63">
        <f t="shared" si="24"/>
        <v>0</v>
      </c>
      <c r="S90" s="28">
        <f t="shared" si="25"/>
        <v>0</v>
      </c>
      <c r="T90" s="28">
        <f t="shared" si="26"/>
        <v>0</v>
      </c>
      <c r="U90" s="91" t="str">
        <f t="shared" si="27"/>
        <v/>
      </c>
    </row>
    <row r="91" spans="3:21" x14ac:dyDescent="0.25">
      <c r="C91" s="26" t="s">
        <v>45</v>
      </c>
      <c r="D91" s="27">
        <v>2017</v>
      </c>
      <c r="E91" s="91"/>
      <c r="F91" s="98" t="str">
        <f t="shared" si="19"/>
        <v>Forecast</v>
      </c>
      <c r="G91" s="134">
        <v>294582657.8087098</v>
      </c>
      <c r="H91" s="31" t="str">
        <f t="shared" si="20"/>
        <v/>
      </c>
      <c r="I91" s="35"/>
      <c r="K91" s="94" t="str">
        <f t="shared" si="21"/>
        <v>Forecast</v>
      </c>
      <c r="L91" s="102"/>
      <c r="M91" s="138"/>
      <c r="N91" s="37">
        <f t="shared" si="22"/>
        <v>0</v>
      </c>
      <c r="O91" s="35"/>
      <c r="Q91" s="96" t="str">
        <f t="shared" si="23"/>
        <v>Forecast</v>
      </c>
      <c r="R91" s="63">
        <f t="shared" si="24"/>
        <v>0</v>
      </c>
      <c r="S91" s="28">
        <f t="shared" si="25"/>
        <v>0</v>
      </c>
      <c r="T91" s="28">
        <f t="shared" si="26"/>
        <v>0</v>
      </c>
      <c r="U91" s="91" t="str">
        <f t="shared" si="27"/>
        <v/>
      </c>
    </row>
    <row r="92" spans="3:21" ht="15.75" thickBot="1" x14ac:dyDescent="0.3">
      <c r="C92" s="39" t="s">
        <v>46</v>
      </c>
      <c r="D92" s="104">
        <v>2018</v>
      </c>
      <c r="E92" s="18"/>
      <c r="F92" s="105" t="str">
        <f t="shared" si="19"/>
        <v>Forecast</v>
      </c>
      <c r="G92" s="139">
        <v>311034449.58528769</v>
      </c>
      <c r="H92" s="43" t="str">
        <f t="shared" si="20"/>
        <v/>
      </c>
      <c r="I92" s="46"/>
      <c r="K92" s="108" t="str">
        <f t="shared" si="21"/>
        <v>Forecast</v>
      </c>
      <c r="L92" s="109"/>
      <c r="M92" s="140"/>
      <c r="N92" s="111">
        <f t="shared" si="22"/>
        <v>0</v>
      </c>
      <c r="O92" s="46"/>
      <c r="Q92" s="141" t="str">
        <f t="shared" si="23"/>
        <v>Forecast</v>
      </c>
      <c r="R92" s="40">
        <f t="shared" si="24"/>
        <v>0</v>
      </c>
      <c r="S92" s="40">
        <f t="shared" si="25"/>
        <v>0</v>
      </c>
      <c r="T92" s="40">
        <f t="shared" si="26"/>
        <v>0</v>
      </c>
      <c r="U92" s="18" t="str">
        <f t="shared" si="27"/>
        <v/>
      </c>
    </row>
    <row r="93" spans="3:21" ht="15.75" thickBot="1" x14ac:dyDescent="0.3">
      <c r="C93" s="114"/>
      <c r="I93" s="52">
        <f>SUM(I86:I91)</f>
        <v>297624053.08489573</v>
      </c>
      <c r="J93" s="63"/>
      <c r="O93" s="52">
        <f>SUM(O86:O91)</f>
        <v>0</v>
      </c>
      <c r="U93" s="52">
        <f>SUM(U86:U91)</f>
        <v>0</v>
      </c>
    </row>
    <row r="94" spans="3:21" ht="39" thickBot="1" x14ac:dyDescent="0.3">
      <c r="C94" s="115" t="s">
        <v>33</v>
      </c>
      <c r="D94" s="116" t="s">
        <v>34</v>
      </c>
      <c r="E94" s="270"/>
      <c r="F94" s="270"/>
      <c r="G94" s="270" t="s">
        <v>35</v>
      </c>
      <c r="H94" s="270"/>
      <c r="I94" s="60" t="str">
        <f>I73</f>
        <v>Test Year Versus Board-approved</v>
      </c>
      <c r="J94" s="142"/>
      <c r="K94" s="58" t="s">
        <v>34</v>
      </c>
      <c r="L94" s="308" t="s">
        <v>35</v>
      </c>
      <c r="M94" s="308"/>
      <c r="N94" s="270"/>
      <c r="O94" s="60" t="str">
        <f>I94</f>
        <v>Test Year Versus Board-approved</v>
      </c>
      <c r="P94" s="143"/>
      <c r="Q94" s="58" t="s">
        <v>34</v>
      </c>
      <c r="R94" s="308" t="s">
        <v>35</v>
      </c>
      <c r="S94" s="308"/>
      <c r="T94" s="270"/>
      <c r="U94" s="60" t="str">
        <f>O94</f>
        <v>Test Year Versus Board-approved</v>
      </c>
    </row>
    <row r="95" spans="3:21" x14ac:dyDescent="0.25">
      <c r="C95" s="91"/>
      <c r="D95" s="144">
        <f>D86</f>
        <v>2012</v>
      </c>
      <c r="E95" s="51"/>
      <c r="F95" s="63"/>
      <c r="G95" s="120"/>
      <c r="H95" s="63"/>
      <c r="I95" s="121"/>
      <c r="J95" s="91"/>
      <c r="K95" s="27">
        <f>D95</f>
        <v>2012</v>
      </c>
      <c r="L95" s="65"/>
      <c r="M95" s="65"/>
      <c r="N95" s="63"/>
      <c r="O95" s="145"/>
      <c r="P95" s="91"/>
      <c r="Q95" s="27">
        <f>K95</f>
        <v>2012</v>
      </c>
      <c r="R95" s="123"/>
      <c r="S95" s="123"/>
      <c r="T95" s="63"/>
      <c r="U95" s="35"/>
    </row>
    <row r="96" spans="3:21" x14ac:dyDescent="0.25">
      <c r="C96" s="91"/>
      <c r="D96" s="124">
        <f>D87</f>
        <v>2013</v>
      </c>
      <c r="E96" s="63"/>
      <c r="F96" s="63"/>
      <c r="G96" s="125">
        <f>IF(G86=0,"",G87/G86-1)</f>
        <v>3.9184397185291431E-2</v>
      </c>
      <c r="H96" s="63"/>
      <c r="I96" s="121"/>
      <c r="J96" s="91"/>
      <c r="K96" s="27">
        <f t="shared" ref="K96:K102" si="28">D96</f>
        <v>2013</v>
      </c>
      <c r="L96" s="67" t="str">
        <f>IF(L86=0,"",L87/L86-1)</f>
        <v/>
      </c>
      <c r="M96" s="67" t="str">
        <f>IF(M86=0,"",M87/M86-1)</f>
        <v/>
      </c>
      <c r="N96" s="63"/>
      <c r="O96" s="145"/>
      <c r="P96" s="91"/>
      <c r="Q96" s="27">
        <f t="shared" ref="Q96:Q102" si="29">K96</f>
        <v>2013</v>
      </c>
      <c r="R96" s="126" t="str">
        <f>IF(R86="","",IF(R86=0,"",R87/R86-1))</f>
        <v/>
      </c>
      <c r="S96" s="126" t="str">
        <f>IF(S86="","",IF(S86=0,"",S87/S86-1))</f>
        <v/>
      </c>
      <c r="T96" s="63"/>
      <c r="U96" s="35"/>
    </row>
    <row r="97" spans="2:22" x14ac:dyDescent="0.25">
      <c r="C97" s="91"/>
      <c r="D97" s="146">
        <f t="shared" ref="D97:D101" si="30">D88</f>
        <v>2014</v>
      </c>
      <c r="E97" s="63"/>
      <c r="F97" s="63"/>
      <c r="G97" s="125">
        <f t="shared" ref="G97:G101" si="31">IF(G87=0,"",G88/G87-1)</f>
        <v>1.0051175323609662E-2</v>
      </c>
      <c r="H97" s="63"/>
      <c r="I97" s="121"/>
      <c r="J97" s="91"/>
      <c r="K97" s="27">
        <f t="shared" si="28"/>
        <v>2014</v>
      </c>
      <c r="L97" s="67" t="str">
        <f t="shared" ref="L97:M101" si="32">IF(L87=0,"",L88/L87-1)</f>
        <v/>
      </c>
      <c r="M97" s="67" t="str">
        <f t="shared" si="32"/>
        <v/>
      </c>
      <c r="N97" s="63"/>
      <c r="O97" s="145"/>
      <c r="P97" s="91"/>
      <c r="Q97" s="27">
        <f t="shared" si="29"/>
        <v>2014</v>
      </c>
      <c r="R97" s="126" t="str">
        <f t="shared" ref="R97:S101" si="33">IF(R87="","",IF(R87=0,"",R88/R87-1))</f>
        <v/>
      </c>
      <c r="S97" s="126" t="str">
        <f t="shared" si="33"/>
        <v/>
      </c>
      <c r="T97" s="63"/>
      <c r="U97" s="35"/>
    </row>
    <row r="98" spans="2:22" x14ac:dyDescent="0.25">
      <c r="C98" s="91"/>
      <c r="D98" s="124">
        <f t="shared" si="30"/>
        <v>2015</v>
      </c>
      <c r="E98" s="63"/>
      <c r="F98" s="63"/>
      <c r="G98" s="125">
        <f t="shared" si="31"/>
        <v>0.17792406975519692</v>
      </c>
      <c r="H98" s="63"/>
      <c r="I98" s="121"/>
      <c r="J98" s="91"/>
      <c r="K98" s="27">
        <f t="shared" si="28"/>
        <v>2015</v>
      </c>
      <c r="L98" s="67" t="str">
        <f t="shared" si="32"/>
        <v/>
      </c>
      <c r="M98" s="67" t="str">
        <f t="shared" si="32"/>
        <v/>
      </c>
      <c r="N98" s="63"/>
      <c r="O98" s="145"/>
      <c r="P98" s="91"/>
      <c r="Q98" s="27">
        <f t="shared" si="29"/>
        <v>2015</v>
      </c>
      <c r="R98" s="126" t="str">
        <f t="shared" si="33"/>
        <v/>
      </c>
      <c r="S98" s="126" t="str">
        <f t="shared" si="33"/>
        <v/>
      </c>
      <c r="T98" s="63"/>
      <c r="U98" s="35"/>
    </row>
    <row r="99" spans="2:22" x14ac:dyDescent="0.25">
      <c r="C99" s="91"/>
      <c r="D99" s="124">
        <f t="shared" si="30"/>
        <v>2016</v>
      </c>
      <c r="E99" s="63"/>
      <c r="F99" s="63"/>
      <c r="G99" s="125">
        <f t="shared" si="31"/>
        <v>2.1507059031848907E-2</v>
      </c>
      <c r="H99" s="63"/>
      <c r="I99" s="121"/>
      <c r="J99" s="91"/>
      <c r="K99" s="27">
        <f t="shared" si="28"/>
        <v>2016</v>
      </c>
      <c r="L99" s="67" t="str">
        <f t="shared" si="32"/>
        <v/>
      </c>
      <c r="M99" s="67" t="str">
        <f t="shared" si="32"/>
        <v/>
      </c>
      <c r="N99" s="63"/>
      <c r="O99" s="145"/>
      <c r="P99" s="91"/>
      <c r="Q99" s="27">
        <f t="shared" si="29"/>
        <v>2016</v>
      </c>
      <c r="R99" s="126" t="str">
        <f t="shared" si="33"/>
        <v/>
      </c>
      <c r="S99" s="126" t="str">
        <f t="shared" si="33"/>
        <v/>
      </c>
      <c r="T99" s="63"/>
      <c r="U99" s="35"/>
    </row>
    <row r="100" spans="2:22" x14ac:dyDescent="0.25">
      <c r="C100" s="91"/>
      <c r="D100" s="124">
        <f t="shared" si="30"/>
        <v>2017</v>
      </c>
      <c r="E100" s="63"/>
      <c r="F100" s="63"/>
      <c r="G100" s="125">
        <f t="shared" si="31"/>
        <v>-3.3185856751839826E-2</v>
      </c>
      <c r="H100" s="63"/>
      <c r="I100" s="121"/>
      <c r="J100" s="91"/>
      <c r="K100" s="27">
        <f t="shared" si="28"/>
        <v>2017</v>
      </c>
      <c r="L100" s="67" t="str">
        <f>IF(K91="Forecast","",IF(L90=0,"",L91/L90-1))</f>
        <v/>
      </c>
      <c r="M100" s="67" t="str">
        <f t="shared" si="32"/>
        <v/>
      </c>
      <c r="N100" s="63"/>
      <c r="O100" s="145"/>
      <c r="P100" s="91"/>
      <c r="Q100" s="27">
        <f t="shared" si="29"/>
        <v>2017</v>
      </c>
      <c r="R100" s="126" t="str">
        <f>IF(Q91="Forecast","",IF(R90=0,"",R91/R90-1))</f>
        <v/>
      </c>
      <c r="S100" s="126" t="str">
        <f t="shared" si="33"/>
        <v/>
      </c>
      <c r="T100" s="63"/>
      <c r="U100" s="35"/>
    </row>
    <row r="101" spans="2:22" x14ac:dyDescent="0.25">
      <c r="C101" s="91"/>
      <c r="D101" s="146">
        <f t="shared" si="30"/>
        <v>2018</v>
      </c>
      <c r="E101" s="63"/>
      <c r="F101" s="63"/>
      <c r="G101" s="125">
        <f t="shared" si="31"/>
        <v>5.5847794635830228E-2</v>
      </c>
      <c r="H101" s="63"/>
      <c r="I101" s="127">
        <f>IF(I93=0,"",G92/I93-1)</f>
        <v>4.5058174436481746E-2</v>
      </c>
      <c r="J101" s="91"/>
      <c r="K101" s="27">
        <f t="shared" si="28"/>
        <v>2018</v>
      </c>
      <c r="L101" s="67" t="str">
        <f>IF(K92="Forecast","",IF(L91=0,"",L92/L91-1))</f>
        <v/>
      </c>
      <c r="M101" s="67" t="str">
        <f t="shared" si="32"/>
        <v/>
      </c>
      <c r="N101" s="63"/>
      <c r="O101" s="147" t="str">
        <f>IF(O93=0,"",M92/O93-1)</f>
        <v/>
      </c>
      <c r="P101" s="91"/>
      <c r="Q101" s="27">
        <f t="shared" si="29"/>
        <v>2018</v>
      </c>
      <c r="R101" s="126" t="str">
        <f>IF(Q92="Forecast","",IF(R91=0,"",R92/R91-1))</f>
        <v/>
      </c>
      <c r="S101" s="126" t="str">
        <f t="shared" si="33"/>
        <v/>
      </c>
      <c r="T101" s="63"/>
      <c r="U101" s="68" t="str">
        <f>IF(U93=0,"",S92/U93-1)</f>
        <v/>
      </c>
    </row>
    <row r="102" spans="2:22" ht="30.75" thickBot="1" x14ac:dyDescent="0.3">
      <c r="C102" s="18"/>
      <c r="D102" s="128" t="s">
        <v>37</v>
      </c>
      <c r="E102" s="71"/>
      <c r="F102" s="71"/>
      <c r="G102" s="129">
        <f>IF(G86=0,"",(G92/G86)^(1/($D92-$D86-1))-1)</f>
        <v>5.2126102439871369E-2</v>
      </c>
      <c r="H102" s="71"/>
      <c r="I102" s="286">
        <f>IF(I93=0,"",(G92/I93)^(1/(TestYear-RebaseYear-1))-1)</f>
        <v>4.5058174436481746E-2</v>
      </c>
      <c r="J102" s="91"/>
      <c r="K102" s="75" t="str">
        <f t="shared" si="28"/>
        <v>Geometric Mean</v>
      </c>
      <c r="L102" s="76" t="str">
        <f>IF(L86=0,"",(L90/L86)^(1/($D90-$D86-1))-1)</f>
        <v/>
      </c>
      <c r="M102" s="76" t="str">
        <f>IF(M86=0,"",(M92/M86)^(1/($D92-$D86-1))-1)</f>
        <v/>
      </c>
      <c r="N102" s="71"/>
      <c r="O102" s="77" t="str">
        <f>IF(O93=0,"",(M92/O93)^(1/(TestYear-RebaseYear-1))-1)</f>
        <v/>
      </c>
      <c r="P102" s="18"/>
      <c r="Q102" s="75" t="str">
        <f t="shared" si="29"/>
        <v>Geometric Mean</v>
      </c>
      <c r="R102" s="131" t="str">
        <f>IF(R86="","",IF(R86=0,"",(R90/R86)^(1/($D90-$D86-1))-1))</f>
        <v/>
      </c>
      <c r="S102" s="76" t="str">
        <f>IF(S86="","",IF(S86=0,"",(S92/S86)^(1/($D92-$D86-1))-1))</f>
        <v/>
      </c>
      <c r="T102" s="71"/>
      <c r="U102" s="77" t="str">
        <f>IF(U93=0,"",(S92/U93)^(1/(TestYear-RebaseYear-1))-1)</f>
        <v/>
      </c>
    </row>
    <row r="103" spans="2:22" ht="15.75" thickBot="1" x14ac:dyDescent="0.3"/>
    <row r="104" spans="2:22" ht="15.75" thickBot="1" x14ac:dyDescent="0.3">
      <c r="B104" s="79">
        <v>2</v>
      </c>
      <c r="C104" s="80" t="s">
        <v>39</v>
      </c>
      <c r="D104" s="309" t="s">
        <v>47</v>
      </c>
      <c r="E104" s="310"/>
      <c r="F104" s="311"/>
      <c r="G104" s="81"/>
      <c r="H104" s="82" t="s">
        <v>41</v>
      </c>
      <c r="N104" s="83" t="s">
        <v>42</v>
      </c>
      <c r="O104" s="84"/>
      <c r="P104" s="84"/>
      <c r="Q104" s="84"/>
      <c r="R104" s="84"/>
      <c r="S104" s="84"/>
      <c r="T104" s="84"/>
      <c r="U104" s="84"/>
    </row>
    <row r="105" spans="2:22" ht="15.75" thickBot="1" x14ac:dyDescent="0.3">
      <c r="Q105" s="71"/>
      <c r="R105" s="71"/>
      <c r="S105" s="71"/>
      <c r="T105" s="71"/>
      <c r="U105" s="71"/>
    </row>
    <row r="106" spans="2:22" ht="14.65" customHeight="1" x14ac:dyDescent="0.25">
      <c r="C106" s="13"/>
      <c r="D106" s="14" t="s">
        <v>23</v>
      </c>
      <c r="E106" s="14"/>
      <c r="F106" s="312" t="s">
        <v>43</v>
      </c>
      <c r="G106" s="313"/>
      <c r="H106" s="313"/>
      <c r="I106" s="314"/>
      <c r="J106" s="14"/>
      <c r="K106" s="300" t="s">
        <v>24</v>
      </c>
      <c r="L106" s="301"/>
      <c r="M106" s="301"/>
      <c r="N106" s="301"/>
      <c r="O106" s="302"/>
      <c r="P106" s="15"/>
      <c r="Q106" s="303" t="str">
        <f>CONCATENATE("Consumption (kWh) per ",LEFT(F106,LEN(F106)-1))</f>
        <v>Consumption (kWh) per Customer</v>
      </c>
      <c r="R106" s="304"/>
      <c r="S106" s="304"/>
      <c r="T106" s="304"/>
      <c r="U106" s="305"/>
      <c r="V106" s="85"/>
    </row>
    <row r="107" spans="2:22" ht="39" thickBot="1" x14ac:dyDescent="0.3">
      <c r="C107" s="18"/>
      <c r="D107" s="19" t="str">
        <f>CONCATENATE("(for ",TestYear," Cost of Service")</f>
        <v>(for 2017 Cost of Service</v>
      </c>
      <c r="E107" s="26"/>
      <c r="F107" s="306"/>
      <c r="G107" s="307"/>
      <c r="H107" s="315"/>
      <c r="I107" s="86"/>
      <c r="J107" s="26"/>
      <c r="K107" s="22"/>
      <c r="L107" s="23" t="s">
        <v>25</v>
      </c>
      <c r="M107" s="23" t="s">
        <v>26</v>
      </c>
      <c r="N107" s="24"/>
      <c r="O107" s="25" t="s">
        <v>26</v>
      </c>
      <c r="P107" s="26"/>
      <c r="Q107" s="87"/>
      <c r="R107" s="88" t="str">
        <f>L107</f>
        <v>Actual (Weather actual)</v>
      </c>
      <c r="S107" s="89" t="str">
        <f>M107</f>
        <v>Weather-normalized</v>
      </c>
      <c r="T107" s="89"/>
      <c r="U107" s="90" t="str">
        <f>O107</f>
        <v>Weather-normalized</v>
      </c>
      <c r="V107" s="85"/>
    </row>
    <row r="108" spans="2:22" x14ac:dyDescent="0.25">
      <c r="C108" s="26" t="s">
        <v>27</v>
      </c>
      <c r="D108" s="27">
        <f t="shared" ref="D108:D113" si="34">D109-1</f>
        <v>2012</v>
      </c>
      <c r="E108" s="91"/>
      <c r="F108" s="92" t="str">
        <f>F65</f>
        <v>Actual</v>
      </c>
      <c r="G108" s="93">
        <v>370995</v>
      </c>
      <c r="H108" s="32" t="str">
        <f t="shared" ref="H108:H114" si="35">IF(D108=RebaseYear,"Board-approved","")</f>
        <v/>
      </c>
      <c r="I108" s="35"/>
      <c r="J108" s="91"/>
      <c r="K108" s="94" t="str">
        <f>F108</f>
        <v>Actual</v>
      </c>
      <c r="L108" s="95">
        <v>5515270825.6500015</v>
      </c>
      <c r="M108" s="95">
        <v>5639924883.9919882</v>
      </c>
      <c r="N108" s="37" t="str">
        <f>H108</f>
        <v/>
      </c>
      <c r="O108" s="35"/>
      <c r="P108" s="91"/>
      <c r="Q108" s="96" t="str">
        <f>K108</f>
        <v>Actual</v>
      </c>
      <c r="R108" s="97">
        <f>IF(G108=0,"",L108/G108)</f>
        <v>14866.159451340318</v>
      </c>
      <c r="S108" s="63">
        <f>IF(G108=0,"",M108/G108)</f>
        <v>15202.15874605315</v>
      </c>
      <c r="T108" s="63" t="str">
        <f>N108</f>
        <v/>
      </c>
      <c r="U108" s="63" t="str">
        <f>IF(T108="","",IF(I108=0,"",O108/I108))</f>
        <v/>
      </c>
      <c r="V108" s="28"/>
    </row>
    <row r="109" spans="2:22" x14ac:dyDescent="0.25">
      <c r="C109" s="26" t="s">
        <v>27</v>
      </c>
      <c r="D109" s="27">
        <f t="shared" si="34"/>
        <v>2013</v>
      </c>
      <c r="E109" s="91"/>
      <c r="F109" s="98" t="str">
        <f t="shared" ref="F109:F114" si="36">F66</f>
        <v>Actual</v>
      </c>
      <c r="G109" s="93">
        <v>373980.38726145378</v>
      </c>
      <c r="H109" s="32"/>
      <c r="I109" s="35"/>
      <c r="J109" s="91"/>
      <c r="K109" s="94" t="str">
        <f t="shared" ref="K109:K114" si="37">F109</f>
        <v>Actual</v>
      </c>
      <c r="L109" s="95">
        <v>5563324778.0025787</v>
      </c>
      <c r="M109" s="95">
        <v>5532183650.6867847</v>
      </c>
      <c r="N109" s="37"/>
      <c r="O109" s="35"/>
      <c r="P109" s="91"/>
      <c r="Q109" s="96" t="str">
        <f t="shared" ref="Q109:Q114" si="38">K109</f>
        <v>Actual</v>
      </c>
      <c r="R109" s="97">
        <f t="shared" ref="R109:R114" si="39">IF(G109=0,"",L109/G109)</f>
        <v>14875.980044678647</v>
      </c>
      <c r="S109" s="63">
        <f t="shared" ref="S109:S114" si="40">IF(G109=0,"",M109/G109)</f>
        <v>14792.710631691962</v>
      </c>
      <c r="T109" s="63"/>
      <c r="U109" s="63" t="str">
        <f t="shared" ref="U109:U114" si="41">IF(T109="","",IF(I109=0,"",O109/I109))</f>
        <v/>
      </c>
      <c r="V109" s="28"/>
    </row>
    <row r="110" spans="2:22" x14ac:dyDescent="0.25">
      <c r="C110" s="26" t="s">
        <v>27</v>
      </c>
      <c r="D110" s="27">
        <f t="shared" si="34"/>
        <v>2014</v>
      </c>
      <c r="E110" s="91"/>
      <c r="F110" s="98" t="str">
        <f t="shared" si="36"/>
        <v>Actual</v>
      </c>
      <c r="G110" s="93">
        <v>373551</v>
      </c>
      <c r="H110" s="32" t="str">
        <f t="shared" si="35"/>
        <v/>
      </c>
      <c r="I110" s="36"/>
      <c r="J110" s="91"/>
      <c r="K110" s="94" t="str">
        <f t="shared" si="37"/>
        <v>Actual</v>
      </c>
      <c r="L110" s="95">
        <v>5541400402.6831503</v>
      </c>
      <c r="M110" s="95">
        <v>5484748501.2925529</v>
      </c>
      <c r="N110" s="37" t="str">
        <f t="shared" ref="N110:N114" si="42">H110</f>
        <v/>
      </c>
      <c r="O110" s="36"/>
      <c r="P110" s="91"/>
      <c r="Q110" s="96" t="str">
        <f t="shared" si="38"/>
        <v>Actual</v>
      </c>
      <c r="R110" s="97">
        <f t="shared" si="39"/>
        <v>14834.387815005583</v>
      </c>
      <c r="S110" s="63">
        <f t="shared" si="40"/>
        <v>14682.730072446742</v>
      </c>
      <c r="T110" s="63" t="str">
        <f t="shared" ref="T110:T114" si="43">N110</f>
        <v/>
      </c>
      <c r="U110" s="63" t="str">
        <f t="shared" si="41"/>
        <v/>
      </c>
      <c r="V110" s="28"/>
    </row>
    <row r="111" spans="2:22" x14ac:dyDescent="0.25">
      <c r="C111" s="26" t="s">
        <v>27</v>
      </c>
      <c r="D111" s="27">
        <f t="shared" si="34"/>
        <v>2015</v>
      </c>
      <c r="E111" s="91"/>
      <c r="F111" s="98" t="str">
        <f t="shared" si="36"/>
        <v>Actual</v>
      </c>
      <c r="G111" s="93">
        <v>328170.23885224288</v>
      </c>
      <c r="H111" s="31" t="s">
        <v>29</v>
      </c>
      <c r="I111" s="100">
        <v>334550.76694052614</v>
      </c>
      <c r="J111" s="91"/>
      <c r="K111" s="94" t="str">
        <f t="shared" si="37"/>
        <v>Actual</v>
      </c>
      <c r="L111" s="95">
        <v>4766551989.7551126</v>
      </c>
      <c r="M111" s="95">
        <v>4738269780.0991936</v>
      </c>
      <c r="N111" s="37" t="str">
        <f t="shared" si="42"/>
        <v>Board-approved</v>
      </c>
      <c r="O111" s="35">
        <v>4816260166.2785091</v>
      </c>
      <c r="P111" s="91"/>
      <c r="Q111" s="96" t="str">
        <f t="shared" si="38"/>
        <v>Actual</v>
      </c>
      <c r="R111" s="97">
        <f t="shared" si="39"/>
        <v>14524.632112972409</v>
      </c>
      <c r="S111" s="63">
        <f t="shared" si="40"/>
        <v>14438.450594030184</v>
      </c>
      <c r="T111" s="63" t="str">
        <f t="shared" si="43"/>
        <v>Board-approved</v>
      </c>
      <c r="U111" s="63">
        <f t="shared" si="41"/>
        <v>14396.20124121463</v>
      </c>
      <c r="V111" s="28"/>
    </row>
    <row r="112" spans="2:22" x14ac:dyDescent="0.25">
      <c r="C112" s="26" t="s">
        <v>27</v>
      </c>
      <c r="D112" s="27">
        <f t="shared" si="34"/>
        <v>2016</v>
      </c>
      <c r="E112" s="91"/>
      <c r="F112" s="98" t="str">
        <f t="shared" si="36"/>
        <v>Actual</v>
      </c>
      <c r="G112" s="93">
        <v>328766</v>
      </c>
      <c r="H112" s="32" t="str">
        <f t="shared" si="35"/>
        <v/>
      </c>
      <c r="I112" s="35"/>
      <c r="J112" s="91"/>
      <c r="K112" s="94" t="str">
        <f t="shared" si="37"/>
        <v>Actual</v>
      </c>
      <c r="L112" s="95">
        <v>4614396337.0727558</v>
      </c>
      <c r="M112" s="95">
        <v>4667897078.7022572</v>
      </c>
      <c r="N112" s="37" t="str">
        <f t="shared" si="42"/>
        <v/>
      </c>
      <c r="O112" s="35"/>
      <c r="P112" s="91"/>
      <c r="Q112" s="96" t="str">
        <f t="shared" si="38"/>
        <v>Actual</v>
      </c>
      <c r="R112" s="97">
        <f t="shared" si="39"/>
        <v>14035.503479899855</v>
      </c>
      <c r="S112" s="63">
        <f t="shared" si="40"/>
        <v>14198.235458357181</v>
      </c>
      <c r="T112" s="63" t="str">
        <f t="shared" si="43"/>
        <v/>
      </c>
      <c r="U112" s="63" t="str">
        <f t="shared" si="41"/>
        <v/>
      </c>
      <c r="V112" s="28"/>
    </row>
    <row r="113" spans="2:22" x14ac:dyDescent="0.25">
      <c r="C113" s="26" t="s">
        <v>30</v>
      </c>
      <c r="D113" s="27">
        <f t="shared" si="34"/>
        <v>2017</v>
      </c>
      <c r="E113" s="91"/>
      <c r="F113" s="98" t="str">
        <f t="shared" si="36"/>
        <v>Forecast</v>
      </c>
      <c r="G113" s="93">
        <v>330694.81516995421</v>
      </c>
      <c r="H113" s="32" t="str">
        <f t="shared" si="35"/>
        <v/>
      </c>
      <c r="I113" s="35"/>
      <c r="J113" s="91"/>
      <c r="K113" s="94" t="str">
        <f t="shared" si="37"/>
        <v>Forecast</v>
      </c>
      <c r="L113" s="102"/>
      <c r="M113" s="103">
        <v>4639677876.475749</v>
      </c>
      <c r="N113" s="37" t="str">
        <f t="shared" si="42"/>
        <v/>
      </c>
      <c r="O113" s="35"/>
      <c r="P113" s="91"/>
      <c r="Q113" s="96" t="str">
        <f t="shared" si="38"/>
        <v>Forecast</v>
      </c>
      <c r="R113" s="97">
        <f t="shared" si="39"/>
        <v>0</v>
      </c>
      <c r="S113" s="63">
        <f t="shared" si="40"/>
        <v>14030.089567903495</v>
      </c>
      <c r="T113" s="63" t="str">
        <f t="shared" si="43"/>
        <v/>
      </c>
      <c r="U113" s="63" t="str">
        <f t="shared" si="41"/>
        <v/>
      </c>
      <c r="V113" s="28"/>
    </row>
    <row r="114" spans="2:22" ht="15.75" thickBot="1" x14ac:dyDescent="0.3">
      <c r="C114" s="39" t="s">
        <v>32</v>
      </c>
      <c r="D114" s="104">
        <v>2018</v>
      </c>
      <c r="E114" s="18"/>
      <c r="F114" s="105" t="str">
        <f t="shared" si="36"/>
        <v>Forecast</v>
      </c>
      <c r="G114" s="106">
        <v>328410.3530898749</v>
      </c>
      <c r="H114" s="44" t="str">
        <f t="shared" si="35"/>
        <v/>
      </c>
      <c r="I114" s="46"/>
      <c r="J114" s="18"/>
      <c r="K114" s="108" t="str">
        <f t="shared" si="37"/>
        <v>Forecast</v>
      </c>
      <c r="L114" s="109"/>
      <c r="M114" s="110">
        <v>4539367305.8441877</v>
      </c>
      <c r="N114" s="111" t="str">
        <f t="shared" si="42"/>
        <v/>
      </c>
      <c r="O114" s="46"/>
      <c r="P114" s="18"/>
      <c r="Q114" s="112" t="str">
        <f t="shared" si="38"/>
        <v>Forecast</v>
      </c>
      <c r="R114" s="113">
        <f t="shared" si="39"/>
        <v>0</v>
      </c>
      <c r="S114" s="71">
        <f t="shared" si="40"/>
        <v>13822.241787249366</v>
      </c>
      <c r="T114" s="71" t="str">
        <f t="shared" si="43"/>
        <v/>
      </c>
      <c r="U114" s="71" t="str">
        <f t="shared" si="41"/>
        <v/>
      </c>
      <c r="V114" s="28"/>
    </row>
    <row r="115" spans="2:22" ht="15.75" thickBot="1" x14ac:dyDescent="0.3">
      <c r="B115" s="63"/>
      <c r="C115" s="114"/>
      <c r="I115" s="52">
        <f>SUM(I108:I113)</f>
        <v>334550.76694052614</v>
      </c>
      <c r="O115" s="52">
        <f>SUM(O108:O113)</f>
        <v>4816260166.2785091</v>
      </c>
      <c r="U115" s="52">
        <f>SUM(U108:U113)</f>
        <v>14396.20124121463</v>
      </c>
    </row>
    <row r="116" spans="2:22" ht="39" thickBot="1" x14ac:dyDescent="0.3">
      <c r="C116" s="115" t="s">
        <v>33</v>
      </c>
      <c r="D116" s="116" t="s">
        <v>34</v>
      </c>
      <c r="E116" s="48"/>
      <c r="F116" s="48"/>
      <c r="G116" s="270" t="s">
        <v>35</v>
      </c>
      <c r="H116" s="48"/>
      <c r="I116" s="60" t="s">
        <v>44</v>
      </c>
      <c r="J116" s="117"/>
      <c r="K116" s="58" t="s">
        <v>34</v>
      </c>
      <c r="L116" s="308" t="s">
        <v>35</v>
      </c>
      <c r="M116" s="308"/>
      <c r="N116" s="48"/>
      <c r="O116" s="60" t="str">
        <f>I116</f>
        <v>Test Year Versus Board-approved</v>
      </c>
      <c r="P116" s="118"/>
      <c r="Q116" s="58" t="s">
        <v>34</v>
      </c>
      <c r="R116" s="308" t="s">
        <v>35</v>
      </c>
      <c r="S116" s="308"/>
      <c r="T116" s="48"/>
      <c r="U116" s="60" t="str">
        <f>O116</f>
        <v>Test Year Versus Board-approved</v>
      </c>
    </row>
    <row r="117" spans="2:22" x14ac:dyDescent="0.25">
      <c r="C117" s="91"/>
      <c r="D117" s="119">
        <f t="shared" ref="D117:D123" si="44">D108</f>
        <v>2012</v>
      </c>
      <c r="E117" s="63"/>
      <c r="F117" s="63"/>
      <c r="G117" s="120"/>
      <c r="H117" s="63"/>
      <c r="I117" s="121"/>
      <c r="J117" s="122"/>
      <c r="K117" s="27">
        <f>D117</f>
        <v>2012</v>
      </c>
      <c r="L117" s="65"/>
      <c r="M117" s="65"/>
      <c r="N117" s="63"/>
      <c r="O117" s="35"/>
      <c r="P117" s="91"/>
      <c r="Q117" s="27">
        <f>K117</f>
        <v>2012</v>
      </c>
      <c r="R117" s="123"/>
      <c r="S117" s="123"/>
      <c r="T117" s="63"/>
      <c r="U117" s="35"/>
    </row>
    <row r="118" spans="2:22" x14ac:dyDescent="0.25">
      <c r="C118" s="91"/>
      <c r="D118" s="124">
        <f t="shared" si="44"/>
        <v>2013</v>
      </c>
      <c r="E118" s="63"/>
      <c r="F118" s="63"/>
      <c r="G118" s="125">
        <f t="shared" ref="G118:G123" si="45">IF(G108=0,"",G109/G108-1)</f>
        <v>8.0469743836273366E-3</v>
      </c>
      <c r="H118" s="63"/>
      <c r="I118" s="121"/>
      <c r="J118" s="122"/>
      <c r="K118" s="27">
        <f t="shared" ref="K118:K124" si="46">D118</f>
        <v>2013</v>
      </c>
      <c r="L118" s="67">
        <f t="shared" ref="L118:M121" si="47">IF(L108=0,"",L109/L108-1)</f>
        <v>8.7128907848172954E-3</v>
      </c>
      <c r="M118" s="67">
        <f t="shared" si="47"/>
        <v>-1.9103309976877481E-2</v>
      </c>
      <c r="N118" s="63"/>
      <c r="O118" s="35"/>
      <c r="P118" s="91"/>
      <c r="Q118" s="27">
        <f t="shared" ref="Q118:Q124" si="48">K118</f>
        <v>2013</v>
      </c>
      <c r="R118" s="126">
        <f>IF(R108="","",IF(R108=0,"",R109/R108-1))</f>
        <v>6.6060056536287881E-4</v>
      </c>
      <c r="S118" s="126">
        <f>IF(S108="","",IF(S108=0,"",S109/S108-1))</f>
        <v>-2.6933550767419212E-2</v>
      </c>
      <c r="T118" s="63"/>
      <c r="U118" s="35"/>
    </row>
    <row r="119" spans="2:22" x14ac:dyDescent="0.25">
      <c r="C119" s="91"/>
      <c r="D119" s="124">
        <f t="shared" si="44"/>
        <v>2014</v>
      </c>
      <c r="E119" s="63"/>
      <c r="F119" s="63"/>
      <c r="G119" s="125">
        <f t="shared" si="45"/>
        <v>-1.1481544917316677E-3</v>
      </c>
      <c r="H119" s="63"/>
      <c r="I119" s="121"/>
      <c r="J119" s="122"/>
      <c r="K119" s="27">
        <f t="shared" si="46"/>
        <v>2014</v>
      </c>
      <c r="L119" s="67">
        <f t="shared" si="47"/>
        <v>-3.9408763993282747E-3</v>
      </c>
      <c r="M119" s="67">
        <f t="shared" si="47"/>
        <v>-8.5743988973220331E-3</v>
      </c>
      <c r="N119" s="63"/>
      <c r="O119" s="35"/>
      <c r="P119" s="91"/>
      <c r="Q119" s="27">
        <f t="shared" si="48"/>
        <v>2014</v>
      </c>
      <c r="R119" s="126">
        <f t="shared" ref="R119:S123" si="49">IF(R109="","",IF(R109=0,"",R110/R109-1))</f>
        <v>-2.795932069560858E-3</v>
      </c>
      <c r="S119" s="126">
        <f t="shared" si="49"/>
        <v>-7.4347806824258678E-3</v>
      </c>
      <c r="T119" s="63"/>
      <c r="U119" s="35"/>
    </row>
    <row r="120" spans="2:22" x14ac:dyDescent="0.25">
      <c r="C120" s="91"/>
      <c r="D120" s="124">
        <f t="shared" si="44"/>
        <v>2015</v>
      </c>
      <c r="E120" s="63"/>
      <c r="F120" s="63"/>
      <c r="G120" s="125">
        <f t="shared" si="45"/>
        <v>-0.12148478025157772</v>
      </c>
      <c r="H120" s="63"/>
      <c r="I120" s="121"/>
      <c r="J120" s="122"/>
      <c r="K120" s="27">
        <f t="shared" si="46"/>
        <v>2015</v>
      </c>
      <c r="L120" s="67">
        <f t="shared" si="47"/>
        <v>-0.13982898845440861</v>
      </c>
      <c r="M120" s="67">
        <f t="shared" si="47"/>
        <v>-0.1361008113712856</v>
      </c>
      <c r="N120" s="63"/>
      <c r="O120" s="35"/>
      <c r="P120" s="91"/>
      <c r="Q120" s="27">
        <f t="shared" si="48"/>
        <v>2015</v>
      </c>
      <c r="R120" s="126">
        <f t="shared" si="49"/>
        <v>-2.0880922482007791E-2</v>
      </c>
      <c r="S120" s="126">
        <f t="shared" si="49"/>
        <v>-1.6637197388445268E-2</v>
      </c>
      <c r="T120" s="63"/>
      <c r="U120" s="35"/>
    </row>
    <row r="121" spans="2:22" x14ac:dyDescent="0.25">
      <c r="C121" s="91"/>
      <c r="D121" s="124">
        <f t="shared" si="44"/>
        <v>2016</v>
      </c>
      <c r="E121" s="63"/>
      <c r="F121" s="63"/>
      <c r="G121" s="125">
        <f t="shared" si="45"/>
        <v>1.8154027307313303E-3</v>
      </c>
      <c r="H121" s="63"/>
      <c r="I121" s="121"/>
      <c r="J121" s="122"/>
      <c r="K121" s="27">
        <f t="shared" si="46"/>
        <v>2016</v>
      </c>
      <c r="L121" s="67">
        <f t="shared" si="47"/>
        <v>-3.192153426824873E-2</v>
      </c>
      <c r="M121" s="67">
        <f t="shared" si="47"/>
        <v>-1.4851982825566989E-2</v>
      </c>
      <c r="N121" s="63"/>
      <c r="O121" s="35"/>
      <c r="P121" s="91"/>
      <c r="Q121" s="27">
        <f t="shared" si="48"/>
        <v>2016</v>
      </c>
      <c r="R121" s="126">
        <f t="shared" si="49"/>
        <v>-3.3675801856330567E-2</v>
      </c>
      <c r="S121" s="126">
        <f t="shared" si="49"/>
        <v>-1.6637182369992232E-2</v>
      </c>
      <c r="T121" s="63"/>
      <c r="U121" s="35"/>
    </row>
    <row r="122" spans="2:22" x14ac:dyDescent="0.25">
      <c r="C122" s="91"/>
      <c r="D122" s="124">
        <f t="shared" si="44"/>
        <v>2017</v>
      </c>
      <c r="E122" s="63"/>
      <c r="F122" s="63"/>
      <c r="G122" s="125">
        <f t="shared" si="45"/>
        <v>5.8668328536228831E-3</v>
      </c>
      <c r="H122" s="63"/>
      <c r="I122" s="121"/>
      <c r="J122" s="122"/>
      <c r="K122" s="27">
        <f t="shared" si="46"/>
        <v>2017</v>
      </c>
      <c r="L122" s="67" t="str">
        <f>IF(K113="Forecast","",IF(L112=0,"",L113/L112-1))</f>
        <v/>
      </c>
      <c r="M122" s="67">
        <f>IF(M112=0,"",M113/M112-1)</f>
        <v>-6.0453779830024201E-3</v>
      </c>
      <c r="N122" s="63"/>
      <c r="O122" s="35"/>
      <c r="P122" s="91"/>
      <c r="Q122" s="27">
        <f t="shared" si="48"/>
        <v>2017</v>
      </c>
      <c r="R122" s="126" t="str">
        <f>IF(Q113="Forecast","",IF(R112=0,"",R113/R112-1))</f>
        <v/>
      </c>
      <c r="S122" s="126">
        <f t="shared" si="49"/>
        <v>-1.1842731510324001E-2</v>
      </c>
      <c r="T122" s="63"/>
      <c r="U122" s="35"/>
    </row>
    <row r="123" spans="2:22" x14ac:dyDescent="0.25">
      <c r="C123" s="91"/>
      <c r="D123" s="124">
        <f t="shared" si="44"/>
        <v>2018</v>
      </c>
      <c r="E123" s="63"/>
      <c r="F123" s="63"/>
      <c r="G123" s="125">
        <f t="shared" si="45"/>
        <v>-6.9080674243570117E-3</v>
      </c>
      <c r="H123" s="63"/>
      <c r="I123" s="127">
        <f>IF(I115=0,"",G114/I115-1)</f>
        <v>-1.8354206468589096E-2</v>
      </c>
      <c r="J123" s="122"/>
      <c r="K123" s="27">
        <f t="shared" si="46"/>
        <v>2018</v>
      </c>
      <c r="L123" s="67" t="str">
        <f>IF(K114="Forecast","",IF(L113=0,"",L114/L113-1))</f>
        <v/>
      </c>
      <c r="M123" s="67">
        <f>IF(M113=0,"",M114/M113-1)</f>
        <v>-2.1620158403702794E-2</v>
      </c>
      <c r="N123" s="63"/>
      <c r="O123" s="68">
        <f>IF(O115=0,"",M114/O115-1)</f>
        <v>-5.7491258959184166E-2</v>
      </c>
      <c r="P123" s="91"/>
      <c r="Q123" s="27">
        <f t="shared" si="48"/>
        <v>2018</v>
      </c>
      <c r="R123" s="126" t="str">
        <f>IF(Q114="Forecast","",IF(R113=0,"",R114/R113-1))</f>
        <v/>
      </c>
      <c r="S123" s="126">
        <f t="shared" si="49"/>
        <v>-1.481443006106109E-2</v>
      </c>
      <c r="T123" s="63"/>
      <c r="U123" s="127">
        <f>IF(U115=0,"",S114/U115-1)</f>
        <v>-3.9868812914485074E-2</v>
      </c>
    </row>
    <row r="124" spans="2:22" ht="30.75" thickBot="1" x14ac:dyDescent="0.3">
      <c r="C124" s="18"/>
      <c r="D124" s="128" t="s">
        <v>37</v>
      </c>
      <c r="E124" s="71"/>
      <c r="F124" s="71"/>
      <c r="G124" s="129">
        <f>IF(G108=0,"",(G114/G108)^(1/($D114-$D108-1))-1)</f>
        <v>-2.409002592322218E-2</v>
      </c>
      <c r="H124" s="287"/>
      <c r="I124" s="286">
        <f>IF(I115=0,"",(G114/I115)^(1/(TestYear-RebaseYear-1))-1)</f>
        <v>-1.8354206468589096E-2</v>
      </c>
      <c r="J124" s="74"/>
      <c r="K124" s="75" t="str">
        <f t="shared" si="46"/>
        <v>Geometric Mean</v>
      </c>
      <c r="L124" s="129">
        <f>IF(L108=0,"",(L112/L108)^(1/($D112-$D108-1))-1)</f>
        <v>-5.7714119451144463E-2</v>
      </c>
      <c r="M124" s="129">
        <f>IF(M108=0,"",(M114/M108)^(1/($D114-$D108-1))-1)</f>
        <v>-4.2487612732399094E-2</v>
      </c>
      <c r="N124" s="287"/>
      <c r="O124" s="286">
        <f>IF(O115=0,"",(M114/O115)^(1/(TestYear-RebaseYear-1))-1)</f>
        <v>-5.7491258959184166E-2</v>
      </c>
      <c r="P124" s="18"/>
      <c r="Q124" s="75" t="str">
        <f t="shared" si="48"/>
        <v>Geometric Mean</v>
      </c>
      <c r="R124" s="129">
        <f>IF(R108="","",IF(R108=0,"",(R112/R108)^(1/($D112-$D108-1))-1))</f>
        <v>-1.8983293939582091E-2</v>
      </c>
      <c r="S124" s="129">
        <f>IF(S108="","",IF(S108=0,"",(S114/S108)^(1/($D114-$D108-1))-1))</f>
        <v>-1.885172536184121E-2</v>
      </c>
      <c r="T124" s="287"/>
      <c r="U124" s="286">
        <f>IF(U115=0,"",(S114/U115)^(1/(TestYear-RebaseYear-1))-1)</f>
        <v>-3.9868812914485074E-2</v>
      </c>
    </row>
    <row r="126" spans="2:22" ht="15.75" thickBot="1" x14ac:dyDescent="0.3">
      <c r="Q126" s="71"/>
      <c r="R126" s="71"/>
      <c r="S126" s="71"/>
      <c r="T126" s="71"/>
      <c r="U126" s="71"/>
    </row>
    <row r="127" spans="2:22" ht="14.65" customHeight="1" x14ac:dyDescent="0.25">
      <c r="C127" s="13"/>
      <c r="D127" s="14" t="s">
        <v>23</v>
      </c>
      <c r="E127" s="14"/>
      <c r="F127" s="297" t="s">
        <v>10</v>
      </c>
      <c r="G127" s="298"/>
      <c r="H127" s="298"/>
      <c r="I127" s="299"/>
      <c r="K127" s="300" t="str">
        <f>IF(ISBLANK(N104),"",CONCATENATE("Demand (",N104,")"))</f>
        <v>Demand (kWh)</v>
      </c>
      <c r="L127" s="301"/>
      <c r="M127" s="301"/>
      <c r="N127" s="301"/>
      <c r="O127" s="302"/>
      <c r="Q127" s="303" t="str">
        <f>CONCATENATE("Demand (",N104,") per ",LEFT(F106,LEN(F106)-1))</f>
        <v>Demand (kWh) per Customer</v>
      </c>
      <c r="R127" s="304"/>
      <c r="S127" s="304"/>
      <c r="T127" s="304"/>
      <c r="U127" s="305"/>
    </row>
    <row r="128" spans="2:22" ht="39" thickBot="1" x14ac:dyDescent="0.3">
      <c r="C128" s="18"/>
      <c r="D128" s="19" t="str">
        <f>CONCATENATE("(for ",TestYear," Cost of Service")</f>
        <v>(for 2017 Cost of Service</v>
      </c>
      <c r="E128" s="26"/>
      <c r="F128" s="306"/>
      <c r="G128" s="307"/>
      <c r="H128" s="307"/>
      <c r="I128" s="86"/>
      <c r="K128" s="22"/>
      <c r="L128" s="23" t="s">
        <v>25</v>
      </c>
      <c r="M128" s="23" t="s">
        <v>26</v>
      </c>
      <c r="N128" s="24"/>
      <c r="O128" s="25" t="str">
        <f>M128</f>
        <v>Weather-normalized</v>
      </c>
      <c r="Q128" s="132"/>
      <c r="R128" s="23" t="str">
        <f>L128</f>
        <v>Actual (Weather actual)</v>
      </c>
      <c r="S128" s="23" t="str">
        <f>M128</f>
        <v>Weather-normalized</v>
      </c>
      <c r="T128" s="23"/>
      <c r="U128" s="133" t="str">
        <f>O128</f>
        <v>Weather-normalized</v>
      </c>
    </row>
    <row r="129" spans="3:21" x14ac:dyDescent="0.25">
      <c r="C129" s="26" t="s">
        <v>27</v>
      </c>
      <c r="D129" s="27">
        <f t="shared" ref="D129:D134" si="50">D130-1</f>
        <v>2012</v>
      </c>
      <c r="E129" s="91"/>
      <c r="F129" s="92" t="str">
        <f t="shared" ref="F129:F135" si="51">F108</f>
        <v>Actual</v>
      </c>
      <c r="G129" s="134">
        <v>446478288.32340002</v>
      </c>
      <c r="H129" s="31" t="str">
        <f t="shared" ref="H129:H135" si="52">IF(D129=RebaseYear,"Board-approved","")</f>
        <v/>
      </c>
      <c r="I129" s="135"/>
      <c r="K129" s="94" t="str">
        <f t="shared" ref="K129:K135" si="53">K108</f>
        <v>Actual</v>
      </c>
      <c r="L129" s="95"/>
      <c r="M129" s="95"/>
      <c r="N129" s="37" t="str">
        <f t="shared" ref="N129:N135" si="54">N108</f>
        <v/>
      </c>
      <c r="O129" s="35"/>
      <c r="Q129" s="96" t="str">
        <f>K129</f>
        <v>Actual</v>
      </c>
      <c r="R129" s="63">
        <f>IF(G129=0,"",L129/G129)</f>
        <v>0</v>
      </c>
      <c r="S129" s="28">
        <f>IF(G129=0,"",M129/G129)</f>
        <v>0</v>
      </c>
      <c r="T129" s="28" t="str">
        <f>N129</f>
        <v/>
      </c>
      <c r="U129" s="91" t="str">
        <f>IF(T129="","",IF(I129=0,"",O129/I129))</f>
        <v/>
      </c>
    </row>
    <row r="130" spans="3:21" x14ac:dyDescent="0.25">
      <c r="C130" s="26" t="s">
        <v>27</v>
      </c>
      <c r="D130" s="27">
        <f t="shared" si="50"/>
        <v>2013</v>
      </c>
      <c r="E130" s="91"/>
      <c r="F130" s="98" t="str">
        <f t="shared" si="51"/>
        <v>Actual</v>
      </c>
      <c r="G130" s="134">
        <v>460610081.16772664</v>
      </c>
      <c r="H130" s="31" t="str">
        <f t="shared" si="52"/>
        <v/>
      </c>
      <c r="I130" s="35"/>
      <c r="K130" s="94" t="str">
        <f t="shared" si="53"/>
        <v>Actual</v>
      </c>
      <c r="L130" s="95"/>
      <c r="M130" s="95"/>
      <c r="N130" s="37">
        <f t="shared" si="54"/>
        <v>0</v>
      </c>
      <c r="O130" s="35"/>
      <c r="Q130" s="96" t="str">
        <f t="shared" ref="Q130:Q135" si="55">K130</f>
        <v>Actual</v>
      </c>
      <c r="R130" s="63">
        <f t="shared" ref="R130:R135" si="56">IF(G130=0,"",L130/G130)</f>
        <v>0</v>
      </c>
      <c r="S130" s="28">
        <f t="shared" ref="S130:S135" si="57">IF(G130=0,"",M130/G130)</f>
        <v>0</v>
      </c>
      <c r="T130" s="28">
        <f t="shared" ref="T130:T135" si="58">N130</f>
        <v>0</v>
      </c>
      <c r="U130" s="91" t="str">
        <f t="shared" ref="U130:U135" si="59">IF(T130="","",IF(I130=0,"",O130/I130))</f>
        <v/>
      </c>
    </row>
    <row r="131" spans="3:21" x14ac:dyDescent="0.25">
      <c r="C131" s="26" t="s">
        <v>27</v>
      </c>
      <c r="D131" s="27">
        <f t="shared" si="50"/>
        <v>2014</v>
      </c>
      <c r="E131" s="91"/>
      <c r="F131" s="98" t="str">
        <f t="shared" si="51"/>
        <v>Actual</v>
      </c>
      <c r="G131" s="134">
        <v>464605028.31592053</v>
      </c>
      <c r="H131" s="31" t="str">
        <f t="shared" si="52"/>
        <v/>
      </c>
      <c r="I131" s="136"/>
      <c r="K131" s="94" t="str">
        <f t="shared" si="53"/>
        <v>Actual</v>
      </c>
      <c r="L131" s="95"/>
      <c r="M131" s="95"/>
      <c r="N131" s="37" t="str">
        <f t="shared" si="54"/>
        <v/>
      </c>
      <c r="O131" s="36"/>
      <c r="Q131" s="96" t="str">
        <f t="shared" si="55"/>
        <v>Actual</v>
      </c>
      <c r="R131" s="63">
        <f t="shared" si="56"/>
        <v>0</v>
      </c>
      <c r="S131" s="28">
        <f t="shared" si="57"/>
        <v>0</v>
      </c>
      <c r="T131" s="28" t="str">
        <f t="shared" si="58"/>
        <v/>
      </c>
      <c r="U131" s="91" t="str">
        <f t="shared" si="59"/>
        <v/>
      </c>
    </row>
    <row r="132" spans="3:21" x14ac:dyDescent="0.25">
      <c r="C132" s="26" t="s">
        <v>27</v>
      </c>
      <c r="D132" s="27">
        <f t="shared" si="50"/>
        <v>2015</v>
      </c>
      <c r="E132" s="91"/>
      <c r="F132" s="98" t="str">
        <f t="shared" si="51"/>
        <v>Actual</v>
      </c>
      <c r="G132" s="134">
        <v>460122372.96080422</v>
      </c>
      <c r="H132" s="31" t="s">
        <v>29</v>
      </c>
      <c r="I132" s="137">
        <v>502406979.64474642</v>
      </c>
      <c r="K132" s="94" t="str">
        <f t="shared" si="53"/>
        <v>Actual</v>
      </c>
      <c r="L132" s="95"/>
      <c r="M132" s="95"/>
      <c r="N132" s="37" t="str">
        <f t="shared" si="54"/>
        <v>Board-approved</v>
      </c>
      <c r="O132" s="35"/>
      <c r="Q132" s="96" t="str">
        <f t="shared" si="55"/>
        <v>Actual</v>
      </c>
      <c r="R132" s="63">
        <f t="shared" si="56"/>
        <v>0</v>
      </c>
      <c r="S132" s="28">
        <f t="shared" si="57"/>
        <v>0</v>
      </c>
      <c r="T132" s="28" t="str">
        <f t="shared" si="58"/>
        <v>Board-approved</v>
      </c>
      <c r="U132" s="91">
        <f>IF(T132="","",IF(I132=0,"",O132/I132))</f>
        <v>0</v>
      </c>
    </row>
    <row r="133" spans="3:21" x14ac:dyDescent="0.25">
      <c r="C133" s="26" t="s">
        <v>27</v>
      </c>
      <c r="D133" s="27">
        <f t="shared" si="50"/>
        <v>2016</v>
      </c>
      <c r="E133" s="91"/>
      <c r="F133" s="98" t="str">
        <f t="shared" si="51"/>
        <v>Actual</v>
      </c>
      <c r="G133" s="134">
        <v>484019973.07929939</v>
      </c>
      <c r="H133" s="31"/>
      <c r="I133" s="35"/>
      <c r="K133" s="94" t="str">
        <f t="shared" si="53"/>
        <v>Actual</v>
      </c>
      <c r="L133" s="95"/>
      <c r="M133" s="95"/>
      <c r="N133" s="37" t="str">
        <f t="shared" si="54"/>
        <v/>
      </c>
      <c r="O133" s="35"/>
      <c r="Q133" s="96" t="str">
        <f t="shared" si="55"/>
        <v>Actual</v>
      </c>
      <c r="R133" s="63">
        <f t="shared" si="56"/>
        <v>0</v>
      </c>
      <c r="S133" s="28">
        <f t="shared" si="57"/>
        <v>0</v>
      </c>
      <c r="T133" s="28" t="str">
        <f t="shared" si="58"/>
        <v/>
      </c>
      <c r="U133" s="91" t="str">
        <f>IF(T133="","",IF(I133=0,"",O133/I133))</f>
        <v/>
      </c>
    </row>
    <row r="134" spans="3:21" x14ac:dyDescent="0.25">
      <c r="C134" s="26" t="s">
        <v>45</v>
      </c>
      <c r="D134" s="27">
        <f t="shared" si="50"/>
        <v>2017</v>
      </c>
      <c r="E134" s="91"/>
      <c r="F134" s="98" t="str">
        <f t="shared" si="51"/>
        <v>Forecast</v>
      </c>
      <c r="G134" s="134">
        <v>492300526.61142206</v>
      </c>
      <c r="H134" s="31" t="str">
        <f t="shared" si="52"/>
        <v/>
      </c>
      <c r="I134" s="35"/>
      <c r="K134" s="94" t="str">
        <f t="shared" si="53"/>
        <v>Forecast</v>
      </c>
      <c r="L134" s="102"/>
      <c r="M134" s="138"/>
      <c r="N134" s="37" t="str">
        <f t="shared" si="54"/>
        <v/>
      </c>
      <c r="O134" s="35"/>
      <c r="Q134" s="96" t="str">
        <f t="shared" si="55"/>
        <v>Forecast</v>
      </c>
      <c r="R134" s="63">
        <f t="shared" si="56"/>
        <v>0</v>
      </c>
      <c r="S134" s="28">
        <f t="shared" si="57"/>
        <v>0</v>
      </c>
      <c r="T134" s="28" t="str">
        <f t="shared" si="58"/>
        <v/>
      </c>
      <c r="U134" s="91" t="str">
        <f t="shared" si="59"/>
        <v/>
      </c>
    </row>
    <row r="135" spans="3:21" ht="15.75" thickBot="1" x14ac:dyDescent="0.3">
      <c r="C135" s="39" t="s">
        <v>46</v>
      </c>
      <c r="D135" s="104">
        <v>2018</v>
      </c>
      <c r="E135" s="18"/>
      <c r="F135" s="105" t="str">
        <f t="shared" si="51"/>
        <v>Forecast</v>
      </c>
      <c r="G135" s="139">
        <v>514470306.09221363</v>
      </c>
      <c r="H135" s="43" t="str">
        <f t="shared" si="52"/>
        <v/>
      </c>
      <c r="I135" s="46"/>
      <c r="K135" s="108" t="str">
        <f t="shared" si="53"/>
        <v>Forecast</v>
      </c>
      <c r="L135" s="109"/>
      <c r="M135" s="140"/>
      <c r="N135" s="111" t="str">
        <f t="shared" si="54"/>
        <v/>
      </c>
      <c r="O135" s="46"/>
      <c r="Q135" s="141" t="str">
        <f t="shared" si="55"/>
        <v>Forecast</v>
      </c>
      <c r="R135" s="40">
        <f t="shared" si="56"/>
        <v>0</v>
      </c>
      <c r="S135" s="40">
        <f t="shared" si="57"/>
        <v>0</v>
      </c>
      <c r="T135" s="40" t="str">
        <f t="shared" si="58"/>
        <v/>
      </c>
      <c r="U135" s="18" t="str">
        <f t="shared" si="59"/>
        <v/>
      </c>
    </row>
    <row r="136" spans="3:21" ht="15.75" thickBot="1" x14ac:dyDescent="0.3">
      <c r="C136" s="114"/>
      <c r="I136" s="52">
        <f>SUM(I129:I134)</f>
        <v>502406979.64474642</v>
      </c>
      <c r="J136" s="63"/>
      <c r="O136" s="52">
        <f>SUM(O129:O134)</f>
        <v>0</v>
      </c>
      <c r="U136" s="52">
        <f>SUM(U129:U134)</f>
        <v>0</v>
      </c>
    </row>
    <row r="137" spans="3:21" ht="39" thickBot="1" x14ac:dyDescent="0.3">
      <c r="C137" s="115" t="s">
        <v>33</v>
      </c>
      <c r="D137" s="116" t="s">
        <v>34</v>
      </c>
      <c r="E137" s="270"/>
      <c r="F137" s="270"/>
      <c r="G137" s="270" t="s">
        <v>35</v>
      </c>
      <c r="H137" s="270"/>
      <c r="I137" s="60" t="str">
        <f>I116</f>
        <v>Test Year Versus Board-approved</v>
      </c>
      <c r="J137" s="142"/>
      <c r="K137" s="58" t="s">
        <v>34</v>
      </c>
      <c r="L137" s="308" t="s">
        <v>35</v>
      </c>
      <c r="M137" s="308"/>
      <c r="N137" s="270"/>
      <c r="O137" s="60" t="str">
        <f>I137</f>
        <v>Test Year Versus Board-approved</v>
      </c>
      <c r="P137" s="143"/>
      <c r="Q137" s="58" t="s">
        <v>34</v>
      </c>
      <c r="R137" s="308" t="s">
        <v>35</v>
      </c>
      <c r="S137" s="308"/>
      <c r="T137" s="270"/>
      <c r="U137" s="60" t="str">
        <f>O137</f>
        <v>Test Year Versus Board-approved</v>
      </c>
    </row>
    <row r="138" spans="3:21" x14ac:dyDescent="0.25">
      <c r="C138" s="91"/>
      <c r="D138" s="144">
        <f>D129</f>
        <v>2012</v>
      </c>
      <c r="E138" s="51"/>
      <c r="F138" s="63"/>
      <c r="G138" s="120"/>
      <c r="H138" s="63"/>
      <c r="I138" s="121"/>
      <c r="J138" s="91"/>
      <c r="K138" s="27">
        <f>D138</f>
        <v>2012</v>
      </c>
      <c r="L138" s="65"/>
      <c r="M138" s="65"/>
      <c r="N138" s="63"/>
      <c r="O138" s="145"/>
      <c r="P138" s="91"/>
      <c r="Q138" s="27">
        <f>K138</f>
        <v>2012</v>
      </c>
      <c r="R138" s="123"/>
      <c r="S138" s="123"/>
      <c r="T138" s="63"/>
      <c r="U138" s="35"/>
    </row>
    <row r="139" spans="3:21" x14ac:dyDescent="0.25">
      <c r="C139" s="91"/>
      <c r="D139" s="124">
        <f>D130</f>
        <v>2013</v>
      </c>
      <c r="E139" s="63"/>
      <c r="F139" s="63"/>
      <c r="G139" s="125">
        <f>IF(G129=0,"",G130/G129-1)</f>
        <v>3.1651691053990128E-2</v>
      </c>
      <c r="H139" s="63"/>
      <c r="I139" s="121"/>
      <c r="J139" s="91"/>
      <c r="K139" s="27">
        <f t="shared" ref="K139:K145" si="60">D139</f>
        <v>2013</v>
      </c>
      <c r="L139" s="67" t="str">
        <f>IF(L129=0,"",L130/L129-1)</f>
        <v/>
      </c>
      <c r="M139" s="67" t="str">
        <f>IF(M129=0,"",M130/M129-1)</f>
        <v/>
      </c>
      <c r="N139" s="63"/>
      <c r="O139" s="145"/>
      <c r="P139" s="91"/>
      <c r="Q139" s="27">
        <f t="shared" ref="Q139:Q145" si="61">K139</f>
        <v>2013</v>
      </c>
      <c r="R139" s="126" t="str">
        <f>IF(R129="","",IF(R129=0,"",R130/R129-1))</f>
        <v/>
      </c>
      <c r="S139" s="126" t="str">
        <f>IF(S129="","",IF(S129=0,"",S130/S129-1))</f>
        <v/>
      </c>
      <c r="T139" s="63"/>
      <c r="U139" s="35"/>
    </row>
    <row r="140" spans="3:21" x14ac:dyDescent="0.25">
      <c r="C140" s="91"/>
      <c r="D140" s="146">
        <f t="shared" ref="D140:D144" si="62">D131</f>
        <v>2014</v>
      </c>
      <c r="E140" s="63"/>
      <c r="F140" s="63"/>
      <c r="G140" s="125">
        <f t="shared" ref="G140:G144" si="63">IF(G130=0,"",G131/G130-1)</f>
        <v>8.6731648123419269E-3</v>
      </c>
      <c r="H140" s="63"/>
      <c r="I140" s="121"/>
      <c r="J140" s="91"/>
      <c r="K140" s="27">
        <f t="shared" si="60"/>
        <v>2014</v>
      </c>
      <c r="L140" s="67" t="str">
        <f t="shared" ref="L140:M144" si="64">IF(L130=0,"",L131/L130-1)</f>
        <v/>
      </c>
      <c r="M140" s="67" t="str">
        <f t="shared" si="64"/>
        <v/>
      </c>
      <c r="N140" s="63"/>
      <c r="O140" s="145"/>
      <c r="P140" s="91"/>
      <c r="Q140" s="27">
        <f t="shared" si="61"/>
        <v>2014</v>
      </c>
      <c r="R140" s="126" t="str">
        <f t="shared" ref="R140:S144" si="65">IF(R130="","",IF(R130=0,"",R131/R130-1))</f>
        <v/>
      </c>
      <c r="S140" s="126" t="str">
        <f t="shared" si="65"/>
        <v/>
      </c>
      <c r="T140" s="63"/>
      <c r="U140" s="35"/>
    </row>
    <row r="141" spans="3:21" x14ac:dyDescent="0.25">
      <c r="C141" s="91"/>
      <c r="D141" s="124">
        <f t="shared" si="62"/>
        <v>2015</v>
      </c>
      <c r="E141" s="63"/>
      <c r="F141" s="63"/>
      <c r="G141" s="125">
        <f t="shared" si="63"/>
        <v>-9.6483143356516088E-3</v>
      </c>
      <c r="H141" s="63"/>
      <c r="I141" s="121"/>
      <c r="J141" s="91"/>
      <c r="K141" s="27">
        <f t="shared" si="60"/>
        <v>2015</v>
      </c>
      <c r="L141" s="67" t="str">
        <f t="shared" si="64"/>
        <v/>
      </c>
      <c r="M141" s="67" t="str">
        <f t="shared" si="64"/>
        <v/>
      </c>
      <c r="N141" s="63"/>
      <c r="O141" s="145"/>
      <c r="P141" s="91"/>
      <c r="Q141" s="27">
        <f t="shared" si="61"/>
        <v>2015</v>
      </c>
      <c r="R141" s="126" t="str">
        <f t="shared" si="65"/>
        <v/>
      </c>
      <c r="S141" s="126" t="str">
        <f t="shared" si="65"/>
        <v/>
      </c>
      <c r="T141" s="63"/>
      <c r="U141" s="35"/>
    </row>
    <row r="142" spans="3:21" x14ac:dyDescent="0.25">
      <c r="C142" s="91"/>
      <c r="D142" s="124">
        <f t="shared" si="62"/>
        <v>2016</v>
      </c>
      <c r="E142" s="63"/>
      <c r="F142" s="63"/>
      <c r="G142" s="125">
        <f t="shared" si="63"/>
        <v>5.1937487770304269E-2</v>
      </c>
      <c r="H142" s="63"/>
      <c r="I142" s="121"/>
      <c r="J142" s="91"/>
      <c r="K142" s="27">
        <f t="shared" si="60"/>
        <v>2016</v>
      </c>
      <c r="L142" s="67" t="str">
        <f t="shared" si="64"/>
        <v/>
      </c>
      <c r="M142" s="67" t="str">
        <f t="shared" si="64"/>
        <v/>
      </c>
      <c r="N142" s="63"/>
      <c r="O142" s="145"/>
      <c r="P142" s="91"/>
      <c r="Q142" s="27">
        <f t="shared" si="61"/>
        <v>2016</v>
      </c>
      <c r="R142" s="126" t="str">
        <f t="shared" si="65"/>
        <v/>
      </c>
      <c r="S142" s="126" t="str">
        <f t="shared" si="65"/>
        <v/>
      </c>
      <c r="T142" s="63"/>
      <c r="U142" s="35"/>
    </row>
    <row r="143" spans="3:21" x14ac:dyDescent="0.25">
      <c r="C143" s="91"/>
      <c r="D143" s="124">
        <f t="shared" si="62"/>
        <v>2017</v>
      </c>
      <c r="E143" s="63"/>
      <c r="F143" s="63"/>
      <c r="G143" s="125">
        <f t="shared" si="63"/>
        <v>1.7107875692489394E-2</v>
      </c>
      <c r="H143" s="63"/>
      <c r="I143" s="121"/>
      <c r="J143" s="91"/>
      <c r="K143" s="27">
        <f t="shared" si="60"/>
        <v>2017</v>
      </c>
      <c r="L143" s="67" t="str">
        <f>IF(K134="Forecast","",IF(L133=0,"",L134/L133-1))</f>
        <v/>
      </c>
      <c r="M143" s="67" t="str">
        <f t="shared" si="64"/>
        <v/>
      </c>
      <c r="N143" s="63"/>
      <c r="O143" s="145"/>
      <c r="P143" s="91"/>
      <c r="Q143" s="27">
        <f t="shared" si="61"/>
        <v>2017</v>
      </c>
      <c r="R143" s="126" t="str">
        <f>IF(Q134="Forecast","",IF(R133=0,"",R134/R133-1))</f>
        <v/>
      </c>
      <c r="S143" s="126" t="str">
        <f t="shared" si="65"/>
        <v/>
      </c>
      <c r="T143" s="63"/>
      <c r="U143" s="35"/>
    </row>
    <row r="144" spans="3:21" x14ac:dyDescent="0.25">
      <c r="C144" s="91"/>
      <c r="D144" s="146">
        <f t="shared" si="62"/>
        <v>2018</v>
      </c>
      <c r="E144" s="63"/>
      <c r="F144" s="63"/>
      <c r="G144" s="125">
        <f t="shared" si="63"/>
        <v>4.5033020040399885E-2</v>
      </c>
      <c r="H144" s="63"/>
      <c r="I144" s="127">
        <f>IF(I136=0,"",G135/I136-1)</f>
        <v>2.4011064607416976E-2</v>
      </c>
      <c r="J144" s="91"/>
      <c r="K144" s="27">
        <f t="shared" si="60"/>
        <v>2018</v>
      </c>
      <c r="L144" s="67" t="str">
        <f>IF(K135="Forecast","",IF(L134=0,"",L135/L134-1))</f>
        <v/>
      </c>
      <c r="M144" s="67" t="str">
        <f t="shared" si="64"/>
        <v/>
      </c>
      <c r="N144" s="63"/>
      <c r="O144" s="147" t="str">
        <f>IF(O136=0,"",M135/O136-1)</f>
        <v/>
      </c>
      <c r="P144" s="91"/>
      <c r="Q144" s="27">
        <f t="shared" si="61"/>
        <v>2018</v>
      </c>
      <c r="R144" s="126" t="str">
        <f>IF(Q135="Forecast","",IF(R134=0,"",R135/R134-1))</f>
        <v/>
      </c>
      <c r="S144" s="126" t="str">
        <f t="shared" si="65"/>
        <v/>
      </c>
      <c r="T144" s="63"/>
      <c r="U144" s="68" t="str">
        <f>IF(U136=0,"",S135/U136-1)</f>
        <v/>
      </c>
    </row>
    <row r="145" spans="2:22" ht="30.75" thickBot="1" x14ac:dyDescent="0.3">
      <c r="C145" s="18"/>
      <c r="D145" s="128" t="s">
        <v>37</v>
      </c>
      <c r="E145" s="71"/>
      <c r="F145" s="71"/>
      <c r="G145" s="129">
        <f>IF(G129=0,"",(G135/G129)^(1/($D135-$D129-1))-1)</f>
        <v>2.8755082386813902E-2</v>
      </c>
      <c r="H145" s="71"/>
      <c r="I145" s="286">
        <f>IF(I136=0,"",(G135/I136)^(1/(TestYear-RebaseYear-1))-1)</f>
        <v>2.4011064607416976E-2</v>
      </c>
      <c r="J145" s="91"/>
      <c r="K145" s="75" t="str">
        <f t="shared" si="60"/>
        <v>Geometric Mean</v>
      </c>
      <c r="L145" s="76" t="str">
        <f>IF(L129=0,"",(L133/L129)^(1/($D133-$D129-1))-1)</f>
        <v/>
      </c>
      <c r="M145" s="76" t="str">
        <f>IF(M129=0,"",(M135/M129)^(1/($D135-$D129-1))-1)</f>
        <v/>
      </c>
      <c r="N145" s="71"/>
      <c r="O145" s="77" t="str">
        <f>IF(O136=0,"",(M135/O136)^(1/(TestYear-RebaseYear-1))-1)</f>
        <v/>
      </c>
      <c r="P145" s="18"/>
      <c r="Q145" s="75" t="str">
        <f t="shared" si="61"/>
        <v>Geometric Mean</v>
      </c>
      <c r="R145" s="131" t="str">
        <f>IF(R129="","",IF(R129=0,"",(R133/R129)^(1/($D133-$D129-1))-1))</f>
        <v/>
      </c>
      <c r="S145" s="76" t="str">
        <f>IF(S129="","",IF(S129=0,"",(S135/S129)^(1/($D135-$D129-1))-1))</f>
        <v/>
      </c>
      <c r="T145" s="71"/>
      <c r="U145" s="77" t="str">
        <f>IF(U136=0,"",(S135/U136)^(1/(TestYear-RebaseYear-1))-1)</f>
        <v/>
      </c>
    </row>
    <row r="146" spans="2:22" ht="15.75" thickBot="1" x14ac:dyDescent="0.3"/>
    <row r="147" spans="2:22" ht="15.75" thickBot="1" x14ac:dyDescent="0.3">
      <c r="B147" s="79">
        <v>3</v>
      </c>
      <c r="C147" s="80" t="s">
        <v>39</v>
      </c>
      <c r="D147" s="309" t="s">
        <v>48</v>
      </c>
      <c r="E147" s="310"/>
      <c r="F147" s="311"/>
      <c r="G147" s="81"/>
      <c r="H147" s="82" t="s">
        <v>41</v>
      </c>
      <c r="N147" s="83" t="s">
        <v>42</v>
      </c>
      <c r="O147" s="84"/>
      <c r="P147" s="84"/>
      <c r="Q147" s="84"/>
      <c r="R147" s="84"/>
      <c r="S147" s="84"/>
      <c r="T147" s="84"/>
      <c r="U147" s="84"/>
    </row>
    <row r="148" spans="2:22" ht="15.75" thickBot="1" x14ac:dyDescent="0.3">
      <c r="Q148" s="71"/>
      <c r="R148" s="71"/>
      <c r="S148" s="71"/>
      <c r="T148" s="71"/>
      <c r="U148" s="71"/>
    </row>
    <row r="149" spans="2:22" ht="14.65" customHeight="1" x14ac:dyDescent="0.25">
      <c r="C149" s="13"/>
      <c r="D149" s="14" t="s">
        <v>23</v>
      </c>
      <c r="E149" s="14"/>
      <c r="F149" s="312" t="s">
        <v>43</v>
      </c>
      <c r="G149" s="313"/>
      <c r="H149" s="313"/>
      <c r="I149" s="314"/>
      <c r="J149" s="14"/>
      <c r="K149" s="300" t="s">
        <v>24</v>
      </c>
      <c r="L149" s="301"/>
      <c r="M149" s="301"/>
      <c r="N149" s="301"/>
      <c r="O149" s="302"/>
      <c r="P149" s="15"/>
      <c r="Q149" s="303" t="str">
        <f>CONCATENATE("Consumption (kWh) per ",LEFT(F149,LEN(F149)-1))</f>
        <v>Consumption (kWh) per Customer</v>
      </c>
      <c r="R149" s="304"/>
      <c r="S149" s="304"/>
      <c r="T149" s="304"/>
      <c r="U149" s="305"/>
      <c r="V149" s="85"/>
    </row>
    <row r="150" spans="2:22" ht="39" thickBot="1" x14ac:dyDescent="0.3">
      <c r="C150" s="18"/>
      <c r="D150" s="19" t="str">
        <f>CONCATENATE("(for ",TestYear," Cost of Service")</f>
        <v>(for 2017 Cost of Service</v>
      </c>
      <c r="E150" s="26"/>
      <c r="F150" s="306"/>
      <c r="G150" s="307"/>
      <c r="H150" s="315"/>
      <c r="I150" s="86"/>
      <c r="J150" s="26"/>
      <c r="K150" s="22"/>
      <c r="L150" s="23" t="s">
        <v>25</v>
      </c>
      <c r="M150" s="23" t="s">
        <v>26</v>
      </c>
      <c r="N150" s="24"/>
      <c r="O150" s="25" t="s">
        <v>26</v>
      </c>
      <c r="P150" s="26"/>
      <c r="Q150" s="87"/>
      <c r="R150" s="88" t="str">
        <f>L150</f>
        <v>Actual (Weather actual)</v>
      </c>
      <c r="S150" s="89" t="str">
        <f>M150</f>
        <v>Weather-normalized</v>
      </c>
      <c r="T150" s="89"/>
      <c r="U150" s="90" t="str">
        <f>O150</f>
        <v>Weather-normalized</v>
      </c>
      <c r="V150" s="85"/>
    </row>
    <row r="151" spans="2:22" x14ac:dyDescent="0.25">
      <c r="C151" s="26" t="s">
        <v>27</v>
      </c>
      <c r="D151" s="27">
        <f t="shared" ref="D151:D156" si="66">D152-1</f>
        <v>2012</v>
      </c>
      <c r="E151" s="91"/>
      <c r="F151" s="92" t="str">
        <f>F108</f>
        <v>Actual</v>
      </c>
      <c r="G151" s="93">
        <v>153653</v>
      </c>
      <c r="H151" s="32" t="str">
        <f t="shared" ref="H151:H157" si="67">IF(D151=RebaseYear,"Board-approved","")</f>
        <v/>
      </c>
      <c r="I151" s="35"/>
      <c r="J151" s="91"/>
      <c r="K151" s="94" t="str">
        <f>F151</f>
        <v>Actual</v>
      </c>
      <c r="L151" s="95">
        <v>666289262.2299999</v>
      </c>
      <c r="M151" s="95">
        <v>681348479.3006084</v>
      </c>
      <c r="N151" s="37" t="str">
        <f>H151</f>
        <v/>
      </c>
      <c r="O151" s="35"/>
      <c r="P151" s="91"/>
      <c r="Q151" s="96" t="str">
        <f>K151</f>
        <v>Actual</v>
      </c>
      <c r="R151" s="97">
        <f>IF(G151=0,"",L151/G151)</f>
        <v>4336.3244598543461</v>
      </c>
      <c r="S151" s="63">
        <f>IF(G151=0,"",M151/G151)</f>
        <v>4434.3324198070222</v>
      </c>
      <c r="T151" s="63" t="str">
        <f>N151</f>
        <v/>
      </c>
      <c r="U151" s="63" t="str">
        <f>IF(T151="","",IF(I151=0,"",O151/I151))</f>
        <v/>
      </c>
      <c r="V151" s="28"/>
    </row>
    <row r="152" spans="2:22" x14ac:dyDescent="0.25">
      <c r="C152" s="26" t="s">
        <v>27</v>
      </c>
      <c r="D152" s="27">
        <f t="shared" si="66"/>
        <v>2013</v>
      </c>
      <c r="E152" s="91"/>
      <c r="F152" s="98" t="str">
        <f t="shared" ref="F152:F157" si="68">F109</f>
        <v>Actual</v>
      </c>
      <c r="G152" s="93">
        <v>153253.3810754047</v>
      </c>
      <c r="H152" s="32" t="str">
        <f t="shared" si="67"/>
        <v/>
      </c>
      <c r="I152" s="35"/>
      <c r="J152" s="91"/>
      <c r="K152" s="94" t="str">
        <f t="shared" ref="K152:K157" si="69">F152</f>
        <v>Actual</v>
      </c>
      <c r="L152" s="95">
        <v>698670248.05807745</v>
      </c>
      <c r="M152" s="95">
        <v>694759388.9918294</v>
      </c>
      <c r="N152" s="37" t="str">
        <f t="shared" ref="N152:N157" si="70">H152</f>
        <v/>
      </c>
      <c r="O152" s="35"/>
      <c r="P152" s="91"/>
      <c r="Q152" s="96" t="str">
        <f t="shared" ref="Q152:Q157" si="71">K152</f>
        <v>Actual</v>
      </c>
      <c r="R152" s="97">
        <f t="shared" ref="R152:R157" si="72">IF(G152=0,"",L152/G152)</f>
        <v>4558.922244686486</v>
      </c>
      <c r="S152" s="63">
        <f t="shared" ref="S152:S157" si="73">IF(G152=0,"",M152/G152)</f>
        <v>4533.4033358127963</v>
      </c>
      <c r="T152" s="63" t="str">
        <f t="shared" ref="T152:T157" si="74">N152</f>
        <v/>
      </c>
      <c r="U152" s="63" t="str">
        <f t="shared" ref="U152:U157" si="75">IF(T152="","",IF(I152=0,"",O152/I152))</f>
        <v/>
      </c>
      <c r="V152" s="28"/>
    </row>
    <row r="153" spans="2:22" x14ac:dyDescent="0.25">
      <c r="C153" s="26" t="s">
        <v>27</v>
      </c>
      <c r="D153" s="27">
        <f t="shared" si="66"/>
        <v>2014</v>
      </c>
      <c r="E153" s="91"/>
      <c r="F153" s="98" t="str">
        <f t="shared" si="68"/>
        <v>Actual</v>
      </c>
      <c r="G153" s="93">
        <v>153957</v>
      </c>
      <c r="H153" s="32" t="str">
        <f t="shared" si="67"/>
        <v/>
      </c>
      <c r="I153" s="36"/>
      <c r="J153" s="91"/>
      <c r="K153" s="94" t="str">
        <f t="shared" si="69"/>
        <v>Actual</v>
      </c>
      <c r="L153" s="95">
        <v>682201960.50366294</v>
      </c>
      <c r="M153" s="95">
        <v>675227543.31911659</v>
      </c>
      <c r="N153" s="37" t="str">
        <f t="shared" si="70"/>
        <v/>
      </c>
      <c r="O153" s="36"/>
      <c r="P153" s="91"/>
      <c r="Q153" s="96" t="str">
        <f t="shared" si="71"/>
        <v>Actual</v>
      </c>
      <c r="R153" s="97">
        <f t="shared" si="72"/>
        <v>4431.120121226465</v>
      </c>
      <c r="S153" s="63">
        <f t="shared" si="73"/>
        <v>4385.81904894949</v>
      </c>
      <c r="T153" s="63" t="str">
        <f t="shared" si="74"/>
        <v/>
      </c>
      <c r="U153" s="63" t="str">
        <f t="shared" si="75"/>
        <v/>
      </c>
      <c r="V153" s="28"/>
    </row>
    <row r="154" spans="2:22" x14ac:dyDescent="0.25">
      <c r="C154" s="26" t="s">
        <v>27</v>
      </c>
      <c r="D154" s="27">
        <f t="shared" si="66"/>
        <v>2015</v>
      </c>
      <c r="E154" s="91"/>
      <c r="F154" s="98" t="str">
        <f t="shared" si="68"/>
        <v>Actual</v>
      </c>
      <c r="G154" s="93">
        <v>153497.94653890515</v>
      </c>
      <c r="H154" s="32" t="str">
        <f t="shared" si="67"/>
        <v>Board-approved</v>
      </c>
      <c r="I154" s="100">
        <v>155033.41025414609</v>
      </c>
      <c r="J154" s="91"/>
      <c r="K154" s="94" t="str">
        <f t="shared" si="69"/>
        <v>Actual</v>
      </c>
      <c r="L154" s="95">
        <v>670946952.55202901</v>
      </c>
      <c r="M154" s="95">
        <v>666965906.62598801</v>
      </c>
      <c r="N154" s="37" t="str">
        <f t="shared" si="70"/>
        <v>Board-approved</v>
      </c>
      <c r="O154" s="35">
        <v>668804952.38432503</v>
      </c>
      <c r="P154" s="91"/>
      <c r="Q154" s="96" t="str">
        <f t="shared" si="71"/>
        <v>Actual</v>
      </c>
      <c r="R154" s="97">
        <f t="shared" si="72"/>
        <v>4371.0483930283244</v>
      </c>
      <c r="S154" s="63">
        <f t="shared" si="73"/>
        <v>4345.112893461026</v>
      </c>
      <c r="T154" s="63" t="str">
        <f t="shared" si="74"/>
        <v>Board-approved</v>
      </c>
      <c r="U154" s="63">
        <f t="shared" si="75"/>
        <v>4313.9407904912487</v>
      </c>
      <c r="V154" s="28"/>
    </row>
    <row r="155" spans="2:22" x14ac:dyDescent="0.25">
      <c r="C155" s="26" t="s">
        <v>27</v>
      </c>
      <c r="D155" s="27">
        <f t="shared" si="66"/>
        <v>2016</v>
      </c>
      <c r="E155" s="91"/>
      <c r="F155" s="98" t="str">
        <f t="shared" si="68"/>
        <v>Actual</v>
      </c>
      <c r="G155" s="93">
        <v>148991</v>
      </c>
      <c r="H155" s="32" t="str">
        <f t="shared" si="67"/>
        <v/>
      </c>
      <c r="I155" s="35"/>
      <c r="J155" s="91"/>
      <c r="K155" s="94" t="str">
        <f t="shared" si="69"/>
        <v>Actual</v>
      </c>
      <c r="L155" s="95">
        <v>640771663.41302955</v>
      </c>
      <c r="M155" s="95">
        <v>648200968.72266257</v>
      </c>
      <c r="N155" s="37" t="str">
        <f t="shared" si="70"/>
        <v/>
      </c>
      <c r="O155" s="35"/>
      <c r="P155" s="91"/>
      <c r="Q155" s="96" t="str">
        <f t="shared" si="71"/>
        <v>Actual</v>
      </c>
      <c r="R155" s="97">
        <f t="shared" si="72"/>
        <v>4300.7407387897892</v>
      </c>
      <c r="S155" s="63">
        <f t="shared" si="73"/>
        <v>4350.604860177209</v>
      </c>
      <c r="T155" s="63" t="str">
        <f t="shared" si="74"/>
        <v/>
      </c>
      <c r="U155" s="63" t="str">
        <f t="shared" si="75"/>
        <v/>
      </c>
      <c r="V155" s="28"/>
    </row>
    <row r="156" spans="2:22" x14ac:dyDescent="0.25">
      <c r="C156" s="26" t="s">
        <v>30</v>
      </c>
      <c r="D156" s="27">
        <f t="shared" si="66"/>
        <v>2017</v>
      </c>
      <c r="E156" s="91"/>
      <c r="F156" s="98" t="str">
        <f t="shared" si="68"/>
        <v>Forecast</v>
      </c>
      <c r="G156" s="93">
        <v>149165.50636254268</v>
      </c>
      <c r="H156" s="32" t="str">
        <f t="shared" si="67"/>
        <v/>
      </c>
      <c r="I156" s="35"/>
      <c r="J156" s="91"/>
      <c r="K156" s="94" t="str">
        <f t="shared" si="69"/>
        <v>Forecast</v>
      </c>
      <c r="L156" s="102"/>
      <c r="M156" s="103">
        <v>642811540.14663172</v>
      </c>
      <c r="N156" s="37" t="str">
        <f t="shared" si="70"/>
        <v/>
      </c>
      <c r="O156" s="35"/>
      <c r="P156" s="91"/>
      <c r="Q156" s="96" t="str">
        <f t="shared" si="71"/>
        <v>Forecast</v>
      </c>
      <c r="R156" s="97">
        <f t="shared" si="72"/>
        <v>0</v>
      </c>
      <c r="S156" s="63">
        <f t="shared" si="73"/>
        <v>4309.3846280003627</v>
      </c>
      <c r="T156" s="63" t="str">
        <f t="shared" si="74"/>
        <v/>
      </c>
      <c r="U156" s="63" t="str">
        <f t="shared" si="75"/>
        <v/>
      </c>
      <c r="V156" s="28"/>
    </row>
    <row r="157" spans="2:22" ht="15.75" thickBot="1" x14ac:dyDescent="0.3">
      <c r="C157" s="39" t="s">
        <v>32</v>
      </c>
      <c r="D157" s="104">
        <v>2018</v>
      </c>
      <c r="E157" s="18"/>
      <c r="F157" s="105" t="str">
        <f t="shared" si="68"/>
        <v>Forecast</v>
      </c>
      <c r="G157" s="106">
        <v>149484.64840405117</v>
      </c>
      <c r="H157" s="44" t="str">
        <f t="shared" si="67"/>
        <v/>
      </c>
      <c r="I157" s="46"/>
      <c r="J157" s="18"/>
      <c r="K157" s="108" t="str">
        <f t="shared" si="69"/>
        <v>Forecast</v>
      </c>
      <c r="L157" s="109"/>
      <c r="M157" s="110">
        <v>631921216.02545404</v>
      </c>
      <c r="N157" s="111" t="str">
        <f t="shared" si="70"/>
        <v/>
      </c>
      <c r="O157" s="46"/>
      <c r="P157" s="18"/>
      <c r="Q157" s="112" t="str">
        <f t="shared" si="71"/>
        <v>Forecast</v>
      </c>
      <c r="R157" s="113">
        <f t="shared" si="72"/>
        <v>0</v>
      </c>
      <c r="S157" s="71">
        <f t="shared" si="73"/>
        <v>4227.3318549567421</v>
      </c>
      <c r="T157" s="71" t="str">
        <f t="shared" si="74"/>
        <v/>
      </c>
      <c r="U157" s="71" t="str">
        <f t="shared" si="75"/>
        <v/>
      </c>
      <c r="V157" s="28"/>
    </row>
    <row r="158" spans="2:22" ht="15.75" thickBot="1" x14ac:dyDescent="0.3">
      <c r="B158" s="63"/>
      <c r="C158" s="114"/>
      <c r="I158" s="52">
        <f>SUM(I151:I156)</f>
        <v>155033.41025414609</v>
      </c>
      <c r="O158" s="52">
        <f>SUM(O151:O156)</f>
        <v>668804952.38432503</v>
      </c>
      <c r="U158" s="52">
        <f>SUM(U151:U156)</f>
        <v>4313.9407904912487</v>
      </c>
    </row>
    <row r="159" spans="2:22" ht="39" thickBot="1" x14ac:dyDescent="0.3">
      <c r="C159" s="115" t="s">
        <v>33</v>
      </c>
      <c r="D159" s="116" t="s">
        <v>34</v>
      </c>
      <c r="E159" s="48"/>
      <c r="F159" s="48"/>
      <c r="G159" s="270" t="s">
        <v>35</v>
      </c>
      <c r="H159" s="48"/>
      <c r="I159" s="60" t="s">
        <v>44</v>
      </c>
      <c r="J159" s="117"/>
      <c r="K159" s="58" t="s">
        <v>34</v>
      </c>
      <c r="L159" s="308" t="s">
        <v>35</v>
      </c>
      <c r="M159" s="308"/>
      <c r="N159" s="48"/>
      <c r="O159" s="60" t="str">
        <f>I159</f>
        <v>Test Year Versus Board-approved</v>
      </c>
      <c r="P159" s="118"/>
      <c r="Q159" s="58" t="s">
        <v>34</v>
      </c>
      <c r="R159" s="308" t="s">
        <v>35</v>
      </c>
      <c r="S159" s="308"/>
      <c r="T159" s="48"/>
      <c r="U159" s="60" t="str">
        <f>O159</f>
        <v>Test Year Versus Board-approved</v>
      </c>
    </row>
    <row r="160" spans="2:22" x14ac:dyDescent="0.25">
      <c r="C160" s="91"/>
      <c r="D160" s="119">
        <f t="shared" ref="D160:D166" si="76">D151</f>
        <v>2012</v>
      </c>
      <c r="E160" s="63"/>
      <c r="F160" s="63"/>
      <c r="G160" s="120"/>
      <c r="H160" s="63"/>
      <c r="I160" s="121"/>
      <c r="J160" s="122"/>
      <c r="K160" s="27">
        <f>D160</f>
        <v>2012</v>
      </c>
      <c r="L160" s="65"/>
      <c r="M160" s="65"/>
      <c r="N160" s="63"/>
      <c r="O160" s="35"/>
      <c r="P160" s="91"/>
      <c r="Q160" s="27">
        <f>K160</f>
        <v>2012</v>
      </c>
      <c r="R160" s="123"/>
      <c r="S160" s="123"/>
      <c r="T160" s="63"/>
      <c r="U160" s="35"/>
    </row>
    <row r="161" spans="3:21" x14ac:dyDescent="0.25">
      <c r="C161" s="91"/>
      <c r="D161" s="124">
        <f t="shared" si="76"/>
        <v>2013</v>
      </c>
      <c r="E161" s="63"/>
      <c r="F161" s="63"/>
      <c r="G161" s="125">
        <f t="shared" ref="G161:G166" si="77">IF(G151=0,"",G152/G151-1)</f>
        <v>-2.6007882995795484E-3</v>
      </c>
      <c r="H161" s="63"/>
      <c r="I161" s="121"/>
      <c r="J161" s="122"/>
      <c r="K161" s="27">
        <f t="shared" ref="K161:K167" si="78">D161</f>
        <v>2013</v>
      </c>
      <c r="L161" s="67">
        <f t="shared" ref="L161:M164" si="79">IF(L151=0,"",L152/L151-1)</f>
        <v>4.8598990954321852E-2</v>
      </c>
      <c r="M161" s="67">
        <f t="shared" si="79"/>
        <v>1.968289370071985E-2</v>
      </c>
      <c r="N161" s="63"/>
      <c r="O161" s="35"/>
      <c r="P161" s="91"/>
      <c r="Q161" s="27">
        <f t="shared" ref="Q161:Q167" si="80">K161</f>
        <v>2013</v>
      </c>
      <c r="R161" s="125">
        <f>IF(R151="","",IF(R151=0,"",R152/R151-1))</f>
        <v>5.133328626419642E-2</v>
      </c>
      <c r="S161" s="125">
        <f>IF(S151="","",IF(S151=0,"",S152/S151-1))</f>
        <v>2.234178826180222E-2</v>
      </c>
      <c r="T161" s="63"/>
      <c r="U161" s="35"/>
    </row>
    <row r="162" spans="3:21" x14ac:dyDescent="0.25">
      <c r="C162" s="91"/>
      <c r="D162" s="124">
        <f t="shared" si="76"/>
        <v>2014</v>
      </c>
      <c r="E162" s="63"/>
      <c r="F162" s="63"/>
      <c r="G162" s="125">
        <f t="shared" si="77"/>
        <v>4.5912130594305545E-3</v>
      </c>
      <c r="H162" s="63"/>
      <c r="I162" s="121"/>
      <c r="J162" s="122"/>
      <c r="K162" s="27">
        <f t="shared" si="78"/>
        <v>2014</v>
      </c>
      <c r="L162" s="67">
        <f t="shared" si="79"/>
        <v>-2.3570901437677372E-2</v>
      </c>
      <c r="M162" s="67">
        <f t="shared" si="79"/>
        <v>-2.8113107907840718E-2</v>
      </c>
      <c r="N162" s="63"/>
      <c r="O162" s="35"/>
      <c r="P162" s="91"/>
      <c r="Q162" s="27">
        <f t="shared" si="80"/>
        <v>2014</v>
      </c>
      <c r="R162" s="125">
        <f t="shared" ref="R162:S166" si="81">IF(R152="","",IF(R152=0,"",R153/R152-1))</f>
        <v>-2.8033407152091017E-2</v>
      </c>
      <c r="S162" s="125">
        <f t="shared" si="81"/>
        <v>-3.2554854693255697E-2</v>
      </c>
      <c r="T162" s="63"/>
      <c r="U162" s="35"/>
    </row>
    <row r="163" spans="3:21" x14ac:dyDescent="0.25">
      <c r="C163" s="91"/>
      <c r="D163" s="124">
        <f t="shared" si="76"/>
        <v>2015</v>
      </c>
      <c r="E163" s="63"/>
      <c r="F163" s="63"/>
      <c r="G163" s="125">
        <f t="shared" si="77"/>
        <v>-2.9816991828552908E-3</v>
      </c>
      <c r="H163" s="63"/>
      <c r="I163" s="121"/>
      <c r="J163" s="122"/>
      <c r="K163" s="27">
        <f t="shared" si="78"/>
        <v>2015</v>
      </c>
      <c r="L163" s="67">
        <f t="shared" si="79"/>
        <v>-1.6498058644282554E-2</v>
      </c>
      <c r="M163" s="67">
        <f t="shared" si="79"/>
        <v>-1.2235337220573239E-2</v>
      </c>
      <c r="N163" s="63"/>
      <c r="O163" s="35"/>
      <c r="P163" s="91"/>
      <c r="Q163" s="27">
        <f t="shared" si="80"/>
        <v>2015</v>
      </c>
      <c r="R163" s="125">
        <f t="shared" si="81"/>
        <v>-1.3556781706363097E-2</v>
      </c>
      <c r="S163" s="125">
        <f t="shared" si="81"/>
        <v>-9.2813121184773806E-3</v>
      </c>
      <c r="T163" s="63"/>
      <c r="U163" s="35"/>
    </row>
    <row r="164" spans="3:21" x14ac:dyDescent="0.25">
      <c r="C164" s="91"/>
      <c r="D164" s="124">
        <f t="shared" si="76"/>
        <v>2016</v>
      </c>
      <c r="E164" s="63"/>
      <c r="F164" s="63"/>
      <c r="G164" s="125">
        <f t="shared" si="77"/>
        <v>-2.936160802491794E-2</v>
      </c>
      <c r="H164" s="63"/>
      <c r="I164" s="121"/>
      <c r="J164" s="122"/>
      <c r="K164" s="27">
        <f t="shared" si="78"/>
        <v>2016</v>
      </c>
      <c r="L164" s="67">
        <f t="shared" si="79"/>
        <v>-4.4974180185518464E-2</v>
      </c>
      <c r="M164" s="67">
        <f t="shared" si="79"/>
        <v>-2.8134778280126116E-2</v>
      </c>
      <c r="N164" s="63"/>
      <c r="O164" s="35"/>
      <c r="P164" s="91"/>
      <c r="Q164" s="27">
        <f t="shared" si="80"/>
        <v>2016</v>
      </c>
      <c r="R164" s="125">
        <f t="shared" si="81"/>
        <v>-1.6084849197888884E-2</v>
      </c>
      <c r="S164" s="125">
        <f t="shared" si="81"/>
        <v>1.2639410875716628E-3</v>
      </c>
      <c r="T164" s="63"/>
      <c r="U164" s="35"/>
    </row>
    <row r="165" spans="3:21" x14ac:dyDescent="0.25">
      <c r="C165" s="91"/>
      <c r="D165" s="124">
        <f t="shared" si="76"/>
        <v>2017</v>
      </c>
      <c r="E165" s="63"/>
      <c r="F165" s="63"/>
      <c r="G165" s="125">
        <f t="shared" si="77"/>
        <v>1.1712543881354787E-3</v>
      </c>
      <c r="H165" s="63"/>
      <c r="I165" s="121"/>
      <c r="J165" s="122"/>
      <c r="K165" s="27">
        <f t="shared" si="78"/>
        <v>2017</v>
      </c>
      <c r="L165" s="67" t="str">
        <f>IF(K156="Forecast","",IF(L155=0,"",L156/L155-1))</f>
        <v/>
      </c>
      <c r="M165" s="67">
        <f>IF(M155=0,"",M156/M155-1)</f>
        <v>-8.3144407924153896E-3</v>
      </c>
      <c r="N165" s="63"/>
      <c r="O165" s="35"/>
      <c r="P165" s="91"/>
      <c r="Q165" s="27">
        <f t="shared" si="80"/>
        <v>2017</v>
      </c>
      <c r="R165" s="125" t="str">
        <f>IF(Q156="Forecast","",IF(R155=0,"",R156/R155-1))</f>
        <v/>
      </c>
      <c r="S165" s="125">
        <f t="shared" si="81"/>
        <v>-9.4745980160485521E-3</v>
      </c>
      <c r="T165" s="63"/>
      <c r="U165" s="35"/>
    </row>
    <row r="166" spans="3:21" x14ac:dyDescent="0.25">
      <c r="C166" s="91"/>
      <c r="D166" s="124">
        <f t="shared" si="76"/>
        <v>2018</v>
      </c>
      <c r="E166" s="63"/>
      <c r="F166" s="63"/>
      <c r="G166" s="125">
        <f t="shared" si="77"/>
        <v>2.1395163619988278E-3</v>
      </c>
      <c r="H166" s="63"/>
      <c r="I166" s="127">
        <f>IF(I158=0,"",G157/I158-1)</f>
        <v>-3.5790748852127074E-2</v>
      </c>
      <c r="J166" s="122"/>
      <c r="K166" s="27">
        <f t="shared" si="78"/>
        <v>2018</v>
      </c>
      <c r="L166" s="67" t="str">
        <f>IF(K157="Forecast","",IF(L156=0,"",L157/L156-1))</f>
        <v/>
      </c>
      <c r="M166" s="67">
        <f>IF(M156=0,"",M157/M156-1)</f>
        <v>-1.6941705991609157E-2</v>
      </c>
      <c r="N166" s="63"/>
      <c r="O166" s="127">
        <f>IF(O158=0,"",M157/O158-1)</f>
        <v>-5.5148718961153809E-2</v>
      </c>
      <c r="P166" s="91"/>
      <c r="Q166" s="27">
        <f t="shared" si="80"/>
        <v>2018</v>
      </c>
      <c r="R166" s="125" t="str">
        <f>IF(Q157="Forecast","",IF(R156=0,"",R157/R156-1))</f>
        <v/>
      </c>
      <c r="S166" s="125">
        <f t="shared" si="81"/>
        <v>-1.9040484924571444E-2</v>
      </c>
      <c r="T166" s="63"/>
      <c r="U166" s="127">
        <f>IF(U158=0,"",S157/U158-1)</f>
        <v>-2.0076523935008361E-2</v>
      </c>
    </row>
    <row r="167" spans="3:21" ht="30.75" thickBot="1" x14ac:dyDescent="0.3">
      <c r="C167" s="18"/>
      <c r="D167" s="128" t="s">
        <v>37</v>
      </c>
      <c r="E167" s="71"/>
      <c r="F167" s="71"/>
      <c r="G167" s="129">
        <f>IF(G151=0,"",(G157/G151)^(1/($D157-$D151-1))-1)</f>
        <v>-5.4855216736053869E-3</v>
      </c>
      <c r="H167" s="71"/>
      <c r="I167" s="129">
        <f>IF(I158=0,"",(G157/I158)^(1/(TestYear-RebaseYear-1))-1)</f>
        <v>-3.5790748852127074E-2</v>
      </c>
      <c r="J167" s="74"/>
      <c r="K167" s="75" t="str">
        <f t="shared" si="78"/>
        <v>Geometric Mean</v>
      </c>
      <c r="L167" s="129">
        <f>IF(L151=0,"",(L155/L151)^(1/($D155-$D151-1))-1)</f>
        <v>-1.2932556360585989E-2</v>
      </c>
      <c r="M167" s="129">
        <f>IF(M151=0,"",(M157/M151)^(1/($D157-$D151-1))-1)</f>
        <v>-1.4948970765562675E-2</v>
      </c>
      <c r="N167" s="287"/>
      <c r="O167" s="286">
        <f>IF(O158=0,"",(M157/O158)^(1/(TestYear-RebaseYear-1))-1)</f>
        <v>-5.5148718961153809E-2</v>
      </c>
      <c r="P167" s="18"/>
      <c r="Q167" s="75" t="str">
        <f t="shared" si="80"/>
        <v>Geometric Mean</v>
      </c>
      <c r="R167" s="129">
        <f>IF(R151="","",IF(R151=0,"",(R155/R151)^(1/($D155-$D151-1))-1))</f>
        <v>-2.7428375092538593E-3</v>
      </c>
      <c r="S167" s="129">
        <f>IF(S151="","",IF(S151=0,"",(S157/S151)^(1/($D157-$D151-1))-1))</f>
        <v>-9.5156473819091314E-3</v>
      </c>
      <c r="T167" s="71"/>
      <c r="U167" s="286">
        <f>IF(U158=0,"",(S157/U158)^(1/(TestYear-RebaseYear-1))-1)</f>
        <v>-2.0076523935008361E-2</v>
      </c>
    </row>
    <row r="169" spans="3:21" ht="15.75" thickBot="1" x14ac:dyDescent="0.3">
      <c r="Q169" s="71"/>
      <c r="R169" s="71"/>
      <c r="S169" s="71"/>
      <c r="T169" s="71"/>
      <c r="U169" s="71"/>
    </row>
    <row r="170" spans="3:21" ht="14.65" customHeight="1" x14ac:dyDescent="0.25">
      <c r="C170" s="13"/>
      <c r="D170" s="14" t="s">
        <v>23</v>
      </c>
      <c r="E170" s="14"/>
      <c r="F170" s="297" t="s">
        <v>10</v>
      </c>
      <c r="G170" s="298"/>
      <c r="H170" s="298"/>
      <c r="I170" s="299"/>
      <c r="K170" s="300" t="str">
        <f>IF(ISBLANK(N147),"",CONCATENATE("Demand (",N147,")"))</f>
        <v>Demand (kWh)</v>
      </c>
      <c r="L170" s="301"/>
      <c r="M170" s="301"/>
      <c r="N170" s="301"/>
      <c r="O170" s="302"/>
      <c r="Q170" s="303" t="str">
        <f>CONCATENATE("Demand (",N147,") per ",LEFT(F149,LEN(F149)-1))</f>
        <v>Demand (kWh) per Customer</v>
      </c>
      <c r="R170" s="304"/>
      <c r="S170" s="304"/>
      <c r="T170" s="304"/>
      <c r="U170" s="305"/>
    </row>
    <row r="171" spans="3:21" ht="39" thickBot="1" x14ac:dyDescent="0.3">
      <c r="C171" s="18"/>
      <c r="D171" s="19" t="str">
        <f>CONCATENATE("(for ",TestYear," Cost of Service")</f>
        <v>(for 2017 Cost of Service</v>
      </c>
      <c r="E171" s="26"/>
      <c r="F171" s="306"/>
      <c r="G171" s="307"/>
      <c r="H171" s="307"/>
      <c r="I171" s="86"/>
      <c r="K171" s="22"/>
      <c r="L171" s="23" t="s">
        <v>25</v>
      </c>
      <c r="M171" s="23" t="s">
        <v>26</v>
      </c>
      <c r="N171" s="24"/>
      <c r="O171" s="25" t="str">
        <f>M171</f>
        <v>Weather-normalized</v>
      </c>
      <c r="Q171" s="132"/>
      <c r="R171" s="23" t="str">
        <f>L171</f>
        <v>Actual (Weather actual)</v>
      </c>
      <c r="S171" s="23" t="str">
        <f>M171</f>
        <v>Weather-normalized</v>
      </c>
      <c r="T171" s="23"/>
      <c r="U171" s="133" t="str">
        <f>O171</f>
        <v>Weather-normalized</v>
      </c>
    </row>
    <row r="172" spans="3:21" x14ac:dyDescent="0.25">
      <c r="C172" s="26" t="s">
        <v>27</v>
      </c>
      <c r="D172" s="27">
        <f t="shared" ref="D172:D177" si="82">D173-1</f>
        <v>2012</v>
      </c>
      <c r="E172" s="91"/>
      <c r="F172" s="92" t="str">
        <f t="shared" ref="F172:F178" si="83">F151</f>
        <v>Actual</v>
      </c>
      <c r="G172" s="134">
        <v>91011041.525971502</v>
      </c>
      <c r="H172" s="31" t="str">
        <f t="shared" ref="H172:H178" si="84">IF(D172=RebaseYear,"Board-approved","")</f>
        <v/>
      </c>
      <c r="I172" s="135"/>
      <c r="K172" s="94" t="str">
        <f t="shared" ref="K172:K178" si="85">K151</f>
        <v>Actual</v>
      </c>
      <c r="L172" s="95"/>
      <c r="M172" s="95"/>
      <c r="N172" s="37" t="str">
        <f t="shared" ref="N172:N178" si="86">N151</f>
        <v/>
      </c>
      <c r="O172" s="35"/>
      <c r="Q172" s="96" t="str">
        <f>K172</f>
        <v>Actual</v>
      </c>
      <c r="R172" s="63">
        <f>IF(G172=0,"",L172/G172)</f>
        <v>0</v>
      </c>
      <c r="S172" s="28">
        <f>IF(G172=0,"",M172/G172)</f>
        <v>0</v>
      </c>
      <c r="T172" s="28" t="str">
        <f>N172</f>
        <v/>
      </c>
      <c r="U172" s="91" t="str">
        <f>IF(T172="","",IF(I172=0,"",O172/I172))</f>
        <v/>
      </c>
    </row>
    <row r="173" spans="3:21" x14ac:dyDescent="0.25">
      <c r="C173" s="26" t="s">
        <v>27</v>
      </c>
      <c r="D173" s="27">
        <f t="shared" si="82"/>
        <v>2013</v>
      </c>
      <c r="E173" s="91"/>
      <c r="F173" s="98" t="str">
        <f t="shared" si="83"/>
        <v>Actual</v>
      </c>
      <c r="G173" s="134">
        <v>92572355.206518859</v>
      </c>
      <c r="H173" s="31" t="str">
        <f t="shared" si="84"/>
        <v/>
      </c>
      <c r="I173" s="35"/>
      <c r="K173" s="94" t="str">
        <f t="shared" si="85"/>
        <v>Actual</v>
      </c>
      <c r="L173" s="95"/>
      <c r="M173" s="95"/>
      <c r="N173" s="37" t="str">
        <f t="shared" si="86"/>
        <v/>
      </c>
      <c r="O173" s="35"/>
      <c r="Q173" s="96" t="str">
        <f t="shared" ref="Q173:Q178" si="87">K173</f>
        <v>Actual</v>
      </c>
      <c r="R173" s="63">
        <f t="shared" ref="R173:R178" si="88">IF(G173=0,"",L173/G173)</f>
        <v>0</v>
      </c>
      <c r="S173" s="28">
        <f t="shared" ref="S173:S178" si="89">IF(G173=0,"",M173/G173)</f>
        <v>0</v>
      </c>
      <c r="T173" s="28" t="str">
        <f t="shared" ref="T173:T178" si="90">N173</f>
        <v/>
      </c>
      <c r="U173" s="91" t="str">
        <f t="shared" ref="U173:U178" si="91">IF(T173="","",IF(I173=0,"",O173/I173))</f>
        <v/>
      </c>
    </row>
    <row r="174" spans="3:21" x14ac:dyDescent="0.25">
      <c r="C174" s="26" t="s">
        <v>27</v>
      </c>
      <c r="D174" s="27">
        <f t="shared" si="82"/>
        <v>2014</v>
      </c>
      <c r="E174" s="91"/>
      <c r="F174" s="98" t="str">
        <f t="shared" si="83"/>
        <v>Actual</v>
      </c>
      <c r="G174" s="134">
        <v>92395402.518930584</v>
      </c>
      <c r="H174" s="31" t="str">
        <f t="shared" si="84"/>
        <v/>
      </c>
      <c r="I174" s="136"/>
      <c r="K174" s="94" t="str">
        <f t="shared" si="85"/>
        <v>Actual</v>
      </c>
      <c r="L174" s="95"/>
      <c r="M174" s="95"/>
      <c r="N174" s="37" t="str">
        <f t="shared" si="86"/>
        <v/>
      </c>
      <c r="O174" s="36"/>
      <c r="Q174" s="96" t="str">
        <f t="shared" si="87"/>
        <v>Actual</v>
      </c>
      <c r="R174" s="63">
        <f t="shared" si="88"/>
        <v>0</v>
      </c>
      <c r="S174" s="28">
        <f t="shared" si="89"/>
        <v>0</v>
      </c>
      <c r="T174" s="28" t="str">
        <f t="shared" si="90"/>
        <v/>
      </c>
      <c r="U174" s="91" t="str">
        <f t="shared" si="91"/>
        <v/>
      </c>
    </row>
    <row r="175" spans="3:21" x14ac:dyDescent="0.25">
      <c r="C175" s="26" t="s">
        <v>27</v>
      </c>
      <c r="D175" s="27">
        <f t="shared" si="82"/>
        <v>2015</v>
      </c>
      <c r="E175" s="91"/>
      <c r="F175" s="98" t="str">
        <f t="shared" si="83"/>
        <v>Actual</v>
      </c>
      <c r="G175" s="134">
        <v>103977681.93429661</v>
      </c>
      <c r="H175" s="31" t="str">
        <f t="shared" si="84"/>
        <v>Board-approved</v>
      </c>
      <c r="I175" s="137">
        <v>109982640.05572668</v>
      </c>
      <c r="K175" s="94" t="str">
        <f t="shared" si="85"/>
        <v>Actual</v>
      </c>
      <c r="L175" s="95"/>
      <c r="M175" s="95"/>
      <c r="N175" s="37" t="str">
        <f t="shared" si="86"/>
        <v>Board-approved</v>
      </c>
      <c r="O175" s="35"/>
      <c r="Q175" s="96" t="str">
        <f t="shared" si="87"/>
        <v>Actual</v>
      </c>
      <c r="R175" s="63">
        <f t="shared" si="88"/>
        <v>0</v>
      </c>
      <c r="S175" s="28">
        <f t="shared" si="89"/>
        <v>0</v>
      </c>
      <c r="T175" s="28" t="str">
        <f t="shared" si="90"/>
        <v>Board-approved</v>
      </c>
      <c r="U175" s="91">
        <f t="shared" si="91"/>
        <v>0</v>
      </c>
    </row>
    <row r="176" spans="3:21" x14ac:dyDescent="0.25">
      <c r="C176" s="26" t="s">
        <v>27</v>
      </c>
      <c r="D176" s="27">
        <f t="shared" si="82"/>
        <v>2016</v>
      </c>
      <c r="E176" s="91"/>
      <c r="F176" s="98" t="str">
        <f t="shared" si="83"/>
        <v>Actual</v>
      </c>
      <c r="G176" s="134">
        <v>105982573.66329461</v>
      </c>
      <c r="H176" s="31" t="str">
        <f t="shared" si="84"/>
        <v/>
      </c>
      <c r="I176" s="35"/>
      <c r="K176" s="94" t="str">
        <f t="shared" si="85"/>
        <v>Actual</v>
      </c>
      <c r="L176" s="95"/>
      <c r="M176" s="95"/>
      <c r="N176" s="37" t="str">
        <f t="shared" si="86"/>
        <v/>
      </c>
      <c r="O176" s="35"/>
      <c r="Q176" s="96" t="str">
        <f t="shared" si="87"/>
        <v>Actual</v>
      </c>
      <c r="R176" s="63">
        <f t="shared" si="88"/>
        <v>0</v>
      </c>
      <c r="S176" s="28">
        <f t="shared" si="89"/>
        <v>0</v>
      </c>
      <c r="T176" s="28" t="str">
        <f t="shared" si="90"/>
        <v/>
      </c>
      <c r="U176" s="91" t="str">
        <f t="shared" si="91"/>
        <v/>
      </c>
    </row>
    <row r="177" spans="2:22" x14ac:dyDescent="0.25">
      <c r="C177" s="26" t="s">
        <v>45</v>
      </c>
      <c r="D177" s="27">
        <f t="shared" si="82"/>
        <v>2017</v>
      </c>
      <c r="E177" s="91"/>
      <c r="F177" s="98" t="str">
        <f t="shared" si="83"/>
        <v>Forecast</v>
      </c>
      <c r="G177" s="134">
        <v>105759227.6493077</v>
      </c>
      <c r="H177" s="31" t="str">
        <f t="shared" si="84"/>
        <v/>
      </c>
      <c r="I177" s="35"/>
      <c r="K177" s="94" t="str">
        <f t="shared" si="85"/>
        <v>Forecast</v>
      </c>
      <c r="L177" s="102"/>
      <c r="M177" s="138"/>
      <c r="N177" s="37" t="str">
        <f t="shared" si="86"/>
        <v/>
      </c>
      <c r="O177" s="35"/>
      <c r="Q177" s="96" t="str">
        <f t="shared" si="87"/>
        <v>Forecast</v>
      </c>
      <c r="R177" s="63">
        <f t="shared" si="88"/>
        <v>0</v>
      </c>
      <c r="S177" s="28">
        <f t="shared" si="89"/>
        <v>0</v>
      </c>
      <c r="T177" s="28" t="str">
        <f t="shared" si="90"/>
        <v/>
      </c>
      <c r="U177" s="91" t="str">
        <f t="shared" si="91"/>
        <v/>
      </c>
    </row>
    <row r="178" spans="2:22" ht="15.75" thickBot="1" x14ac:dyDescent="0.3">
      <c r="C178" s="39" t="s">
        <v>46</v>
      </c>
      <c r="D178" s="104">
        <v>2018</v>
      </c>
      <c r="E178" s="18"/>
      <c r="F178" s="105" t="str">
        <f t="shared" si="83"/>
        <v>Forecast</v>
      </c>
      <c r="G178" s="139">
        <v>111219384.77132031</v>
      </c>
      <c r="H178" s="43" t="str">
        <f t="shared" si="84"/>
        <v/>
      </c>
      <c r="I178" s="46"/>
      <c r="K178" s="108" t="str">
        <f t="shared" si="85"/>
        <v>Forecast</v>
      </c>
      <c r="L178" s="109"/>
      <c r="M178" s="140"/>
      <c r="N178" s="111" t="str">
        <f t="shared" si="86"/>
        <v/>
      </c>
      <c r="O178" s="46"/>
      <c r="Q178" s="141" t="str">
        <f t="shared" si="87"/>
        <v>Forecast</v>
      </c>
      <c r="R178" s="40">
        <f t="shared" si="88"/>
        <v>0</v>
      </c>
      <c r="S178" s="40">
        <f t="shared" si="89"/>
        <v>0</v>
      </c>
      <c r="T178" s="40" t="str">
        <f t="shared" si="90"/>
        <v/>
      </c>
      <c r="U178" s="18" t="str">
        <f t="shared" si="91"/>
        <v/>
      </c>
    </row>
    <row r="179" spans="2:22" ht="15.75" thickBot="1" x14ac:dyDescent="0.3">
      <c r="C179" s="114"/>
      <c r="I179" s="52">
        <f>SUM(I172:I177)</f>
        <v>109982640.05572668</v>
      </c>
      <c r="J179" s="63"/>
      <c r="O179" s="52">
        <f>SUM(O172:O177)</f>
        <v>0</v>
      </c>
      <c r="U179" s="52">
        <f>SUM(U172:U177)</f>
        <v>0</v>
      </c>
    </row>
    <row r="180" spans="2:22" ht="39" thickBot="1" x14ac:dyDescent="0.3">
      <c r="C180" s="115" t="s">
        <v>33</v>
      </c>
      <c r="D180" s="116" t="s">
        <v>34</v>
      </c>
      <c r="E180" s="270"/>
      <c r="F180" s="270"/>
      <c r="G180" s="270" t="s">
        <v>35</v>
      </c>
      <c r="H180" s="270"/>
      <c r="I180" s="60" t="str">
        <f>I159</f>
        <v>Test Year Versus Board-approved</v>
      </c>
      <c r="J180" s="142"/>
      <c r="K180" s="58" t="s">
        <v>34</v>
      </c>
      <c r="L180" s="308" t="s">
        <v>35</v>
      </c>
      <c r="M180" s="308"/>
      <c r="N180" s="270"/>
      <c r="O180" s="60" t="str">
        <f>I180</f>
        <v>Test Year Versus Board-approved</v>
      </c>
      <c r="P180" s="143"/>
      <c r="Q180" s="58" t="s">
        <v>34</v>
      </c>
      <c r="R180" s="308" t="s">
        <v>35</v>
      </c>
      <c r="S180" s="308"/>
      <c r="T180" s="270"/>
      <c r="U180" s="60" t="str">
        <f>O180</f>
        <v>Test Year Versus Board-approved</v>
      </c>
    </row>
    <row r="181" spans="2:22" x14ac:dyDescent="0.25">
      <c r="C181" s="91"/>
      <c r="D181" s="144">
        <f>D172</f>
        <v>2012</v>
      </c>
      <c r="E181" s="51"/>
      <c r="F181" s="63"/>
      <c r="G181" s="120"/>
      <c r="H181" s="63"/>
      <c r="I181" s="121"/>
      <c r="J181" s="91"/>
      <c r="K181" s="27">
        <f>D181</f>
        <v>2012</v>
      </c>
      <c r="L181" s="65"/>
      <c r="M181" s="65"/>
      <c r="N181" s="63"/>
      <c r="O181" s="145"/>
      <c r="P181" s="91"/>
      <c r="Q181" s="27">
        <f>K181</f>
        <v>2012</v>
      </c>
      <c r="R181" s="123"/>
      <c r="S181" s="123"/>
      <c r="T181" s="63"/>
      <c r="U181" s="35"/>
    </row>
    <row r="182" spans="2:22" x14ac:dyDescent="0.25">
      <c r="C182" s="91"/>
      <c r="D182" s="124">
        <f>D173</f>
        <v>2013</v>
      </c>
      <c r="E182" s="63"/>
      <c r="F182" s="63"/>
      <c r="G182" s="125">
        <f>IF(G172=0,"",G173/G172-1)</f>
        <v>1.7155211657497782E-2</v>
      </c>
      <c r="H182" s="63"/>
      <c r="I182" s="121"/>
      <c r="J182" s="91"/>
      <c r="K182" s="27">
        <f t="shared" ref="K182:K188" si="92">D182</f>
        <v>2013</v>
      </c>
      <c r="L182" s="67" t="str">
        <f>IF(L172=0,"",L173/L172-1)</f>
        <v/>
      </c>
      <c r="M182" s="67" t="str">
        <f>IF(M172=0,"",M173/M172-1)</f>
        <v/>
      </c>
      <c r="N182" s="63"/>
      <c r="O182" s="145"/>
      <c r="P182" s="91"/>
      <c r="Q182" s="27">
        <f t="shared" ref="Q182:Q188" si="93">K182</f>
        <v>2013</v>
      </c>
      <c r="R182" s="126" t="str">
        <f>IF(R172="","",IF(R172=0,"",R173/R172-1))</f>
        <v/>
      </c>
      <c r="S182" s="126" t="str">
        <f>IF(S172="","",IF(S172=0,"",S173/S172-1))</f>
        <v/>
      </c>
      <c r="T182" s="63"/>
      <c r="U182" s="35"/>
    </row>
    <row r="183" spans="2:22" x14ac:dyDescent="0.25">
      <c r="C183" s="91"/>
      <c r="D183" s="146">
        <f t="shared" ref="D183:D187" si="94">D174</f>
        <v>2014</v>
      </c>
      <c r="E183" s="63"/>
      <c r="F183" s="63"/>
      <c r="G183" s="125">
        <f t="shared" ref="G183:G187" si="95">IF(G173=0,"",G174/G173-1)</f>
        <v>-1.9115068120878487E-3</v>
      </c>
      <c r="H183" s="63"/>
      <c r="I183" s="121"/>
      <c r="J183" s="91"/>
      <c r="K183" s="27">
        <f t="shared" si="92"/>
        <v>2014</v>
      </c>
      <c r="L183" s="67" t="str">
        <f t="shared" ref="L183:M187" si="96">IF(L173=0,"",L174/L173-1)</f>
        <v/>
      </c>
      <c r="M183" s="67" t="str">
        <f t="shared" si="96"/>
        <v/>
      </c>
      <c r="N183" s="63"/>
      <c r="O183" s="145"/>
      <c r="P183" s="91"/>
      <c r="Q183" s="27">
        <f t="shared" si="93"/>
        <v>2014</v>
      </c>
      <c r="R183" s="126" t="str">
        <f t="shared" ref="R183:S187" si="97">IF(R173="","",IF(R173=0,"",R174/R173-1))</f>
        <v/>
      </c>
      <c r="S183" s="126" t="str">
        <f t="shared" si="97"/>
        <v/>
      </c>
      <c r="T183" s="63"/>
      <c r="U183" s="35"/>
    </row>
    <row r="184" spans="2:22" x14ac:dyDescent="0.25">
      <c r="C184" s="91"/>
      <c r="D184" s="124">
        <f t="shared" si="94"/>
        <v>2015</v>
      </c>
      <c r="E184" s="63"/>
      <c r="F184" s="63"/>
      <c r="G184" s="125">
        <f t="shared" si="95"/>
        <v>0.12535558155064019</v>
      </c>
      <c r="H184" s="63"/>
      <c r="I184" s="121"/>
      <c r="J184" s="91"/>
      <c r="K184" s="27">
        <f t="shared" si="92"/>
        <v>2015</v>
      </c>
      <c r="L184" s="67" t="str">
        <f t="shared" si="96"/>
        <v/>
      </c>
      <c r="M184" s="67" t="str">
        <f t="shared" si="96"/>
        <v/>
      </c>
      <c r="N184" s="63"/>
      <c r="O184" s="145"/>
      <c r="P184" s="91"/>
      <c r="Q184" s="27">
        <f t="shared" si="93"/>
        <v>2015</v>
      </c>
      <c r="R184" s="126" t="str">
        <f t="shared" si="97"/>
        <v/>
      </c>
      <c r="S184" s="126" t="str">
        <f t="shared" si="97"/>
        <v/>
      </c>
      <c r="T184" s="63"/>
      <c r="U184" s="35"/>
    </row>
    <row r="185" spans="2:22" x14ac:dyDescent="0.25">
      <c r="C185" s="91"/>
      <c r="D185" s="124">
        <f t="shared" si="94"/>
        <v>2016</v>
      </c>
      <c r="E185" s="63"/>
      <c r="F185" s="63"/>
      <c r="G185" s="125">
        <f t="shared" si="95"/>
        <v>1.9281942929492368E-2</v>
      </c>
      <c r="H185" s="63"/>
      <c r="I185" s="121"/>
      <c r="J185" s="91"/>
      <c r="K185" s="27">
        <f t="shared" si="92"/>
        <v>2016</v>
      </c>
      <c r="L185" s="67" t="str">
        <f t="shared" si="96"/>
        <v/>
      </c>
      <c r="M185" s="67" t="str">
        <f t="shared" si="96"/>
        <v/>
      </c>
      <c r="N185" s="63"/>
      <c r="O185" s="145"/>
      <c r="P185" s="91"/>
      <c r="Q185" s="27">
        <f t="shared" si="93"/>
        <v>2016</v>
      </c>
      <c r="R185" s="126" t="str">
        <f t="shared" si="97"/>
        <v/>
      </c>
      <c r="S185" s="126" t="str">
        <f t="shared" si="97"/>
        <v/>
      </c>
      <c r="T185" s="63"/>
      <c r="U185" s="35"/>
    </row>
    <row r="186" spans="2:22" x14ac:dyDescent="0.25">
      <c r="C186" s="91"/>
      <c r="D186" s="124">
        <f t="shared" si="94"/>
        <v>2017</v>
      </c>
      <c r="E186" s="63"/>
      <c r="F186" s="63"/>
      <c r="G186" s="125">
        <f t="shared" si="95"/>
        <v>-2.1073843205250409E-3</v>
      </c>
      <c r="H186" s="63"/>
      <c r="I186" s="121"/>
      <c r="J186" s="91"/>
      <c r="K186" s="27">
        <f t="shared" si="92"/>
        <v>2017</v>
      </c>
      <c r="L186" s="67" t="str">
        <f>IF(K177="Forecast","",IF(L176=0,"",L177/L176-1))</f>
        <v/>
      </c>
      <c r="M186" s="67" t="str">
        <f t="shared" si="96"/>
        <v/>
      </c>
      <c r="N186" s="63"/>
      <c r="O186" s="145"/>
      <c r="P186" s="91"/>
      <c r="Q186" s="27">
        <f t="shared" si="93"/>
        <v>2017</v>
      </c>
      <c r="R186" s="126" t="str">
        <f>IF(Q177="Forecast","",IF(R176=0,"",R177/R176-1))</f>
        <v/>
      </c>
      <c r="S186" s="126" t="str">
        <f t="shared" si="97"/>
        <v/>
      </c>
      <c r="T186" s="63"/>
      <c r="U186" s="35"/>
    </row>
    <row r="187" spans="2:22" x14ac:dyDescent="0.25">
      <c r="C187" s="91"/>
      <c r="D187" s="146">
        <f t="shared" si="94"/>
        <v>2018</v>
      </c>
      <c r="E187" s="63"/>
      <c r="F187" s="63"/>
      <c r="G187" s="125">
        <f t="shared" si="95"/>
        <v>5.1628186432282064E-2</v>
      </c>
      <c r="H187" s="63"/>
      <c r="I187" s="127">
        <f>IF(I179=0,"",G178/I179-1)</f>
        <v>1.1244908423429401E-2</v>
      </c>
      <c r="J187" s="91"/>
      <c r="K187" s="27">
        <f t="shared" si="92"/>
        <v>2018</v>
      </c>
      <c r="L187" s="67" t="str">
        <f>IF(K178="Forecast","",IF(L177=0,"",L178/L177-1))</f>
        <v/>
      </c>
      <c r="M187" s="67" t="str">
        <f t="shared" si="96"/>
        <v/>
      </c>
      <c r="N187" s="63"/>
      <c r="O187" s="147" t="str">
        <f>IF(O179=0,"",M178/O179-1)</f>
        <v/>
      </c>
      <c r="P187" s="91"/>
      <c r="Q187" s="27">
        <f t="shared" si="93"/>
        <v>2018</v>
      </c>
      <c r="R187" s="126" t="str">
        <f>IF(Q178="Forecast","",IF(R177=0,"",R178/R177-1))</f>
        <v/>
      </c>
      <c r="S187" s="126" t="str">
        <f t="shared" si="97"/>
        <v/>
      </c>
      <c r="T187" s="63"/>
      <c r="U187" s="68" t="str">
        <f>IF(U179=0,"",S178/U179-1)</f>
        <v/>
      </c>
    </row>
    <row r="188" spans="2:22" ht="30.75" thickBot="1" x14ac:dyDescent="0.3">
      <c r="C188" s="18"/>
      <c r="D188" s="128" t="s">
        <v>37</v>
      </c>
      <c r="E188" s="71"/>
      <c r="F188" s="71"/>
      <c r="G188" s="129">
        <f>IF(G172=0,"",(G178/G172)^(1/($D178-$D172-1))-1)</f>
        <v>4.0919826794870717E-2</v>
      </c>
      <c r="H188" s="71"/>
      <c r="I188" s="286">
        <f>IF(I179=0,"",(G178/I179)^(1/(TestYear-RebaseYear-1))-1)</f>
        <v>1.1244908423429401E-2</v>
      </c>
      <c r="J188" s="91"/>
      <c r="K188" s="75" t="str">
        <f t="shared" si="92"/>
        <v>Geometric Mean</v>
      </c>
      <c r="L188" s="76" t="str">
        <f>IF(L172=0,"",(L176/L172)^(1/($D176-$D172-1))-1)</f>
        <v/>
      </c>
      <c r="M188" s="76" t="str">
        <f>IF(M172=0,"",(M178/M172)^(1/($D178-$D172-1))-1)</f>
        <v/>
      </c>
      <c r="N188" s="71"/>
      <c r="O188" s="77" t="str">
        <f>IF(O179=0,"",(M178/O179)^(1/(TestYear-RebaseYear-1))-1)</f>
        <v/>
      </c>
      <c r="P188" s="18"/>
      <c r="Q188" s="75" t="str">
        <f t="shared" si="93"/>
        <v>Geometric Mean</v>
      </c>
      <c r="R188" s="131" t="str">
        <f>IF(R172="","",IF(R172=0,"",(R176/R172)^(1/($D176-$D172-1))-1))</f>
        <v/>
      </c>
      <c r="S188" s="76" t="str">
        <f>IF(S172="","",IF(S172=0,"",(S178/S172)^(1/($D178-$D172-1))-1))</f>
        <v/>
      </c>
      <c r="T188" s="71"/>
      <c r="U188" s="77" t="str">
        <f>IF(U179=0,"",(S178/U179)^(1/(TestYear-RebaseYear-1))-1)</f>
        <v/>
      </c>
    </row>
    <row r="189" spans="2:22" ht="15.75" thickBot="1" x14ac:dyDescent="0.3"/>
    <row r="190" spans="2:22" ht="15.75" thickBot="1" x14ac:dyDescent="0.3">
      <c r="B190" s="79">
        <v>4</v>
      </c>
      <c r="C190" s="80" t="s">
        <v>39</v>
      </c>
      <c r="D190" s="309" t="s">
        <v>49</v>
      </c>
      <c r="E190" s="310"/>
      <c r="F190" s="311"/>
      <c r="G190" s="81"/>
      <c r="H190" s="82" t="s">
        <v>41</v>
      </c>
      <c r="N190" s="83" t="s">
        <v>42</v>
      </c>
      <c r="O190" s="84"/>
      <c r="P190" s="84"/>
      <c r="Q190" s="84"/>
      <c r="R190" s="84"/>
      <c r="S190" s="84"/>
      <c r="T190" s="84"/>
      <c r="U190" s="84"/>
    </row>
    <row r="191" spans="2:22" ht="15.75" thickBot="1" x14ac:dyDescent="0.3">
      <c r="Q191" s="71"/>
      <c r="R191" s="71"/>
      <c r="S191" s="71"/>
      <c r="T191" s="71"/>
      <c r="U191" s="71"/>
    </row>
    <row r="192" spans="2:22" ht="14.65" customHeight="1" x14ac:dyDescent="0.25">
      <c r="C192" s="13"/>
      <c r="D192" s="14" t="s">
        <v>23</v>
      </c>
      <c r="E192" s="14"/>
      <c r="F192" s="312" t="s">
        <v>43</v>
      </c>
      <c r="G192" s="313"/>
      <c r="H192" s="313"/>
      <c r="I192" s="314"/>
      <c r="J192" s="14"/>
      <c r="K192" s="300" t="s">
        <v>24</v>
      </c>
      <c r="L192" s="301"/>
      <c r="M192" s="301"/>
      <c r="N192" s="301"/>
      <c r="O192" s="302"/>
      <c r="P192" s="15"/>
      <c r="Q192" s="303" t="str">
        <f>CONCATENATE("Consumption (kWh) per ",LEFT(F192,LEN(F192)-1))</f>
        <v>Consumption (kWh) per Customer</v>
      </c>
      <c r="R192" s="304"/>
      <c r="S192" s="304"/>
      <c r="T192" s="304"/>
      <c r="U192" s="305"/>
      <c r="V192" s="85"/>
    </row>
    <row r="193" spans="2:22" ht="39" thickBot="1" x14ac:dyDescent="0.3">
      <c r="C193" s="18"/>
      <c r="D193" s="19" t="str">
        <f>CONCATENATE("(for ",TestYear," Cost of Service")</f>
        <v>(for 2017 Cost of Service</v>
      </c>
      <c r="E193" s="26"/>
      <c r="F193" s="306"/>
      <c r="G193" s="307"/>
      <c r="H193" s="315"/>
      <c r="I193" s="86"/>
      <c r="J193" s="26"/>
      <c r="K193" s="22"/>
      <c r="L193" s="23" t="s">
        <v>25</v>
      </c>
      <c r="M193" s="23" t="s">
        <v>26</v>
      </c>
      <c r="N193" s="24"/>
      <c r="O193" s="25" t="s">
        <v>26</v>
      </c>
      <c r="P193" s="26"/>
      <c r="Q193" s="87"/>
      <c r="R193" s="88" t="str">
        <f>L193</f>
        <v>Actual (Weather actual)</v>
      </c>
      <c r="S193" s="89" t="str">
        <f>M193</f>
        <v>Weather-normalized</v>
      </c>
      <c r="T193" s="89"/>
      <c r="U193" s="90" t="str">
        <f>O193</f>
        <v>Weather-normalized</v>
      </c>
      <c r="V193" s="85"/>
    </row>
    <row r="194" spans="2:22" x14ac:dyDescent="0.25">
      <c r="C194" s="26" t="s">
        <v>27</v>
      </c>
      <c r="D194" s="27">
        <f t="shared" ref="D194:D199" si="98">D195-1</f>
        <v>2012</v>
      </c>
      <c r="E194" s="91"/>
      <c r="F194" s="92" t="str">
        <f>F151</f>
        <v>Actual</v>
      </c>
      <c r="G194" s="93">
        <v>167672</v>
      </c>
      <c r="H194" s="32" t="str">
        <f t="shared" ref="H194:H200" si="99">IF(D194=RebaseYear,"Board-approved","")</f>
        <v/>
      </c>
      <c r="I194" s="35"/>
      <c r="J194" s="91"/>
      <c r="K194" s="94" t="str">
        <f>F194</f>
        <v>Actual</v>
      </c>
      <c r="L194" s="95">
        <v>1563487621.3400002</v>
      </c>
      <c r="M194" s="95">
        <v>1598824975.266681</v>
      </c>
      <c r="N194" s="37" t="str">
        <f>H194</f>
        <v/>
      </c>
      <c r="O194" s="35"/>
      <c r="P194" s="91"/>
      <c r="Q194" s="96" t="str">
        <f>K194</f>
        <v>Actual</v>
      </c>
      <c r="R194" s="97">
        <f>IF(G194=0,"",L194/G194)</f>
        <v>9324.6792627272298</v>
      </c>
      <c r="S194" s="63">
        <f>IF(G194=0,"",M194/G194)</f>
        <v>9535.4321250219527</v>
      </c>
      <c r="T194" s="63" t="str">
        <f>N194</f>
        <v/>
      </c>
      <c r="U194" s="63" t="str">
        <f>IF(T194="","",IF(I194=0,"",O194/I194))</f>
        <v/>
      </c>
      <c r="V194" s="28"/>
    </row>
    <row r="195" spans="2:22" x14ac:dyDescent="0.25">
      <c r="C195" s="26" t="s">
        <v>27</v>
      </c>
      <c r="D195" s="27">
        <f t="shared" si="98"/>
        <v>2013</v>
      </c>
      <c r="E195" s="91"/>
      <c r="F195" s="98" t="str">
        <f t="shared" ref="F195:F200" si="100">F152</f>
        <v>Actual</v>
      </c>
      <c r="G195" s="93">
        <v>169795.25160657338</v>
      </c>
      <c r="H195" s="32" t="str">
        <f t="shared" si="99"/>
        <v/>
      </c>
      <c r="I195" s="35"/>
      <c r="J195" s="91"/>
      <c r="K195" s="94" t="str">
        <f t="shared" ref="K195:K200" si="101">F195</f>
        <v>Actual</v>
      </c>
      <c r="L195" s="95">
        <v>1563685332.4714348</v>
      </c>
      <c r="M195" s="95">
        <v>1554932486.6528926</v>
      </c>
      <c r="N195" s="37" t="str">
        <f t="shared" ref="N195:N200" si="102">H195</f>
        <v/>
      </c>
      <c r="O195" s="35"/>
      <c r="P195" s="91"/>
      <c r="Q195" s="96" t="str">
        <f t="shared" ref="Q195:Q200" si="103">K195</f>
        <v>Actual</v>
      </c>
      <c r="R195" s="97">
        <f t="shared" ref="R195:R200" si="104">IF(G195=0,"",L195/G195)</f>
        <v>9209.2406452837404</v>
      </c>
      <c r="S195" s="63">
        <f t="shared" ref="S195:S200" si="105">IF(G195=0,"",M195/G195)</f>
        <v>9157.6912307051552</v>
      </c>
      <c r="T195" s="63" t="str">
        <f t="shared" ref="T195:T200" si="106">N195</f>
        <v/>
      </c>
      <c r="U195" s="63" t="str">
        <f t="shared" ref="U195:U200" si="107">IF(T195="","",IF(I195=0,"",O195/I195))</f>
        <v/>
      </c>
      <c r="V195" s="28"/>
    </row>
    <row r="196" spans="2:22" x14ac:dyDescent="0.25">
      <c r="C196" s="26" t="s">
        <v>27</v>
      </c>
      <c r="D196" s="27">
        <f t="shared" si="98"/>
        <v>2014</v>
      </c>
      <c r="E196" s="91"/>
      <c r="F196" s="98" t="str">
        <f t="shared" si="100"/>
        <v>Actual</v>
      </c>
      <c r="G196" s="93">
        <v>170796</v>
      </c>
      <c r="H196" s="32" t="str">
        <f t="shared" si="99"/>
        <v/>
      </c>
      <c r="I196" s="36"/>
      <c r="J196" s="91"/>
      <c r="K196" s="94" t="str">
        <f t="shared" si="101"/>
        <v>Actual</v>
      </c>
      <c r="L196" s="95">
        <v>1528243770.3246753</v>
      </c>
      <c r="M196" s="95">
        <v>1512619937.1623383</v>
      </c>
      <c r="N196" s="37" t="str">
        <f t="shared" si="102"/>
        <v/>
      </c>
      <c r="O196" s="36"/>
      <c r="P196" s="91"/>
      <c r="Q196" s="96" t="str">
        <f t="shared" si="103"/>
        <v>Actual</v>
      </c>
      <c r="R196" s="97">
        <f t="shared" si="104"/>
        <v>8947.7726078167834</v>
      </c>
      <c r="S196" s="63">
        <f t="shared" si="105"/>
        <v>8856.2960324734668</v>
      </c>
      <c r="T196" s="63" t="str">
        <f t="shared" si="106"/>
        <v/>
      </c>
      <c r="U196" s="63" t="str">
        <f t="shared" si="107"/>
        <v/>
      </c>
      <c r="V196" s="28"/>
    </row>
    <row r="197" spans="2:22" x14ac:dyDescent="0.25">
      <c r="C197" s="26" t="s">
        <v>27</v>
      </c>
      <c r="D197" s="27">
        <f t="shared" si="98"/>
        <v>2015</v>
      </c>
      <c r="E197" s="91"/>
      <c r="F197" s="98" t="str">
        <f t="shared" si="100"/>
        <v>Actual</v>
      </c>
      <c r="G197" s="93">
        <v>208639.36462791878</v>
      </c>
      <c r="H197" s="32" t="str">
        <f t="shared" si="99"/>
        <v>Board-approved</v>
      </c>
      <c r="I197" s="100">
        <v>213917.86412104563</v>
      </c>
      <c r="J197" s="91"/>
      <c r="K197" s="94" t="str">
        <f t="shared" si="101"/>
        <v>Actual</v>
      </c>
      <c r="L197" s="95">
        <v>1982901014.9071903</v>
      </c>
      <c r="M197" s="95">
        <v>1971135524.3909686</v>
      </c>
      <c r="N197" s="37" t="str">
        <f t="shared" si="102"/>
        <v>Board-approved</v>
      </c>
      <c r="O197" s="35">
        <v>2039119237.3865039</v>
      </c>
      <c r="P197" s="91"/>
      <c r="Q197" s="96" t="str">
        <f t="shared" si="103"/>
        <v>Actual</v>
      </c>
      <c r="R197" s="97">
        <f t="shared" si="104"/>
        <v>9503.9640215710824</v>
      </c>
      <c r="S197" s="63">
        <f t="shared" si="105"/>
        <v>9447.5725034258649</v>
      </c>
      <c r="T197" s="63" t="str">
        <f t="shared" si="106"/>
        <v>Board-approved</v>
      </c>
      <c r="U197" s="63">
        <f t="shared" si="107"/>
        <v>9532.2531653208098</v>
      </c>
      <c r="V197" s="28"/>
    </row>
    <row r="198" spans="2:22" x14ac:dyDescent="0.25">
      <c r="C198" s="26" t="s">
        <v>27</v>
      </c>
      <c r="D198" s="27">
        <f t="shared" si="98"/>
        <v>2016</v>
      </c>
      <c r="E198" s="91"/>
      <c r="F198" s="98" t="str">
        <f t="shared" si="100"/>
        <v>Actual</v>
      </c>
      <c r="G198" s="93">
        <v>213199</v>
      </c>
      <c r="H198" s="32" t="str">
        <f t="shared" si="99"/>
        <v/>
      </c>
      <c r="I198" s="35"/>
      <c r="J198" s="91"/>
      <c r="K198" s="94" t="str">
        <f t="shared" si="101"/>
        <v>Actual</v>
      </c>
      <c r="L198" s="95">
        <v>1946676571.4821978</v>
      </c>
      <c r="M198" s="95">
        <v>1969246943.1363025</v>
      </c>
      <c r="N198" s="37" t="str">
        <f t="shared" si="102"/>
        <v/>
      </c>
      <c r="O198" s="35"/>
      <c r="P198" s="91"/>
      <c r="Q198" s="96" t="str">
        <f t="shared" si="103"/>
        <v>Actual</v>
      </c>
      <c r="R198" s="97">
        <f t="shared" si="104"/>
        <v>9130.7959769145145</v>
      </c>
      <c r="S198" s="63">
        <f t="shared" si="105"/>
        <v>9236.6612560861104</v>
      </c>
      <c r="T198" s="63" t="str">
        <f t="shared" si="106"/>
        <v/>
      </c>
      <c r="U198" s="63" t="str">
        <f t="shared" si="107"/>
        <v/>
      </c>
      <c r="V198" s="28"/>
    </row>
    <row r="199" spans="2:22" x14ac:dyDescent="0.25">
      <c r="C199" s="26" t="s">
        <v>30</v>
      </c>
      <c r="D199" s="27">
        <f t="shared" si="98"/>
        <v>2017</v>
      </c>
      <c r="E199" s="91"/>
      <c r="F199" s="98" t="str">
        <f t="shared" si="100"/>
        <v>Forecast</v>
      </c>
      <c r="G199" s="93">
        <v>214934.39458496901</v>
      </c>
      <c r="H199" s="32" t="str">
        <f t="shared" si="99"/>
        <v/>
      </c>
      <c r="I199" s="35"/>
      <c r="J199" s="91"/>
      <c r="K199" s="94" t="str">
        <f t="shared" si="101"/>
        <v>Forecast</v>
      </c>
      <c r="L199" s="102"/>
      <c r="M199" s="103">
        <v>1974838401.1478689</v>
      </c>
      <c r="N199" s="37" t="str">
        <f t="shared" si="102"/>
        <v/>
      </c>
      <c r="O199" s="35"/>
      <c r="P199" s="91"/>
      <c r="Q199" s="96" t="str">
        <f t="shared" si="103"/>
        <v>Forecast</v>
      </c>
      <c r="R199" s="97">
        <f t="shared" si="104"/>
        <v>0</v>
      </c>
      <c r="S199" s="63">
        <f t="shared" si="105"/>
        <v>9188.0985589170796</v>
      </c>
      <c r="T199" s="63" t="str">
        <f t="shared" si="106"/>
        <v/>
      </c>
      <c r="U199" s="63" t="str">
        <f t="shared" si="107"/>
        <v/>
      </c>
      <c r="V199" s="28"/>
    </row>
    <row r="200" spans="2:22" ht="15.75" thickBot="1" x14ac:dyDescent="0.3">
      <c r="C200" s="39" t="s">
        <v>32</v>
      </c>
      <c r="D200" s="104">
        <v>2018</v>
      </c>
      <c r="E200" s="18"/>
      <c r="F200" s="105" t="str">
        <f t="shared" si="100"/>
        <v>Forecast</v>
      </c>
      <c r="G200" s="106">
        <v>225944.18649169474</v>
      </c>
      <c r="H200" s="44" t="str">
        <f t="shared" si="99"/>
        <v/>
      </c>
      <c r="I200" s="46"/>
      <c r="J200" s="18"/>
      <c r="K200" s="108" t="str">
        <f t="shared" si="101"/>
        <v>Forecast</v>
      </c>
      <c r="L200" s="109"/>
      <c r="M200" s="110">
        <v>2047262888.9178185</v>
      </c>
      <c r="N200" s="111" t="str">
        <f t="shared" si="102"/>
        <v/>
      </c>
      <c r="O200" s="46"/>
      <c r="P200" s="18"/>
      <c r="Q200" s="112" t="str">
        <f t="shared" si="103"/>
        <v>Forecast</v>
      </c>
      <c r="R200" s="113">
        <f t="shared" si="104"/>
        <v>0</v>
      </c>
      <c r="S200" s="71">
        <f t="shared" si="105"/>
        <v>9060.9230567349514</v>
      </c>
      <c r="T200" s="71" t="str">
        <f t="shared" si="106"/>
        <v/>
      </c>
      <c r="U200" s="71" t="str">
        <f t="shared" si="107"/>
        <v/>
      </c>
      <c r="V200" s="28"/>
    </row>
    <row r="201" spans="2:22" ht="15.75" thickBot="1" x14ac:dyDescent="0.3">
      <c r="B201" s="63"/>
      <c r="C201" s="114"/>
      <c r="I201" s="52">
        <f>SUM(I194:I199)</f>
        <v>213917.86412104563</v>
      </c>
      <c r="O201" s="52">
        <f>SUM(O194:O199)</f>
        <v>2039119237.3865039</v>
      </c>
      <c r="U201" s="52">
        <f>SUM(U194:U199)</f>
        <v>9532.2531653208098</v>
      </c>
    </row>
    <row r="202" spans="2:22" ht="39" thickBot="1" x14ac:dyDescent="0.3">
      <c r="C202" s="115" t="s">
        <v>33</v>
      </c>
      <c r="D202" s="116" t="s">
        <v>34</v>
      </c>
      <c r="E202" s="48"/>
      <c r="F202" s="48"/>
      <c r="G202" s="270" t="s">
        <v>35</v>
      </c>
      <c r="H202" s="48"/>
      <c r="I202" s="60" t="s">
        <v>44</v>
      </c>
      <c r="J202" s="117"/>
      <c r="K202" s="58" t="s">
        <v>34</v>
      </c>
      <c r="L202" s="308" t="s">
        <v>35</v>
      </c>
      <c r="M202" s="308"/>
      <c r="N202" s="48"/>
      <c r="O202" s="60" t="str">
        <f>I202</f>
        <v>Test Year Versus Board-approved</v>
      </c>
      <c r="P202" s="118"/>
      <c r="Q202" s="58" t="s">
        <v>34</v>
      </c>
      <c r="R202" s="308" t="s">
        <v>35</v>
      </c>
      <c r="S202" s="308"/>
      <c r="T202" s="48"/>
      <c r="U202" s="60" t="str">
        <f>O202</f>
        <v>Test Year Versus Board-approved</v>
      </c>
    </row>
    <row r="203" spans="2:22" x14ac:dyDescent="0.25">
      <c r="C203" s="91"/>
      <c r="D203" s="119">
        <f t="shared" ref="D203:D209" si="108">D194</f>
        <v>2012</v>
      </c>
      <c r="E203" s="63"/>
      <c r="F203" s="63"/>
      <c r="G203" s="120"/>
      <c r="H203" s="63"/>
      <c r="I203" s="121"/>
      <c r="J203" s="122"/>
      <c r="K203" s="27">
        <f>D203</f>
        <v>2012</v>
      </c>
      <c r="L203" s="65"/>
      <c r="M203" s="65"/>
      <c r="N203" s="63"/>
      <c r="O203" s="35"/>
      <c r="P203" s="91"/>
      <c r="Q203" s="27">
        <f>K203</f>
        <v>2012</v>
      </c>
      <c r="R203" s="123"/>
      <c r="S203" s="123"/>
      <c r="T203" s="63"/>
      <c r="U203" s="35"/>
    </row>
    <row r="204" spans="2:22" x14ac:dyDescent="0.25">
      <c r="C204" s="91"/>
      <c r="D204" s="124">
        <f t="shared" si="108"/>
        <v>2013</v>
      </c>
      <c r="E204" s="63"/>
      <c r="F204" s="63"/>
      <c r="G204" s="125">
        <f t="shared" ref="G204:G209" si="109">IF(G194=0,"",G195/G194-1)</f>
        <v>1.2663125665426378E-2</v>
      </c>
      <c r="H204" s="63"/>
      <c r="I204" s="121"/>
      <c r="J204" s="122"/>
      <c r="K204" s="27">
        <f t="shared" ref="K204:K210" si="110">D204</f>
        <v>2013</v>
      </c>
      <c r="L204" s="67">
        <f t="shared" ref="L204:M207" si="111">IF(L194=0,"",L195/L194-1)</f>
        <v>1.2645519461496058E-4</v>
      </c>
      <c r="M204" s="67">
        <f t="shared" si="111"/>
        <v>-2.7452966580327032E-2</v>
      </c>
      <c r="N204" s="63"/>
      <c r="O204" s="35"/>
      <c r="P204" s="91"/>
      <c r="Q204" s="27">
        <f t="shared" ref="Q204:Q210" si="112">K204</f>
        <v>2013</v>
      </c>
      <c r="R204" s="126">
        <f>IF(R194="","",IF(R194=0,"",R195/R194-1))</f>
        <v>-1.2379902213357941E-2</v>
      </c>
      <c r="S204" s="126">
        <f>IF(S194="","",IF(S194=0,"",S195/S194-1))</f>
        <v>-3.9614449493648674E-2</v>
      </c>
      <c r="T204" s="63"/>
      <c r="U204" s="35"/>
    </row>
    <row r="205" spans="2:22" x14ac:dyDescent="0.25">
      <c r="C205" s="91"/>
      <c r="D205" s="124">
        <f t="shared" si="108"/>
        <v>2014</v>
      </c>
      <c r="E205" s="63"/>
      <c r="F205" s="63"/>
      <c r="G205" s="125">
        <f t="shared" si="109"/>
        <v>5.8938538266395391E-3</v>
      </c>
      <c r="H205" s="63"/>
      <c r="I205" s="121"/>
      <c r="J205" s="122"/>
      <c r="K205" s="27">
        <f t="shared" si="110"/>
        <v>2014</v>
      </c>
      <c r="L205" s="67">
        <f t="shared" si="111"/>
        <v>-2.2665405507605207E-2</v>
      </c>
      <c r="M205" s="67">
        <f t="shared" si="111"/>
        <v>-2.7211824213432712E-2</v>
      </c>
      <c r="N205" s="63"/>
      <c r="O205" s="35"/>
      <c r="P205" s="91"/>
      <c r="Q205" s="27">
        <f t="shared" si="112"/>
        <v>2014</v>
      </c>
      <c r="R205" s="126">
        <f t="shared" ref="R205:S209" si="113">IF(R195="","",IF(R195=0,"",R196/R195-1))</f>
        <v>-2.8391921499071771E-2</v>
      </c>
      <c r="S205" s="126">
        <f t="shared" si="113"/>
        <v>-3.2911701283521055E-2</v>
      </c>
      <c r="T205" s="63"/>
      <c r="U205" s="35"/>
    </row>
    <row r="206" spans="2:22" x14ac:dyDescent="0.25">
      <c r="C206" s="91"/>
      <c r="D206" s="124">
        <f t="shared" si="108"/>
        <v>2015</v>
      </c>
      <c r="E206" s="63"/>
      <c r="F206" s="63"/>
      <c r="G206" s="125">
        <f t="shared" si="109"/>
        <v>0.2215705556799854</v>
      </c>
      <c r="H206" s="63"/>
      <c r="I206" s="121"/>
      <c r="J206" s="122"/>
      <c r="K206" s="27">
        <f t="shared" si="110"/>
        <v>2015</v>
      </c>
      <c r="L206" s="67">
        <f t="shared" si="111"/>
        <v>0.29750309041725931</v>
      </c>
      <c r="M206" s="67">
        <f t="shared" si="111"/>
        <v>0.30312676434028862</v>
      </c>
      <c r="N206" s="63"/>
      <c r="O206" s="35"/>
      <c r="P206" s="91"/>
      <c r="Q206" s="27">
        <f t="shared" si="112"/>
        <v>2015</v>
      </c>
      <c r="R206" s="126">
        <f t="shared" si="113"/>
        <v>6.2159761778971534E-2</v>
      </c>
      <c r="S206" s="126">
        <f t="shared" si="113"/>
        <v>6.6763404112098135E-2</v>
      </c>
      <c r="T206" s="63"/>
      <c r="U206" s="35"/>
    </row>
    <row r="207" spans="2:22" x14ac:dyDescent="0.25">
      <c r="C207" s="91"/>
      <c r="D207" s="124">
        <f t="shared" si="108"/>
        <v>2016</v>
      </c>
      <c r="E207" s="63"/>
      <c r="F207" s="63"/>
      <c r="G207" s="125">
        <f t="shared" si="109"/>
        <v>2.1854147131883384E-2</v>
      </c>
      <c r="H207" s="63"/>
      <c r="I207" s="121"/>
      <c r="J207" s="122"/>
      <c r="K207" s="27">
        <f t="shared" si="110"/>
        <v>2016</v>
      </c>
      <c r="L207" s="67">
        <f t="shared" si="111"/>
        <v>-1.8268407324753988E-2</v>
      </c>
      <c r="M207" s="67">
        <f t="shared" si="111"/>
        <v>-9.5811842021853444E-4</v>
      </c>
      <c r="N207" s="63"/>
      <c r="O207" s="35"/>
      <c r="P207" s="91"/>
      <c r="Q207" s="27">
        <f t="shared" si="112"/>
        <v>2016</v>
      </c>
      <c r="R207" s="126">
        <f t="shared" si="113"/>
        <v>-3.9264463102931635E-2</v>
      </c>
      <c r="S207" s="126">
        <f t="shared" si="113"/>
        <v>-2.2324385154310677E-2</v>
      </c>
      <c r="T207" s="63"/>
      <c r="U207" s="35"/>
    </row>
    <row r="208" spans="2:22" x14ac:dyDescent="0.25">
      <c r="C208" s="91"/>
      <c r="D208" s="124">
        <f t="shared" si="108"/>
        <v>2017</v>
      </c>
      <c r="E208" s="63"/>
      <c r="F208" s="63"/>
      <c r="G208" s="125">
        <f t="shared" si="109"/>
        <v>8.1397876395714608E-3</v>
      </c>
      <c r="H208" s="63"/>
      <c r="I208" s="121"/>
      <c r="J208" s="122"/>
      <c r="K208" s="27">
        <f t="shared" si="110"/>
        <v>2017</v>
      </c>
      <c r="L208" s="67" t="str">
        <f>IF(K199="Forecast","",IF(L198=0,"",L199/L198-1))</f>
        <v/>
      </c>
      <c r="M208" s="67">
        <f>IF(M198=0,"",M199/M198-1)</f>
        <v>2.8393889507130066E-3</v>
      </c>
      <c r="N208" s="63"/>
      <c r="O208" s="35"/>
      <c r="P208" s="91"/>
      <c r="Q208" s="27">
        <f t="shared" si="112"/>
        <v>2017</v>
      </c>
      <c r="R208" s="126" t="str">
        <f>IF(Q199="Forecast","",IF(R198=0,"",R199/R198-1))</f>
        <v/>
      </c>
      <c r="S208" s="126">
        <f t="shared" si="113"/>
        <v>-5.2576029176162331E-3</v>
      </c>
      <c r="T208" s="63"/>
      <c r="U208" s="35"/>
    </row>
    <row r="209" spans="3:21" x14ac:dyDescent="0.25">
      <c r="C209" s="91"/>
      <c r="D209" s="124">
        <f t="shared" si="108"/>
        <v>2018</v>
      </c>
      <c r="E209" s="63"/>
      <c r="F209" s="63"/>
      <c r="G209" s="125">
        <f t="shared" si="109"/>
        <v>5.1223965005625427E-2</v>
      </c>
      <c r="H209" s="63"/>
      <c r="I209" s="127">
        <f>IF(I201=0,"",G200/I201-1)</f>
        <v>5.6219345775834872E-2</v>
      </c>
      <c r="J209" s="122"/>
      <c r="K209" s="27">
        <f t="shared" si="110"/>
        <v>2018</v>
      </c>
      <c r="L209" s="67" t="str">
        <f>IF(K200="Forecast","",IF(L199=0,"",L200/L199-1))</f>
        <v/>
      </c>
      <c r="M209" s="67">
        <f>IF(M199=0,"",M200/M199-1)</f>
        <v>3.6673627435973133E-2</v>
      </c>
      <c r="N209" s="63"/>
      <c r="O209" s="127">
        <f>IF(O201=0,"",M200/O201-1)</f>
        <v>3.993710314729837E-3</v>
      </c>
      <c r="P209" s="91"/>
      <c r="Q209" s="27">
        <f t="shared" si="112"/>
        <v>2018</v>
      </c>
      <c r="R209" s="126" t="str">
        <f>IF(Q200="Forecast","",IF(R199=0,"",R200/R199-1))</f>
        <v/>
      </c>
      <c r="S209" s="126">
        <f t="shared" si="113"/>
        <v>-1.3841329777498301E-2</v>
      </c>
      <c r="T209" s="63"/>
      <c r="U209" s="127">
        <f>IF(U201=0,"",S200/U201-1)</f>
        <v>-4.9445823606594885E-2</v>
      </c>
    </row>
    <row r="210" spans="3:21" ht="30.75" thickBot="1" x14ac:dyDescent="0.3">
      <c r="C210" s="18"/>
      <c r="D210" s="128" t="s">
        <v>37</v>
      </c>
      <c r="E210" s="71"/>
      <c r="F210" s="71"/>
      <c r="G210" s="129">
        <f>IF(G194=0,"",(G200/G194)^(1/($D200-$D194-1))-1)</f>
        <v>6.1470980147795728E-2</v>
      </c>
      <c r="H210" s="71"/>
      <c r="I210" s="286">
        <f>IF(I201=0,"",(G200/I201)^(1/(TestYear-RebaseYear-1))-1)</f>
        <v>5.6219345775834872E-2</v>
      </c>
      <c r="J210" s="74"/>
      <c r="K210" s="75" t="str">
        <f t="shared" si="110"/>
        <v>Geometric Mean</v>
      </c>
      <c r="L210" s="129">
        <f>IF(L194=0,"",(L198/L194)^(1/($D198-$D194-1))-1)</f>
        <v>7.5803909847706796E-2</v>
      </c>
      <c r="M210" s="129">
        <f>IF(M194=0,"",(M200/M194)^(1/($D200-$D194-1))-1)</f>
        <v>5.0689852875335895E-2</v>
      </c>
      <c r="N210" s="71"/>
      <c r="O210" s="286">
        <f>IF(O201=0,"",(M200/O201)^(1/(TestYear-RebaseYear-1))-1)</f>
        <v>3.993710314729837E-3</v>
      </c>
      <c r="P210" s="18"/>
      <c r="Q210" s="75" t="str">
        <f t="shared" si="112"/>
        <v>Geometric Mean</v>
      </c>
      <c r="R210" s="131">
        <f>IF(R194="","",IF(R194=0,"",(R198/R194)^(1/($D198-$D194-1))-1))</f>
        <v>-6.9794285762359021E-3</v>
      </c>
      <c r="S210" s="129">
        <f>IF(S194="","",IF(S194=0,"",(S200/S194)^(1/($D200-$D194-1))-1))</f>
        <v>-1.0156780047777425E-2</v>
      </c>
      <c r="T210" s="71"/>
      <c r="U210" s="286">
        <f>IF(U201=0,"",(S200/U201)^(1/(TestYear-RebaseYear-1))-1)</f>
        <v>-4.9445823606594885E-2</v>
      </c>
    </row>
    <row r="212" spans="3:21" ht="15.75" thickBot="1" x14ac:dyDescent="0.3">
      <c r="Q212" s="71"/>
      <c r="R212" s="71"/>
      <c r="S212" s="71"/>
      <c r="T212" s="71"/>
      <c r="U212" s="71"/>
    </row>
    <row r="213" spans="3:21" ht="14.65" customHeight="1" x14ac:dyDescent="0.25">
      <c r="C213" s="13"/>
      <c r="D213" s="14" t="s">
        <v>23</v>
      </c>
      <c r="E213" s="14"/>
      <c r="F213" s="297" t="s">
        <v>10</v>
      </c>
      <c r="G213" s="298"/>
      <c r="H213" s="298"/>
      <c r="I213" s="299"/>
      <c r="K213" s="300" t="str">
        <f>IF(ISBLANK(N190),"",CONCATENATE("Demand (",N190,")"))</f>
        <v>Demand (kWh)</v>
      </c>
      <c r="L213" s="301"/>
      <c r="M213" s="301"/>
      <c r="N213" s="301"/>
      <c r="O213" s="302"/>
      <c r="Q213" s="303" t="str">
        <f>CONCATENATE("Demand (",N190,") per ",LEFT(F192,LEN(F192)-1))</f>
        <v>Demand (kWh) per Customer</v>
      </c>
      <c r="R213" s="304"/>
      <c r="S213" s="304"/>
      <c r="T213" s="304"/>
      <c r="U213" s="305"/>
    </row>
    <row r="214" spans="3:21" ht="39" thickBot="1" x14ac:dyDescent="0.3">
      <c r="C214" s="18"/>
      <c r="D214" s="19" t="str">
        <f>CONCATENATE("(for ",TestYear," Cost of Service")</f>
        <v>(for 2017 Cost of Service</v>
      </c>
      <c r="E214" s="26"/>
      <c r="F214" s="306"/>
      <c r="G214" s="307"/>
      <c r="H214" s="307"/>
      <c r="I214" s="86"/>
      <c r="K214" s="22"/>
      <c r="L214" s="23" t="s">
        <v>25</v>
      </c>
      <c r="M214" s="23" t="s">
        <v>26</v>
      </c>
      <c r="N214" s="24"/>
      <c r="O214" s="25" t="str">
        <f>M214</f>
        <v>Weather-normalized</v>
      </c>
      <c r="Q214" s="132"/>
      <c r="R214" s="23" t="str">
        <f>L214</f>
        <v>Actual (Weather actual)</v>
      </c>
      <c r="S214" s="23" t="str">
        <f>M214</f>
        <v>Weather-normalized</v>
      </c>
      <c r="T214" s="23"/>
      <c r="U214" s="133" t="str">
        <f>O214</f>
        <v>Weather-normalized</v>
      </c>
    </row>
    <row r="215" spans="3:21" x14ac:dyDescent="0.25">
      <c r="C215" s="26" t="s">
        <v>27</v>
      </c>
      <c r="D215" s="27">
        <f t="shared" ref="D215:D220" si="114">D216-1</f>
        <v>2012</v>
      </c>
      <c r="E215" s="91"/>
      <c r="F215" s="92" t="str">
        <f t="shared" ref="F215:F221" si="115">F194</f>
        <v>Actual</v>
      </c>
      <c r="G215" s="134">
        <v>74837738.070701212</v>
      </c>
      <c r="H215" s="31" t="s">
        <v>50</v>
      </c>
      <c r="I215" s="135"/>
      <c r="K215" s="94" t="str">
        <f t="shared" ref="K215:K221" si="116">K194</f>
        <v>Actual</v>
      </c>
      <c r="L215" s="95"/>
      <c r="M215" s="95"/>
      <c r="N215" s="37" t="str">
        <f t="shared" ref="N215:N221" si="117">N194</f>
        <v/>
      </c>
      <c r="O215" s="35"/>
      <c r="Q215" s="96" t="str">
        <f>K215</f>
        <v>Actual</v>
      </c>
      <c r="R215" s="63">
        <f>IF(G215=0,"",L215/G215)</f>
        <v>0</v>
      </c>
      <c r="S215" s="28">
        <f>IF(G215=0,"",M215/G215)</f>
        <v>0</v>
      </c>
      <c r="T215" s="28" t="str">
        <f>N215</f>
        <v/>
      </c>
      <c r="U215" s="91" t="str">
        <f>IF(T215="","",IF(I215=0,"",O215/I215))</f>
        <v/>
      </c>
    </row>
    <row r="216" spans="3:21" x14ac:dyDescent="0.25">
      <c r="C216" s="26" t="s">
        <v>27</v>
      </c>
      <c r="D216" s="27">
        <f t="shared" si="114"/>
        <v>2013</v>
      </c>
      <c r="E216" s="91"/>
      <c r="F216" s="98" t="str">
        <f t="shared" si="115"/>
        <v>Actual</v>
      </c>
      <c r="G216" s="134">
        <v>65177893.240730904</v>
      </c>
      <c r="H216" s="31" t="s">
        <v>50</v>
      </c>
      <c r="I216" s="35"/>
      <c r="K216" s="94" t="str">
        <f t="shared" si="116"/>
        <v>Actual</v>
      </c>
      <c r="L216" s="95"/>
      <c r="M216" s="95"/>
      <c r="N216" s="37" t="str">
        <f t="shared" si="117"/>
        <v/>
      </c>
      <c r="O216" s="35"/>
      <c r="Q216" s="96" t="str">
        <f t="shared" ref="Q216:Q221" si="118">K216</f>
        <v>Actual</v>
      </c>
      <c r="R216" s="63">
        <f t="shared" ref="R216:R221" si="119">IF(G216=0,"",L216/G216)</f>
        <v>0</v>
      </c>
      <c r="S216" s="28">
        <f t="shared" ref="S216:S221" si="120">IF(G216=0,"",M216/G216)</f>
        <v>0</v>
      </c>
      <c r="T216" s="28" t="str">
        <f t="shared" ref="T216:T221" si="121">N216</f>
        <v/>
      </c>
      <c r="U216" s="91" t="str">
        <f t="shared" ref="U216:U221" si="122">IF(T216="","",IF(I216=0,"",O216/I216))</f>
        <v/>
      </c>
    </row>
    <row r="217" spans="3:21" x14ac:dyDescent="0.25">
      <c r="C217" s="26" t="s">
        <v>27</v>
      </c>
      <c r="D217" s="27">
        <f t="shared" si="114"/>
        <v>2014</v>
      </c>
      <c r="E217" s="91"/>
      <c r="F217" s="98" t="str">
        <f t="shared" si="115"/>
        <v>Actual</v>
      </c>
      <c r="G217" s="134">
        <v>65147494.64720194</v>
      </c>
      <c r="H217" s="31" t="s">
        <v>50</v>
      </c>
      <c r="I217" s="136"/>
      <c r="K217" s="94" t="str">
        <f t="shared" si="116"/>
        <v>Actual</v>
      </c>
      <c r="L217" s="95"/>
      <c r="M217" s="95"/>
      <c r="N217" s="37" t="str">
        <f t="shared" si="117"/>
        <v/>
      </c>
      <c r="O217" s="36"/>
      <c r="Q217" s="96" t="str">
        <f t="shared" si="118"/>
        <v>Actual</v>
      </c>
      <c r="R217" s="63">
        <f t="shared" si="119"/>
        <v>0</v>
      </c>
      <c r="S217" s="28">
        <f t="shared" si="120"/>
        <v>0</v>
      </c>
      <c r="T217" s="28" t="str">
        <f t="shared" si="121"/>
        <v/>
      </c>
      <c r="U217" s="91" t="str">
        <f t="shared" si="122"/>
        <v/>
      </c>
    </row>
    <row r="218" spans="3:21" x14ac:dyDescent="0.25">
      <c r="C218" s="26" t="s">
        <v>27</v>
      </c>
      <c r="D218" s="27">
        <f t="shared" si="114"/>
        <v>2015</v>
      </c>
      <c r="E218" s="91"/>
      <c r="F218" s="98" t="str">
        <f t="shared" si="115"/>
        <v>Actual</v>
      </c>
      <c r="G218" s="134">
        <v>88989373.311522484</v>
      </c>
      <c r="H218" s="31" t="s">
        <v>29</v>
      </c>
      <c r="I218" s="137">
        <v>82834573.022622794</v>
      </c>
      <c r="K218" s="94" t="str">
        <f t="shared" si="116"/>
        <v>Actual</v>
      </c>
      <c r="L218" s="95"/>
      <c r="M218" s="95"/>
      <c r="N218" s="37" t="str">
        <f t="shared" si="117"/>
        <v>Board-approved</v>
      </c>
      <c r="O218" s="35"/>
      <c r="Q218" s="96" t="str">
        <f t="shared" si="118"/>
        <v>Actual</v>
      </c>
      <c r="R218" s="63">
        <f t="shared" si="119"/>
        <v>0</v>
      </c>
      <c r="S218" s="28">
        <f t="shared" si="120"/>
        <v>0</v>
      </c>
      <c r="T218" s="28" t="str">
        <f t="shared" si="121"/>
        <v>Board-approved</v>
      </c>
      <c r="U218" s="91">
        <f t="shared" si="122"/>
        <v>0</v>
      </c>
    </row>
    <row r="219" spans="3:21" x14ac:dyDescent="0.25">
      <c r="C219" s="26" t="s">
        <v>27</v>
      </c>
      <c r="D219" s="27">
        <f t="shared" si="114"/>
        <v>2016</v>
      </c>
      <c r="E219" s="91"/>
      <c r="F219" s="98" t="str">
        <f t="shared" si="115"/>
        <v>Actual</v>
      </c>
      <c r="G219" s="134">
        <v>88562628.978011593</v>
      </c>
      <c r="H219" s="31" t="s">
        <v>50</v>
      </c>
      <c r="I219" s="35"/>
      <c r="K219" s="94" t="str">
        <f t="shared" si="116"/>
        <v>Actual</v>
      </c>
      <c r="L219" s="95"/>
      <c r="M219" s="95"/>
      <c r="N219" s="37" t="str">
        <f t="shared" si="117"/>
        <v/>
      </c>
      <c r="O219" s="35"/>
      <c r="Q219" s="96" t="str">
        <f t="shared" si="118"/>
        <v>Actual</v>
      </c>
      <c r="R219" s="63">
        <f t="shared" si="119"/>
        <v>0</v>
      </c>
      <c r="S219" s="28">
        <f t="shared" si="120"/>
        <v>0</v>
      </c>
      <c r="T219" s="28" t="str">
        <f t="shared" si="121"/>
        <v/>
      </c>
      <c r="U219" s="91" t="str">
        <f t="shared" si="122"/>
        <v/>
      </c>
    </row>
    <row r="220" spans="3:21" x14ac:dyDescent="0.25">
      <c r="C220" s="26" t="s">
        <v>45</v>
      </c>
      <c r="D220" s="27">
        <f t="shared" si="114"/>
        <v>2017</v>
      </c>
      <c r="E220" s="91"/>
      <c r="F220" s="98" t="str">
        <f t="shared" si="115"/>
        <v>Forecast</v>
      </c>
      <c r="G220" s="134">
        <v>82476372.544576362</v>
      </c>
      <c r="H220" s="31" t="s">
        <v>50</v>
      </c>
      <c r="I220" s="35"/>
      <c r="K220" s="94" t="str">
        <f t="shared" si="116"/>
        <v>Forecast</v>
      </c>
      <c r="L220" s="102"/>
      <c r="M220" s="138"/>
      <c r="N220" s="37" t="str">
        <f t="shared" si="117"/>
        <v/>
      </c>
      <c r="O220" s="35"/>
      <c r="Q220" s="96" t="str">
        <f t="shared" si="118"/>
        <v>Forecast</v>
      </c>
      <c r="R220" s="63">
        <f t="shared" si="119"/>
        <v>0</v>
      </c>
      <c r="S220" s="28">
        <f t="shared" si="120"/>
        <v>0</v>
      </c>
      <c r="T220" s="28" t="str">
        <f t="shared" si="121"/>
        <v/>
      </c>
      <c r="U220" s="91" t="str">
        <f t="shared" si="122"/>
        <v/>
      </c>
    </row>
    <row r="221" spans="3:21" ht="15.75" thickBot="1" x14ac:dyDescent="0.3">
      <c r="C221" s="39" t="s">
        <v>46</v>
      </c>
      <c r="D221" s="104">
        <v>2018</v>
      </c>
      <c r="E221" s="18"/>
      <c r="F221" s="105" t="str">
        <f t="shared" si="115"/>
        <v>Forecast</v>
      </c>
      <c r="G221" s="139">
        <v>91429001.832549155</v>
      </c>
      <c r="H221" s="43" t="s">
        <v>50</v>
      </c>
      <c r="I221" s="46"/>
      <c r="K221" s="108" t="str">
        <f t="shared" si="116"/>
        <v>Forecast</v>
      </c>
      <c r="L221" s="109"/>
      <c r="M221" s="140"/>
      <c r="N221" s="111" t="str">
        <f t="shared" si="117"/>
        <v/>
      </c>
      <c r="O221" s="46"/>
      <c r="Q221" s="141" t="str">
        <f t="shared" si="118"/>
        <v>Forecast</v>
      </c>
      <c r="R221" s="40">
        <f t="shared" si="119"/>
        <v>0</v>
      </c>
      <c r="S221" s="40">
        <f t="shared" si="120"/>
        <v>0</v>
      </c>
      <c r="T221" s="40" t="str">
        <f t="shared" si="121"/>
        <v/>
      </c>
      <c r="U221" s="18" t="str">
        <f t="shared" si="122"/>
        <v/>
      </c>
    </row>
    <row r="222" spans="3:21" ht="15.75" thickBot="1" x14ac:dyDescent="0.3">
      <c r="C222" s="114"/>
      <c r="I222" s="52">
        <f>SUM(I215:I220)</f>
        <v>82834573.022622794</v>
      </c>
      <c r="J222" s="63"/>
      <c r="O222" s="52">
        <f>SUM(O215:O220)</f>
        <v>0</v>
      </c>
      <c r="U222" s="52">
        <f>SUM(U215:U220)</f>
        <v>0</v>
      </c>
    </row>
    <row r="223" spans="3:21" ht="39" thickBot="1" x14ac:dyDescent="0.3">
      <c r="C223" s="115" t="s">
        <v>33</v>
      </c>
      <c r="D223" s="116" t="s">
        <v>34</v>
      </c>
      <c r="E223" s="270"/>
      <c r="F223" s="270"/>
      <c r="G223" s="270" t="s">
        <v>35</v>
      </c>
      <c r="H223" s="270"/>
      <c r="I223" s="60" t="str">
        <f>I202</f>
        <v>Test Year Versus Board-approved</v>
      </c>
      <c r="J223" s="142"/>
      <c r="K223" s="58" t="s">
        <v>34</v>
      </c>
      <c r="L223" s="308" t="s">
        <v>35</v>
      </c>
      <c r="M223" s="308"/>
      <c r="N223" s="270"/>
      <c r="O223" s="60" t="str">
        <f>I223</f>
        <v>Test Year Versus Board-approved</v>
      </c>
      <c r="P223" s="143"/>
      <c r="Q223" s="58" t="s">
        <v>34</v>
      </c>
      <c r="R223" s="308" t="s">
        <v>35</v>
      </c>
      <c r="S223" s="308"/>
      <c r="T223" s="270"/>
      <c r="U223" s="60" t="str">
        <f>O223</f>
        <v>Test Year Versus Board-approved</v>
      </c>
    </row>
    <row r="224" spans="3:21" x14ac:dyDescent="0.25">
      <c r="C224" s="91"/>
      <c r="D224" s="144">
        <f>D215</f>
        <v>2012</v>
      </c>
      <c r="E224" s="51"/>
      <c r="F224" s="63"/>
      <c r="G224" s="120"/>
      <c r="H224" s="63"/>
      <c r="I224" s="121"/>
      <c r="J224" s="91"/>
      <c r="K224" s="27">
        <f>D224</f>
        <v>2012</v>
      </c>
      <c r="L224" s="65"/>
      <c r="M224" s="65"/>
      <c r="N224" s="63"/>
      <c r="O224" s="145"/>
      <c r="P224" s="91"/>
      <c r="Q224" s="27">
        <f>K224</f>
        <v>2012</v>
      </c>
      <c r="R224" s="123"/>
      <c r="S224" s="123"/>
      <c r="T224" s="63"/>
      <c r="U224" s="35"/>
    </row>
    <row r="225" spans="2:22" x14ac:dyDescent="0.25">
      <c r="C225" s="91"/>
      <c r="D225" s="124">
        <f>D216</f>
        <v>2013</v>
      </c>
      <c r="E225" s="63"/>
      <c r="F225" s="63"/>
      <c r="G225" s="125">
        <f>IF(G215=0,"",G216/G215-1)</f>
        <v>-0.12907718858157358</v>
      </c>
      <c r="H225" s="63"/>
      <c r="I225" s="121"/>
      <c r="J225" s="91"/>
      <c r="K225" s="27">
        <f t="shared" ref="K225:K231" si="123">D225</f>
        <v>2013</v>
      </c>
      <c r="L225" s="67" t="str">
        <f>IF(L215=0,"",L216/L215-1)</f>
        <v/>
      </c>
      <c r="M225" s="67" t="str">
        <f>IF(M215=0,"",M216/M215-1)</f>
        <v/>
      </c>
      <c r="N225" s="63"/>
      <c r="O225" s="145"/>
      <c r="P225" s="91"/>
      <c r="Q225" s="27">
        <f t="shared" ref="Q225:Q231" si="124">K225</f>
        <v>2013</v>
      </c>
      <c r="R225" s="126" t="str">
        <f>IF(R215="","",IF(R215=0,"",R216/R215-1))</f>
        <v/>
      </c>
      <c r="S225" s="126" t="str">
        <f>IF(S215="","",IF(S215=0,"",S216/S215-1))</f>
        <v/>
      </c>
      <c r="T225" s="63"/>
      <c r="U225" s="35"/>
    </row>
    <row r="226" spans="2:22" x14ac:dyDescent="0.25">
      <c r="C226" s="91"/>
      <c r="D226" s="146">
        <f t="shared" ref="D226:D230" si="125">D217</f>
        <v>2014</v>
      </c>
      <c r="E226" s="63"/>
      <c r="F226" s="63"/>
      <c r="G226" s="125">
        <f t="shared" ref="G226:G230" si="126">IF(G216=0,"",G217/G216-1)</f>
        <v>-4.6639423303673766E-4</v>
      </c>
      <c r="H226" s="63"/>
      <c r="I226" s="121"/>
      <c r="J226" s="91"/>
      <c r="K226" s="27">
        <f t="shared" si="123"/>
        <v>2014</v>
      </c>
      <c r="L226" s="67" t="str">
        <f t="shared" ref="L226:M230" si="127">IF(L216=0,"",L217/L216-1)</f>
        <v/>
      </c>
      <c r="M226" s="67" t="str">
        <f t="shared" si="127"/>
        <v/>
      </c>
      <c r="N226" s="63"/>
      <c r="O226" s="145"/>
      <c r="P226" s="91"/>
      <c r="Q226" s="27">
        <f t="shared" si="124"/>
        <v>2014</v>
      </c>
      <c r="R226" s="126" t="str">
        <f t="shared" ref="R226:S230" si="128">IF(R216="","",IF(R216=0,"",R217/R216-1))</f>
        <v/>
      </c>
      <c r="S226" s="126" t="str">
        <f t="shared" si="128"/>
        <v/>
      </c>
      <c r="T226" s="63"/>
      <c r="U226" s="35"/>
    </row>
    <row r="227" spans="2:22" x14ac:dyDescent="0.25">
      <c r="C227" s="91"/>
      <c r="D227" s="124">
        <f t="shared" si="125"/>
        <v>2015</v>
      </c>
      <c r="E227" s="63"/>
      <c r="F227" s="63"/>
      <c r="G227" s="125">
        <f t="shared" si="126"/>
        <v>0.36596769827348297</v>
      </c>
      <c r="H227" s="63"/>
      <c r="I227" s="121"/>
      <c r="J227" s="91"/>
      <c r="K227" s="27">
        <f t="shared" si="123"/>
        <v>2015</v>
      </c>
      <c r="L227" s="67" t="str">
        <f t="shared" si="127"/>
        <v/>
      </c>
      <c r="M227" s="67" t="str">
        <f t="shared" si="127"/>
        <v/>
      </c>
      <c r="N227" s="63"/>
      <c r="O227" s="145"/>
      <c r="P227" s="91"/>
      <c r="Q227" s="27">
        <f t="shared" si="124"/>
        <v>2015</v>
      </c>
      <c r="R227" s="126" t="str">
        <f t="shared" si="128"/>
        <v/>
      </c>
      <c r="S227" s="126" t="str">
        <f t="shared" si="128"/>
        <v/>
      </c>
      <c r="T227" s="63"/>
      <c r="U227" s="35"/>
    </row>
    <row r="228" spans="2:22" x14ac:dyDescent="0.25">
      <c r="C228" s="91"/>
      <c r="D228" s="124">
        <f t="shared" si="125"/>
        <v>2016</v>
      </c>
      <c r="E228" s="63"/>
      <c r="F228" s="63"/>
      <c r="G228" s="125">
        <f t="shared" si="126"/>
        <v>-4.7954527336314667E-3</v>
      </c>
      <c r="H228" s="63"/>
      <c r="I228" s="121"/>
      <c r="J228" s="91"/>
      <c r="K228" s="27">
        <f t="shared" si="123"/>
        <v>2016</v>
      </c>
      <c r="L228" s="67" t="str">
        <f t="shared" si="127"/>
        <v/>
      </c>
      <c r="M228" s="67" t="str">
        <f t="shared" si="127"/>
        <v/>
      </c>
      <c r="N228" s="63"/>
      <c r="O228" s="145"/>
      <c r="P228" s="91"/>
      <c r="Q228" s="27">
        <f t="shared" si="124"/>
        <v>2016</v>
      </c>
      <c r="R228" s="126" t="str">
        <f t="shared" si="128"/>
        <v/>
      </c>
      <c r="S228" s="126" t="str">
        <f t="shared" si="128"/>
        <v/>
      </c>
      <c r="T228" s="63"/>
      <c r="U228" s="35"/>
    </row>
    <row r="229" spans="2:22" x14ac:dyDescent="0.25">
      <c r="C229" s="91"/>
      <c r="D229" s="124">
        <f t="shared" si="125"/>
        <v>2017</v>
      </c>
      <c r="E229" s="63"/>
      <c r="F229" s="63"/>
      <c r="G229" s="125">
        <f t="shared" si="126"/>
        <v>-6.8722626051969771E-2</v>
      </c>
      <c r="H229" s="63"/>
      <c r="I229" s="121"/>
      <c r="J229" s="91"/>
      <c r="K229" s="27">
        <f t="shared" si="123"/>
        <v>2017</v>
      </c>
      <c r="L229" s="67" t="str">
        <f>IF(K220="Forecast","",IF(L219=0,"",L220/L219-1))</f>
        <v/>
      </c>
      <c r="M229" s="67" t="str">
        <f t="shared" si="127"/>
        <v/>
      </c>
      <c r="N229" s="63"/>
      <c r="O229" s="145"/>
      <c r="P229" s="91"/>
      <c r="Q229" s="27">
        <f t="shared" si="124"/>
        <v>2017</v>
      </c>
      <c r="R229" s="126" t="str">
        <f>IF(Q220="Forecast","",IF(R219=0,"",R220/R219-1))</f>
        <v/>
      </c>
      <c r="S229" s="126" t="str">
        <f t="shared" si="128"/>
        <v/>
      </c>
      <c r="T229" s="63"/>
      <c r="U229" s="35"/>
    </row>
    <row r="230" spans="2:22" x14ac:dyDescent="0.25">
      <c r="C230" s="91"/>
      <c r="D230" s="146">
        <f t="shared" si="125"/>
        <v>2018</v>
      </c>
      <c r="E230" s="63"/>
      <c r="F230" s="63"/>
      <c r="G230" s="125">
        <f t="shared" si="126"/>
        <v>0.1085478060172218</v>
      </c>
      <c r="H230" s="63"/>
      <c r="I230" s="127">
        <f>IF(I222=0,"",G221/I222-1)</f>
        <v>0.10375412700659603</v>
      </c>
      <c r="J230" s="91"/>
      <c r="K230" s="27">
        <f t="shared" si="123"/>
        <v>2018</v>
      </c>
      <c r="L230" s="67" t="str">
        <f>IF(K221="Forecast","",IF(L220=0,"",L221/L220-1))</f>
        <v/>
      </c>
      <c r="M230" s="67" t="str">
        <f t="shared" si="127"/>
        <v/>
      </c>
      <c r="N230" s="63"/>
      <c r="O230" s="147" t="str">
        <f>IF(O222=0,"",M221/O222-1)</f>
        <v/>
      </c>
      <c r="P230" s="91"/>
      <c r="Q230" s="27">
        <f t="shared" si="124"/>
        <v>2018</v>
      </c>
      <c r="R230" s="126" t="str">
        <f>IF(Q221="Forecast","",IF(R220=0,"",R221/R220-1))</f>
        <v/>
      </c>
      <c r="S230" s="126" t="str">
        <f t="shared" si="128"/>
        <v/>
      </c>
      <c r="T230" s="63"/>
      <c r="U230" s="68" t="str">
        <f>IF(U222=0,"",S221/U222-1)</f>
        <v/>
      </c>
    </row>
    <row r="231" spans="2:22" ht="30.75" thickBot="1" x14ac:dyDescent="0.3">
      <c r="C231" s="18"/>
      <c r="D231" s="128" t="s">
        <v>37</v>
      </c>
      <c r="E231" s="71"/>
      <c r="F231" s="71"/>
      <c r="G231" s="129">
        <f>IF(G215=0,"",(G221/G215)^(1/($D221-$D215-1))-1)</f>
        <v>4.0860829529830944E-2</v>
      </c>
      <c r="H231" s="71"/>
      <c r="I231" s="286">
        <f>IF(I222=0,"",(G221/I222)^(1/(TestYear-RebaseYear-1))-1)</f>
        <v>0.10375412700659603</v>
      </c>
      <c r="J231" s="91"/>
      <c r="K231" s="75" t="str">
        <f t="shared" si="123"/>
        <v>Geometric Mean</v>
      </c>
      <c r="L231" s="76" t="str">
        <f>IF(L215=0,"",(L219/L215)^(1/($D219-$D215-1))-1)</f>
        <v/>
      </c>
      <c r="M231" s="76" t="str">
        <f>IF(M215=0,"",(M221/M215)^(1/($D221-$D215-1))-1)</f>
        <v/>
      </c>
      <c r="N231" s="71"/>
      <c r="O231" s="77" t="str">
        <f>IF(O222=0,"",(M221/O222)^(1/(TestYear-RebaseYear-1))-1)</f>
        <v/>
      </c>
      <c r="P231" s="18"/>
      <c r="Q231" s="75" t="str">
        <f t="shared" si="124"/>
        <v>Geometric Mean</v>
      </c>
      <c r="R231" s="131" t="str">
        <f>IF(R215="","",IF(R215=0,"",(R219/R215)^(1/($D219-$D215-1))-1))</f>
        <v/>
      </c>
      <c r="S231" s="76" t="str">
        <f>IF(S215="","",IF(S215=0,"",(S221/S215)^(1/($D221-$D215-1))-1))</f>
        <v/>
      </c>
      <c r="T231" s="71"/>
      <c r="U231" s="77" t="str">
        <f>IF(U222=0,"",(S221/U222)^(1/(TestYear-RebaseYear-1))-1)</f>
        <v/>
      </c>
    </row>
    <row r="232" spans="2:22" ht="15.75" thickBot="1" x14ac:dyDescent="0.3"/>
    <row r="233" spans="2:22" ht="15.75" thickBot="1" x14ac:dyDescent="0.3">
      <c r="B233" s="79">
        <v>5</v>
      </c>
      <c r="C233" s="80" t="s">
        <v>39</v>
      </c>
      <c r="D233" s="309" t="s">
        <v>51</v>
      </c>
      <c r="E233" s="310"/>
      <c r="F233" s="311"/>
      <c r="G233" s="81"/>
      <c r="H233" s="82" t="s">
        <v>41</v>
      </c>
      <c r="N233" s="83" t="s">
        <v>52</v>
      </c>
      <c r="O233" s="84"/>
      <c r="P233" s="84"/>
      <c r="Q233" s="84"/>
      <c r="R233" s="84"/>
      <c r="S233" s="84"/>
      <c r="T233" s="84"/>
      <c r="U233" s="84"/>
    </row>
    <row r="234" spans="2:22" ht="15.75" thickBot="1" x14ac:dyDescent="0.3">
      <c r="Q234" s="71"/>
      <c r="R234" s="71"/>
      <c r="S234" s="71"/>
      <c r="T234" s="71"/>
      <c r="U234" s="71"/>
    </row>
    <row r="235" spans="2:22" ht="14.65" customHeight="1" x14ac:dyDescent="0.25">
      <c r="C235" s="13"/>
      <c r="D235" s="14" t="s">
        <v>23</v>
      </c>
      <c r="E235" s="14"/>
      <c r="F235" s="312" t="s">
        <v>43</v>
      </c>
      <c r="G235" s="313"/>
      <c r="H235" s="313"/>
      <c r="I235" s="314"/>
      <c r="J235" s="14"/>
      <c r="K235" s="300" t="s">
        <v>24</v>
      </c>
      <c r="L235" s="301"/>
      <c r="M235" s="301"/>
      <c r="N235" s="301"/>
      <c r="O235" s="302"/>
      <c r="P235" s="15"/>
      <c r="Q235" s="303" t="str">
        <f>CONCATENATE("Consumption (kWh) per ",LEFT(F235,LEN(F235)-1))</f>
        <v>Consumption (kWh) per Customer</v>
      </c>
      <c r="R235" s="304"/>
      <c r="S235" s="304"/>
      <c r="T235" s="304"/>
      <c r="U235" s="305"/>
      <c r="V235" s="85"/>
    </row>
    <row r="236" spans="2:22" ht="39" thickBot="1" x14ac:dyDescent="0.3">
      <c r="C236" s="18"/>
      <c r="D236" s="19" t="str">
        <f>CONCATENATE("(for ",TestYear," Cost of Service")</f>
        <v>(for 2017 Cost of Service</v>
      </c>
      <c r="E236" s="26"/>
      <c r="F236" s="306"/>
      <c r="G236" s="307"/>
      <c r="H236" s="315"/>
      <c r="I236" s="86"/>
      <c r="J236" s="26"/>
      <c r="K236" s="22"/>
      <c r="L236" s="23" t="s">
        <v>25</v>
      </c>
      <c r="M236" s="23" t="s">
        <v>26</v>
      </c>
      <c r="N236" s="24"/>
      <c r="O236" s="25" t="s">
        <v>26</v>
      </c>
      <c r="P236" s="26"/>
      <c r="Q236" s="87"/>
      <c r="R236" s="88" t="str">
        <f>L236</f>
        <v>Actual (Weather actual)</v>
      </c>
      <c r="S236" s="89" t="str">
        <f>M236</f>
        <v>Weather-normalized</v>
      </c>
      <c r="T236" s="89"/>
      <c r="U236" s="90" t="str">
        <f>O236</f>
        <v>Weather-normalized</v>
      </c>
      <c r="V236" s="85"/>
    </row>
    <row r="237" spans="2:22" x14ac:dyDescent="0.25">
      <c r="C237" s="26" t="s">
        <v>27</v>
      </c>
      <c r="D237" s="27">
        <f t="shared" ref="D237:D242" si="129">D238-1</f>
        <v>2012</v>
      </c>
      <c r="E237" s="91"/>
      <c r="F237" s="92" t="str">
        <f>F194</f>
        <v>Actual</v>
      </c>
      <c r="G237" s="93">
        <v>248</v>
      </c>
      <c r="H237" s="32" t="str">
        <f t="shared" ref="H237:H243" si="130">IF(D237=RebaseYear,"Board-approved","")</f>
        <v/>
      </c>
      <c r="I237" s="35"/>
      <c r="J237" s="91"/>
      <c r="K237" s="94" t="str">
        <f>F237</f>
        <v>Actual</v>
      </c>
      <c r="L237" s="95">
        <v>11204107.549999999</v>
      </c>
      <c r="M237" s="95">
        <v>11204107.549999999</v>
      </c>
      <c r="N237" s="37" t="str">
        <f>H237</f>
        <v/>
      </c>
      <c r="O237" s="35"/>
      <c r="P237" s="91"/>
      <c r="Q237" s="96" t="str">
        <f>K237</f>
        <v>Actual</v>
      </c>
      <c r="R237" s="97">
        <f>IF(G237=0,"",L237/G237)</f>
        <v>45177.853024193544</v>
      </c>
      <c r="S237" s="63">
        <f>IF(G237=0,"",M237/G237)</f>
        <v>45177.853024193544</v>
      </c>
      <c r="T237" s="63" t="str">
        <f>N237</f>
        <v/>
      </c>
      <c r="U237" s="63" t="str">
        <f>IF(T237="","",IF(I237=0,"",O237/I237))</f>
        <v/>
      </c>
      <c r="V237" s="28"/>
    </row>
    <row r="238" spans="2:22" x14ac:dyDescent="0.25">
      <c r="C238" s="26" t="s">
        <v>27</v>
      </c>
      <c r="D238" s="27">
        <f t="shared" si="129"/>
        <v>2013</v>
      </c>
      <c r="E238" s="91"/>
      <c r="F238" s="98" t="str">
        <f t="shared" ref="F238:F243" si="131">F195</f>
        <v>Actual</v>
      </c>
      <c r="G238" s="93">
        <v>477.14009661498864</v>
      </c>
      <c r="H238" s="32" t="str">
        <f t="shared" si="130"/>
        <v/>
      </c>
      <c r="I238" s="35"/>
      <c r="J238" s="91"/>
      <c r="K238" s="94" t="str">
        <f t="shared" ref="K238:K243" si="132">F238</f>
        <v>Actual</v>
      </c>
      <c r="L238" s="95">
        <v>14430262.692241516</v>
      </c>
      <c r="M238" s="95">
        <v>14430262.692241516</v>
      </c>
      <c r="N238" s="37" t="str">
        <f t="shared" ref="N238:N243" si="133">H238</f>
        <v/>
      </c>
      <c r="O238" s="35"/>
      <c r="P238" s="91"/>
      <c r="Q238" s="96" t="str">
        <f t="shared" ref="Q238:Q243" si="134">K238</f>
        <v>Actual</v>
      </c>
      <c r="R238" s="97">
        <f t="shared" ref="R238:R243" si="135">IF(G238=0,"",L238/G238)</f>
        <v>30243.240496062328</v>
      </c>
      <c r="S238" s="63">
        <f t="shared" ref="S238:S243" si="136">IF(G238=0,"",M238/G238)</f>
        <v>30243.240496062328</v>
      </c>
      <c r="T238" s="63" t="str">
        <f t="shared" ref="T238:T243" si="137">N238</f>
        <v/>
      </c>
      <c r="U238" s="63" t="str">
        <f t="shared" ref="U238:U243" si="138">IF(T238="","",IF(I238=0,"",O238/I238))</f>
        <v/>
      </c>
      <c r="V238" s="28"/>
    </row>
    <row r="239" spans="2:22" x14ac:dyDescent="0.25">
      <c r="C239" s="26" t="s">
        <v>27</v>
      </c>
      <c r="D239" s="27">
        <f t="shared" si="129"/>
        <v>2014</v>
      </c>
      <c r="E239" s="91"/>
      <c r="F239" s="98" t="str">
        <f t="shared" si="131"/>
        <v>Actual</v>
      </c>
      <c r="G239" s="93">
        <v>633</v>
      </c>
      <c r="H239" s="32" t="str">
        <f t="shared" si="130"/>
        <v/>
      </c>
      <c r="I239" s="36"/>
      <c r="J239" s="91"/>
      <c r="K239" s="94" t="str">
        <f t="shared" si="132"/>
        <v>Actual</v>
      </c>
      <c r="L239" s="95">
        <v>16080620.557365702</v>
      </c>
      <c r="M239" s="95">
        <v>16080620.557365702</v>
      </c>
      <c r="N239" s="37" t="str">
        <f t="shared" si="133"/>
        <v/>
      </c>
      <c r="O239" s="36"/>
      <c r="P239" s="91"/>
      <c r="Q239" s="96" t="str">
        <f t="shared" si="134"/>
        <v>Actual</v>
      </c>
      <c r="R239" s="97">
        <f t="shared" si="135"/>
        <v>25403.823945285469</v>
      </c>
      <c r="S239" s="63">
        <f t="shared" si="136"/>
        <v>25403.823945285469</v>
      </c>
      <c r="T239" s="63" t="str">
        <f t="shared" si="137"/>
        <v/>
      </c>
      <c r="U239" s="63" t="str">
        <f t="shared" si="138"/>
        <v/>
      </c>
      <c r="V239" s="28"/>
    </row>
    <row r="240" spans="2:22" x14ac:dyDescent="0.25">
      <c r="C240" s="26" t="s">
        <v>27</v>
      </c>
      <c r="D240" s="27">
        <f t="shared" si="129"/>
        <v>2015</v>
      </c>
      <c r="E240" s="91"/>
      <c r="F240" s="98" t="str">
        <f t="shared" si="131"/>
        <v>Actual</v>
      </c>
      <c r="G240" s="93">
        <v>892.65037775922303</v>
      </c>
      <c r="H240" s="32" t="str">
        <f t="shared" si="130"/>
        <v>Board-approved</v>
      </c>
      <c r="I240" s="100">
        <v>1522.9629313036801</v>
      </c>
      <c r="J240" s="91"/>
      <c r="K240" s="94" t="str">
        <f t="shared" si="132"/>
        <v>Actual</v>
      </c>
      <c r="L240" s="95">
        <v>16445768.668755896</v>
      </c>
      <c r="M240" s="95">
        <v>16445768.668755896</v>
      </c>
      <c r="N240" s="37" t="str">
        <f t="shared" si="133"/>
        <v>Board-approved</v>
      </c>
      <c r="O240" s="35">
        <v>23930287.84741997</v>
      </c>
      <c r="P240" s="91"/>
      <c r="Q240" s="96" t="str">
        <f t="shared" si="134"/>
        <v>Actual</v>
      </c>
      <c r="R240" s="97">
        <f t="shared" si="135"/>
        <v>18423.527372540761</v>
      </c>
      <c r="S240" s="63">
        <f t="shared" si="136"/>
        <v>18423.527372540761</v>
      </c>
      <c r="T240" s="63" t="str">
        <f t="shared" si="137"/>
        <v>Board-approved</v>
      </c>
      <c r="U240" s="63">
        <f t="shared" si="138"/>
        <v>15712.981160306554</v>
      </c>
      <c r="V240" s="28"/>
    </row>
    <row r="241" spans="2:22" x14ac:dyDescent="0.25">
      <c r="C241" s="26" t="s">
        <v>27</v>
      </c>
      <c r="D241" s="27">
        <f t="shared" si="129"/>
        <v>2016</v>
      </c>
      <c r="E241" s="91"/>
      <c r="F241" s="98" t="str">
        <f t="shared" si="131"/>
        <v>Actual</v>
      </c>
      <c r="G241" s="93">
        <v>907</v>
      </c>
      <c r="H241" s="32" t="str">
        <f t="shared" si="130"/>
        <v/>
      </c>
      <c r="I241" s="35"/>
      <c r="J241" s="91"/>
      <c r="K241" s="94" t="str">
        <f t="shared" si="132"/>
        <v>Actual</v>
      </c>
      <c r="L241" s="95">
        <v>17087058.818661377</v>
      </c>
      <c r="M241" s="95">
        <v>17087058.818661377</v>
      </c>
      <c r="N241" s="37" t="str">
        <f t="shared" si="133"/>
        <v/>
      </c>
      <c r="O241" s="35"/>
      <c r="P241" s="91"/>
      <c r="Q241" s="96" t="str">
        <f t="shared" si="134"/>
        <v>Actual</v>
      </c>
      <c r="R241" s="97">
        <f t="shared" si="135"/>
        <v>18839.094618149258</v>
      </c>
      <c r="S241" s="63">
        <f t="shared" si="136"/>
        <v>18839.094618149258</v>
      </c>
      <c r="T241" s="63" t="str">
        <f t="shared" si="137"/>
        <v/>
      </c>
      <c r="U241" s="63" t="str">
        <f t="shared" si="138"/>
        <v/>
      </c>
      <c r="V241" s="28"/>
    </row>
    <row r="242" spans="2:22" x14ac:dyDescent="0.25">
      <c r="C242" s="26" t="s">
        <v>30</v>
      </c>
      <c r="D242" s="27">
        <f t="shared" si="129"/>
        <v>2017</v>
      </c>
      <c r="E242" s="91"/>
      <c r="F242" s="98" t="str">
        <f t="shared" si="131"/>
        <v>Forecast</v>
      </c>
      <c r="G242" s="93">
        <v>1033.5974774713941</v>
      </c>
      <c r="H242" s="32" t="str">
        <f t="shared" si="130"/>
        <v/>
      </c>
      <c r="I242" s="35"/>
      <c r="J242" s="91"/>
      <c r="K242" s="94" t="str">
        <f t="shared" si="132"/>
        <v>Forecast</v>
      </c>
      <c r="L242" s="102"/>
      <c r="M242" s="103">
        <v>17719239.448740084</v>
      </c>
      <c r="N242" s="37" t="str">
        <f t="shared" si="133"/>
        <v/>
      </c>
      <c r="O242" s="35"/>
      <c r="P242" s="91"/>
      <c r="Q242" s="96" t="str">
        <f t="shared" si="134"/>
        <v>Forecast</v>
      </c>
      <c r="R242" s="97">
        <f t="shared" si="135"/>
        <v>0</v>
      </c>
      <c r="S242" s="63">
        <f t="shared" si="136"/>
        <v>17143.268859448704</v>
      </c>
      <c r="T242" s="63" t="str">
        <f t="shared" si="137"/>
        <v/>
      </c>
      <c r="U242" s="63" t="str">
        <f t="shared" si="138"/>
        <v/>
      </c>
      <c r="V242" s="28"/>
    </row>
    <row r="243" spans="2:22" ht="15.75" thickBot="1" x14ac:dyDescent="0.3">
      <c r="C243" s="39" t="s">
        <v>32</v>
      </c>
      <c r="D243" s="104">
        <v>2018</v>
      </c>
      <c r="E243" s="18"/>
      <c r="F243" s="105" t="str">
        <f t="shared" si="131"/>
        <v>Forecast</v>
      </c>
      <c r="G243" s="106">
        <v>1152.4825649576753</v>
      </c>
      <c r="H243" s="44" t="str">
        <f t="shared" si="130"/>
        <v/>
      </c>
      <c r="I243" s="46"/>
      <c r="J243" s="18"/>
      <c r="K243" s="108" t="str">
        <f t="shared" si="132"/>
        <v>Forecast</v>
      </c>
      <c r="L243" s="109"/>
      <c r="M243" s="110">
        <v>18368070.328334294</v>
      </c>
      <c r="N243" s="111" t="str">
        <f t="shared" si="133"/>
        <v/>
      </c>
      <c r="O243" s="46"/>
      <c r="P243" s="18"/>
      <c r="Q243" s="112" t="str">
        <f t="shared" si="134"/>
        <v>Forecast</v>
      </c>
      <c r="R243" s="113">
        <f t="shared" si="135"/>
        <v>0</v>
      </c>
      <c r="S243" s="71">
        <f t="shared" si="136"/>
        <v>15937.829245172883</v>
      </c>
      <c r="T243" s="71" t="str">
        <f t="shared" si="137"/>
        <v/>
      </c>
      <c r="U243" s="71" t="str">
        <f t="shared" si="138"/>
        <v/>
      </c>
      <c r="V243" s="28"/>
    </row>
    <row r="244" spans="2:22" ht="15.75" thickBot="1" x14ac:dyDescent="0.3">
      <c r="B244" s="63"/>
      <c r="C244" s="114"/>
      <c r="I244" s="52">
        <f>SUM(I237:I242)</f>
        <v>1522.9629313036801</v>
      </c>
      <c r="O244" s="52">
        <f>SUM(O237:O242)</f>
        <v>23930287.84741997</v>
      </c>
      <c r="U244" s="52">
        <f>SUM(U237:U242)</f>
        <v>15712.981160306554</v>
      </c>
    </row>
    <row r="245" spans="2:22" ht="39" thickBot="1" x14ac:dyDescent="0.3">
      <c r="C245" s="115" t="s">
        <v>33</v>
      </c>
      <c r="D245" s="116" t="s">
        <v>34</v>
      </c>
      <c r="E245" s="48"/>
      <c r="F245" s="48"/>
      <c r="G245" s="270" t="s">
        <v>35</v>
      </c>
      <c r="H245" s="48"/>
      <c r="I245" s="60" t="s">
        <v>44</v>
      </c>
      <c r="J245" s="117"/>
      <c r="K245" s="58" t="s">
        <v>34</v>
      </c>
      <c r="L245" s="308" t="s">
        <v>35</v>
      </c>
      <c r="M245" s="308"/>
      <c r="N245" s="48"/>
      <c r="O245" s="60" t="str">
        <f>I245</f>
        <v>Test Year Versus Board-approved</v>
      </c>
      <c r="P245" s="118"/>
      <c r="Q245" s="58" t="s">
        <v>34</v>
      </c>
      <c r="R245" s="308" t="s">
        <v>35</v>
      </c>
      <c r="S245" s="308"/>
      <c r="T245" s="48"/>
      <c r="U245" s="60" t="str">
        <f>O245</f>
        <v>Test Year Versus Board-approved</v>
      </c>
    </row>
    <row r="246" spans="2:22" x14ac:dyDescent="0.25">
      <c r="C246" s="91"/>
      <c r="D246" s="119">
        <f t="shared" ref="D246:D252" si="139">D237</f>
        <v>2012</v>
      </c>
      <c r="E246" s="63"/>
      <c r="F246" s="63"/>
      <c r="G246" s="120"/>
      <c r="H246" s="63"/>
      <c r="I246" s="121"/>
      <c r="J246" s="122"/>
      <c r="K246" s="27">
        <f>D246</f>
        <v>2012</v>
      </c>
      <c r="L246" s="65"/>
      <c r="M246" s="65"/>
      <c r="N246" s="63"/>
      <c r="O246" s="35"/>
      <c r="P246" s="91"/>
      <c r="Q246" s="27">
        <f>K246</f>
        <v>2012</v>
      </c>
      <c r="R246" s="123"/>
      <c r="S246" s="123"/>
      <c r="T246" s="63"/>
      <c r="U246" s="35"/>
    </row>
    <row r="247" spans="2:22" x14ac:dyDescent="0.25">
      <c r="C247" s="91"/>
      <c r="D247" s="124">
        <f t="shared" si="139"/>
        <v>2013</v>
      </c>
      <c r="E247" s="63"/>
      <c r="F247" s="63"/>
      <c r="G247" s="125">
        <f t="shared" ref="G247:G252" si="140">IF(G237=0,"",G238/G237-1)</f>
        <v>0.92395200247979292</v>
      </c>
      <c r="H247" s="63"/>
      <c r="I247" s="121"/>
      <c r="J247" s="122"/>
      <c r="K247" s="27">
        <f t="shared" ref="K247:K253" si="141">D247</f>
        <v>2013</v>
      </c>
      <c r="L247" s="67">
        <f t="shared" ref="L247:M250" si="142">IF(L237=0,"",L238/L237-1)</f>
        <v>0.28794396410819156</v>
      </c>
      <c r="M247" s="67">
        <f t="shared" si="142"/>
        <v>0.28794396410819156</v>
      </c>
      <c r="N247" s="63"/>
      <c r="O247" s="35"/>
      <c r="P247" s="91"/>
      <c r="Q247" s="27">
        <f t="shared" ref="Q247:Q253" si="143">K247</f>
        <v>2013</v>
      </c>
      <c r="R247" s="126">
        <f>IF(R237="","",IF(R237=0,"",R238/R237-1))</f>
        <v>-0.33057375524537358</v>
      </c>
      <c r="S247" s="126">
        <f>IF(S237="","",IF(S237=0,"",S238/S237-1))</f>
        <v>-0.33057375524537358</v>
      </c>
      <c r="T247" s="63"/>
      <c r="U247" s="35"/>
    </row>
    <row r="248" spans="2:22" x14ac:dyDescent="0.25">
      <c r="C248" s="91"/>
      <c r="D248" s="124">
        <f t="shared" si="139"/>
        <v>2014</v>
      </c>
      <c r="E248" s="63"/>
      <c r="F248" s="63"/>
      <c r="G248" s="125">
        <f t="shared" si="140"/>
        <v>0.32665438199543528</v>
      </c>
      <c r="H248" s="63"/>
      <c r="I248" s="121"/>
      <c r="J248" s="122"/>
      <c r="K248" s="27">
        <f t="shared" si="141"/>
        <v>2014</v>
      </c>
      <c r="L248" s="67">
        <f t="shared" si="142"/>
        <v>0.11436783240346049</v>
      </c>
      <c r="M248" s="67">
        <f t="shared" si="142"/>
        <v>0.11436783240346049</v>
      </c>
      <c r="N248" s="63"/>
      <c r="O248" s="35"/>
      <c r="P248" s="91"/>
      <c r="Q248" s="27">
        <f t="shared" si="143"/>
        <v>2014</v>
      </c>
      <c r="R248" s="126">
        <f t="shared" ref="R248:S252" si="144">IF(R238="","",IF(R238=0,"",R239/R238-1))</f>
        <v>-0.16001646885051724</v>
      </c>
      <c r="S248" s="126">
        <f t="shared" si="144"/>
        <v>-0.16001646885051724</v>
      </c>
      <c r="T248" s="63"/>
      <c r="U248" s="35"/>
    </row>
    <row r="249" spans="2:22" x14ac:dyDescent="0.25">
      <c r="C249" s="91"/>
      <c r="D249" s="124">
        <f t="shared" si="139"/>
        <v>2015</v>
      </c>
      <c r="E249" s="63"/>
      <c r="F249" s="63"/>
      <c r="G249" s="125">
        <f t="shared" si="140"/>
        <v>0.41019017023573934</v>
      </c>
      <c r="H249" s="63"/>
      <c r="I249" s="121"/>
      <c r="J249" s="122"/>
      <c r="K249" s="27">
        <f t="shared" si="141"/>
        <v>2015</v>
      </c>
      <c r="L249" s="67">
        <f t="shared" si="142"/>
        <v>2.270733956364257E-2</v>
      </c>
      <c r="M249" s="67">
        <f t="shared" si="142"/>
        <v>2.270733956364257E-2</v>
      </c>
      <c r="N249" s="63"/>
      <c r="O249" s="35"/>
      <c r="P249" s="91"/>
      <c r="Q249" s="27">
        <f t="shared" si="143"/>
        <v>2015</v>
      </c>
      <c r="R249" s="126">
        <f t="shared" si="144"/>
        <v>-0.27477345882174309</v>
      </c>
      <c r="S249" s="126">
        <f t="shared" si="144"/>
        <v>-0.27477345882174309</v>
      </c>
      <c r="T249" s="63"/>
      <c r="U249" s="35"/>
    </row>
    <row r="250" spans="2:22" x14ac:dyDescent="0.25">
      <c r="C250" s="91"/>
      <c r="D250" s="124">
        <f t="shared" si="139"/>
        <v>2016</v>
      </c>
      <c r="E250" s="63"/>
      <c r="F250" s="63"/>
      <c r="G250" s="125">
        <f t="shared" si="140"/>
        <v>1.6075299577868574E-2</v>
      </c>
      <c r="H250" s="63"/>
      <c r="I250" s="121"/>
      <c r="J250" s="122"/>
      <c r="K250" s="27">
        <f t="shared" si="141"/>
        <v>2016</v>
      </c>
      <c r="L250" s="67">
        <f t="shared" si="142"/>
        <v>3.8994233886058494E-2</v>
      </c>
      <c r="M250" s="67">
        <f t="shared" si="142"/>
        <v>3.8994233886058494E-2</v>
      </c>
      <c r="N250" s="63"/>
      <c r="O250" s="35"/>
      <c r="P250" s="91"/>
      <c r="Q250" s="27">
        <f t="shared" si="143"/>
        <v>2016</v>
      </c>
      <c r="R250" s="126">
        <f t="shared" si="144"/>
        <v>2.2556334474139739E-2</v>
      </c>
      <c r="S250" s="126">
        <f t="shared" si="144"/>
        <v>2.2556334474139739E-2</v>
      </c>
      <c r="T250" s="63"/>
      <c r="U250" s="35"/>
    </row>
    <row r="251" spans="2:22" x14ac:dyDescent="0.25">
      <c r="C251" s="91"/>
      <c r="D251" s="124">
        <f t="shared" si="139"/>
        <v>2017</v>
      </c>
      <c r="E251" s="63"/>
      <c r="F251" s="63"/>
      <c r="G251" s="125">
        <f t="shared" si="140"/>
        <v>0.13957825520550626</v>
      </c>
      <c r="H251" s="63"/>
      <c r="I251" s="121"/>
      <c r="J251" s="122"/>
      <c r="K251" s="27">
        <f t="shared" si="141"/>
        <v>2017</v>
      </c>
      <c r="L251" s="67" t="str">
        <f>IF(K242="Forecast","",IF(L241=0,"",L242/L241-1))</f>
        <v/>
      </c>
      <c r="M251" s="67">
        <f>IF(M241=0,"",M242/M241-1)</f>
        <v>3.6997627080693318E-2</v>
      </c>
      <c r="N251" s="63"/>
      <c r="O251" s="35"/>
      <c r="P251" s="91"/>
      <c r="Q251" s="27">
        <f t="shared" si="143"/>
        <v>2017</v>
      </c>
      <c r="R251" s="126" t="str">
        <f>IF(Q242="Forecast","",IF(R241=0,"",R242/R241-1))</f>
        <v/>
      </c>
      <c r="S251" s="126">
        <f t="shared" si="144"/>
        <v>-9.0016308802166378E-2</v>
      </c>
      <c r="T251" s="63"/>
      <c r="U251" s="35"/>
    </row>
    <row r="252" spans="2:22" x14ac:dyDescent="0.25">
      <c r="C252" s="91"/>
      <c r="D252" s="124">
        <f t="shared" si="139"/>
        <v>2018</v>
      </c>
      <c r="E252" s="63"/>
      <c r="F252" s="63"/>
      <c r="G252" s="125">
        <f t="shared" si="140"/>
        <v>0.11502068269083154</v>
      </c>
      <c r="H252" s="63"/>
      <c r="I252" s="127">
        <f>IF(I244=0,"",G243/I244-1)</f>
        <v>-0.24326289151953806</v>
      </c>
      <c r="J252" s="122"/>
      <c r="K252" s="27">
        <f t="shared" si="141"/>
        <v>2018</v>
      </c>
      <c r="L252" s="67" t="str">
        <f>IF(K243="Forecast","",IF(L242=0,"",L243/L242-1))</f>
        <v/>
      </c>
      <c r="M252" s="67">
        <f>IF(M242=0,"",M243/M242-1)</f>
        <v>3.6617309759327421E-2</v>
      </c>
      <c r="N252" s="63"/>
      <c r="O252" s="127">
        <f>IF(O244=0,"",M243/O244-1)</f>
        <v>-0.23243420867105713</v>
      </c>
      <c r="P252" s="91"/>
      <c r="Q252" s="27">
        <f t="shared" si="143"/>
        <v>2018</v>
      </c>
      <c r="R252" s="126" t="str">
        <f>IF(Q243="Forecast","",IF(R242=0,"",R243/R242-1))</f>
        <v/>
      </c>
      <c r="S252" s="126">
        <f t="shared" si="144"/>
        <v>-7.0315622076441375E-2</v>
      </c>
      <c r="T252" s="63"/>
      <c r="U252" s="127">
        <f>IF(U244=0,"",S243/U244-1)</f>
        <v>1.4309702441082983E-2</v>
      </c>
    </row>
    <row r="253" spans="2:22" ht="30.75" thickBot="1" x14ac:dyDescent="0.3">
      <c r="C253" s="18"/>
      <c r="D253" s="128" t="s">
        <v>37</v>
      </c>
      <c r="E253" s="71"/>
      <c r="F253" s="71"/>
      <c r="G253" s="129">
        <f>IF(G237=0,"",(G243/G237)^(1/($D243-$D237-1))-1)</f>
        <v>0.35967945907874177</v>
      </c>
      <c r="H253" s="71"/>
      <c r="I253" s="130">
        <f>IF(I244=0,"",(G243/I244)^(1/(TestYear-RebaseYear-1))-1)</f>
        <v>-0.24326289151953806</v>
      </c>
      <c r="J253" s="74"/>
      <c r="K253" s="75" t="str">
        <f t="shared" si="141"/>
        <v>Geometric Mean</v>
      </c>
      <c r="L253" s="129">
        <f>IF(L237=0,"",(L241/L237)^(1/($D241-$D237-1))-1)</f>
        <v>0.15105660639930085</v>
      </c>
      <c r="M253" s="129">
        <f>IF(M237=0,"",(M243/M237)^(1/($D243-$D237-1))-1)</f>
        <v>0.10391911356869366</v>
      </c>
      <c r="N253" s="71"/>
      <c r="O253" s="286">
        <f>IF(O244=0,"",(M243/O244)^(1/(TestYear-RebaseYear-1))-1)</f>
        <v>-0.23243420867105713</v>
      </c>
      <c r="P253" s="18"/>
      <c r="Q253" s="75" t="str">
        <f t="shared" si="143"/>
        <v>Geometric Mean</v>
      </c>
      <c r="R253" s="129">
        <f>IF(R237="","",IF(R237=0,"",(R241/R237)^(1/($D241-$D237-1))-1))</f>
        <v>-0.25290101500590867</v>
      </c>
      <c r="S253" s="129">
        <f>IF(S237="","",IF(S237=0,"",(S243/S237)^(1/($D243-$D237-1))-1))</f>
        <v>-0.188103412022816</v>
      </c>
      <c r="T253" s="287"/>
      <c r="U253" s="286">
        <f>IF(U244=0,"",(S243/U244)^(1/(TestYear-RebaseYear-1))-1)</f>
        <v>1.4309702441082983E-2</v>
      </c>
    </row>
    <row r="255" spans="2:22" ht="15.75" thickBot="1" x14ac:dyDescent="0.3">
      <c r="Q255" s="71"/>
      <c r="R255" s="71"/>
      <c r="S255" s="71"/>
      <c r="T255" s="71"/>
      <c r="U255" s="71"/>
    </row>
    <row r="256" spans="2:22" ht="14.65" customHeight="1" x14ac:dyDescent="0.25">
      <c r="C256" s="13"/>
      <c r="D256" s="14" t="s">
        <v>23</v>
      </c>
      <c r="E256" s="14"/>
      <c r="F256" s="297" t="s">
        <v>10</v>
      </c>
      <c r="G256" s="298"/>
      <c r="H256" s="298"/>
      <c r="I256" s="299"/>
      <c r="K256" s="300" t="str">
        <f>IF(ISBLANK(N233),"",CONCATENATE("Demand (",N233,")"))</f>
        <v>Demand (kW)</v>
      </c>
      <c r="L256" s="301"/>
      <c r="M256" s="301"/>
      <c r="N256" s="301"/>
      <c r="O256" s="302"/>
      <c r="Q256" s="303" t="str">
        <f>CONCATENATE("Demand (",N233,") per ",LEFT(F235,LEN(F235)-1))</f>
        <v>Demand (kW) per Customer</v>
      </c>
      <c r="R256" s="304"/>
      <c r="S256" s="304"/>
      <c r="T256" s="304"/>
      <c r="U256" s="305"/>
    </row>
    <row r="257" spans="3:21" ht="39" thickBot="1" x14ac:dyDescent="0.3">
      <c r="C257" s="18"/>
      <c r="D257" s="19" t="str">
        <f>CONCATENATE("(for ",TestYear," Cost of Service")</f>
        <v>(for 2017 Cost of Service</v>
      </c>
      <c r="E257" s="26"/>
      <c r="F257" s="306"/>
      <c r="G257" s="307"/>
      <c r="H257" s="307"/>
      <c r="I257" s="86"/>
      <c r="K257" s="22"/>
      <c r="L257" s="23" t="s">
        <v>25</v>
      </c>
      <c r="M257" s="23" t="s">
        <v>26</v>
      </c>
      <c r="N257" s="24"/>
      <c r="O257" s="25" t="str">
        <f>M257</f>
        <v>Weather-normalized</v>
      </c>
      <c r="Q257" s="132"/>
      <c r="R257" s="23" t="str">
        <f>L257</f>
        <v>Actual (Weather actual)</v>
      </c>
      <c r="S257" s="23" t="str">
        <f>M257</f>
        <v>Weather-normalized</v>
      </c>
      <c r="T257" s="23"/>
      <c r="U257" s="133" t="str">
        <f>O257</f>
        <v>Weather-normalized</v>
      </c>
    </row>
    <row r="258" spans="3:21" x14ac:dyDescent="0.25">
      <c r="C258" s="26" t="s">
        <v>27</v>
      </c>
      <c r="D258" s="27">
        <f t="shared" ref="D258:D263" si="145">D259-1</f>
        <v>2012</v>
      </c>
      <c r="E258" s="91"/>
      <c r="F258" s="92" t="str">
        <f t="shared" ref="F258:F264" si="146">F237</f>
        <v>Actual</v>
      </c>
      <c r="G258" s="134">
        <v>583322.55319999997</v>
      </c>
      <c r="H258" s="31" t="s">
        <v>50</v>
      </c>
      <c r="I258" s="135"/>
      <c r="K258" s="94" t="str">
        <f t="shared" ref="K258:K264" si="147">K237</f>
        <v>Actual</v>
      </c>
      <c r="L258" s="95">
        <v>80370.7</v>
      </c>
      <c r="M258" s="95">
        <v>80370.7</v>
      </c>
      <c r="N258" s="37" t="str">
        <f t="shared" ref="N258:N264" si="148">N237</f>
        <v/>
      </c>
      <c r="O258" s="35"/>
      <c r="Q258" s="96" t="str">
        <f>K258</f>
        <v>Actual</v>
      </c>
      <c r="R258" s="63">
        <f>IF(G258=0,"",L258/G258)</f>
        <v>0.13778088907946581</v>
      </c>
      <c r="S258" s="28">
        <f>IF(G258=0,"",M258/G258)</f>
        <v>0.13778088907946581</v>
      </c>
      <c r="T258" s="28" t="str">
        <f>N258</f>
        <v/>
      </c>
      <c r="U258" s="91" t="str">
        <f>IF(T258="","",IF(I258=0,"",O258/I258))</f>
        <v/>
      </c>
    </row>
    <row r="259" spans="3:21" x14ac:dyDescent="0.25">
      <c r="C259" s="26" t="s">
        <v>27</v>
      </c>
      <c r="D259" s="27">
        <f t="shared" si="145"/>
        <v>2013</v>
      </c>
      <c r="E259" s="91"/>
      <c r="F259" s="98" t="str">
        <f t="shared" si="146"/>
        <v>Actual</v>
      </c>
      <c r="G259" s="134">
        <v>973864.83157890395</v>
      </c>
      <c r="H259" s="31" t="s">
        <v>50</v>
      </c>
      <c r="I259" s="35"/>
      <c r="K259" s="94" t="str">
        <f t="shared" si="147"/>
        <v>Actual</v>
      </c>
      <c r="L259" s="95">
        <v>127612.75269356718</v>
      </c>
      <c r="M259" s="95">
        <v>127612.75269356718</v>
      </c>
      <c r="N259" s="37" t="str">
        <f t="shared" si="148"/>
        <v/>
      </c>
      <c r="O259" s="35"/>
      <c r="Q259" s="96" t="str">
        <f t="shared" ref="Q259:Q264" si="149">K259</f>
        <v>Actual</v>
      </c>
      <c r="R259" s="63">
        <f t="shared" ref="R259:R264" si="150">IF(G259=0,"",L259/G259)</f>
        <v>0.13103743821067207</v>
      </c>
      <c r="S259" s="28">
        <f t="shared" ref="S259:S264" si="151">IF(G259=0,"",M259/G259)</f>
        <v>0.13103743821067207</v>
      </c>
      <c r="T259" s="28" t="str">
        <f t="shared" ref="T259:T264" si="152">N259</f>
        <v/>
      </c>
      <c r="U259" s="91" t="str">
        <f t="shared" ref="U259:U264" si="153">IF(T259="","",IF(I259=0,"",O259/I259))</f>
        <v/>
      </c>
    </row>
    <row r="260" spans="3:21" x14ac:dyDescent="0.25">
      <c r="C260" s="26" t="s">
        <v>27</v>
      </c>
      <c r="D260" s="27">
        <f t="shared" si="145"/>
        <v>2014</v>
      </c>
      <c r="E260" s="91"/>
      <c r="F260" s="98" t="str">
        <f t="shared" si="146"/>
        <v>Actual</v>
      </c>
      <c r="G260" s="134">
        <v>1260679.6877101364</v>
      </c>
      <c r="H260" s="31" t="s">
        <v>50</v>
      </c>
      <c r="I260" s="136"/>
      <c r="K260" s="94" t="str">
        <f t="shared" si="147"/>
        <v>Actual</v>
      </c>
      <c r="L260" s="95">
        <v>161732.87936544578</v>
      </c>
      <c r="M260" s="95">
        <v>161732.87936544578</v>
      </c>
      <c r="N260" s="37" t="str">
        <f t="shared" si="148"/>
        <v/>
      </c>
      <c r="O260" s="36"/>
      <c r="Q260" s="96" t="str">
        <f t="shared" si="149"/>
        <v>Actual</v>
      </c>
      <c r="R260" s="63">
        <f t="shared" si="150"/>
        <v>0.12829022387059547</v>
      </c>
      <c r="S260" s="28">
        <f t="shared" si="151"/>
        <v>0.12829022387059547</v>
      </c>
      <c r="T260" s="28" t="str">
        <f t="shared" si="152"/>
        <v/>
      </c>
      <c r="U260" s="91" t="str">
        <f t="shared" si="153"/>
        <v/>
      </c>
    </row>
    <row r="261" spans="3:21" x14ac:dyDescent="0.25">
      <c r="C261" s="26" t="s">
        <v>27</v>
      </c>
      <c r="D261" s="27">
        <f t="shared" si="145"/>
        <v>2015</v>
      </c>
      <c r="E261" s="91"/>
      <c r="F261" s="98" t="str">
        <f t="shared" si="146"/>
        <v>Actual</v>
      </c>
      <c r="G261" s="134">
        <v>1788357.4237205649</v>
      </c>
      <c r="H261" s="31" t="s">
        <v>29</v>
      </c>
      <c r="I261" s="137">
        <v>4399242.8384824228</v>
      </c>
      <c r="K261" s="94" t="str">
        <f t="shared" si="147"/>
        <v>Actual</v>
      </c>
      <c r="L261" s="95">
        <v>165405.40277580259</v>
      </c>
      <c r="M261" s="95">
        <v>165405.40277580259</v>
      </c>
      <c r="N261" s="37" t="str">
        <f t="shared" si="148"/>
        <v>Board-approved</v>
      </c>
      <c r="O261" s="35">
        <v>240222.96054874925</v>
      </c>
      <c r="Q261" s="96" t="str">
        <f t="shared" si="149"/>
        <v>Actual</v>
      </c>
      <c r="R261" s="63">
        <f t="shared" si="150"/>
        <v>9.2490125621357652E-2</v>
      </c>
      <c r="S261" s="28">
        <f t="shared" si="151"/>
        <v>9.2490125621357652E-2</v>
      </c>
      <c r="T261" s="28" t="str">
        <f t="shared" si="152"/>
        <v>Board-approved</v>
      </c>
      <c r="U261" s="91">
        <f t="shared" si="153"/>
        <v>5.4605524034135239E-2</v>
      </c>
    </row>
    <row r="262" spans="3:21" x14ac:dyDescent="0.25">
      <c r="C262" s="26" t="s">
        <v>27</v>
      </c>
      <c r="D262" s="27">
        <f t="shared" si="145"/>
        <v>2016</v>
      </c>
      <c r="E262" s="91"/>
      <c r="F262" s="98" t="str">
        <f t="shared" si="146"/>
        <v>Actual</v>
      </c>
      <c r="G262" s="134">
        <v>2350532.5213086559</v>
      </c>
      <c r="H262" s="31" t="s">
        <v>50</v>
      </c>
      <c r="I262" s="35"/>
      <c r="K262" s="94" t="str">
        <f t="shared" si="147"/>
        <v>Actual</v>
      </c>
      <c r="L262" s="95">
        <v>171973.05494993739</v>
      </c>
      <c r="M262" s="95">
        <v>171973.05494993739</v>
      </c>
      <c r="N262" s="37" t="str">
        <f t="shared" si="148"/>
        <v/>
      </c>
      <c r="O262" s="35"/>
      <c r="Q262" s="96" t="str">
        <f t="shared" si="149"/>
        <v>Actual</v>
      </c>
      <c r="R262" s="63">
        <f t="shared" si="150"/>
        <v>7.3163444194420932E-2</v>
      </c>
      <c r="S262" s="28">
        <f t="shared" si="151"/>
        <v>7.3163444194420932E-2</v>
      </c>
      <c r="T262" s="28" t="str">
        <f t="shared" si="152"/>
        <v/>
      </c>
      <c r="U262" s="91" t="str">
        <f t="shared" si="153"/>
        <v/>
      </c>
    </row>
    <row r="263" spans="3:21" x14ac:dyDescent="0.25">
      <c r="C263" s="26" t="s">
        <v>45</v>
      </c>
      <c r="D263" s="27">
        <f t="shared" si="145"/>
        <v>2017</v>
      </c>
      <c r="E263" s="91"/>
      <c r="F263" s="98" t="str">
        <f t="shared" si="146"/>
        <v>Forecast</v>
      </c>
      <c r="G263" s="134">
        <v>3108765.8034980474</v>
      </c>
      <c r="H263" s="31" t="s">
        <v>50</v>
      </c>
      <c r="I263" s="35"/>
      <c r="K263" s="94" t="str">
        <f t="shared" si="147"/>
        <v>Forecast</v>
      </c>
      <c r="L263" s="102"/>
      <c r="M263" s="138">
        <v>178213.49654928962</v>
      </c>
      <c r="N263" s="37" t="str">
        <f t="shared" si="148"/>
        <v/>
      </c>
      <c r="O263" s="35"/>
      <c r="Q263" s="96" t="str">
        <f t="shared" si="149"/>
        <v>Forecast</v>
      </c>
      <c r="R263" s="63">
        <f t="shared" si="150"/>
        <v>0</v>
      </c>
      <c r="S263" s="28">
        <f t="shared" si="151"/>
        <v>5.732612483988344E-2</v>
      </c>
      <c r="T263" s="28" t="str">
        <f t="shared" si="152"/>
        <v/>
      </c>
      <c r="U263" s="91" t="str">
        <f t="shared" si="153"/>
        <v/>
      </c>
    </row>
    <row r="264" spans="3:21" ht="15.75" thickBot="1" x14ac:dyDescent="0.3">
      <c r="C264" s="39" t="s">
        <v>46</v>
      </c>
      <c r="D264" s="104">
        <v>2018</v>
      </c>
      <c r="E264" s="18"/>
      <c r="F264" s="105" t="str">
        <f t="shared" si="146"/>
        <v>Forecast</v>
      </c>
      <c r="G264" s="139">
        <v>3858079.6504283892</v>
      </c>
      <c r="H264" s="43" t="s">
        <v>50</v>
      </c>
      <c r="I264" s="46"/>
      <c r="K264" s="108" t="str">
        <f t="shared" si="147"/>
        <v>Forecast</v>
      </c>
      <c r="L264" s="109"/>
      <c r="M264" s="140">
        <v>184739.19535572777</v>
      </c>
      <c r="N264" s="111" t="str">
        <f t="shared" si="148"/>
        <v/>
      </c>
      <c r="O264" s="46"/>
      <c r="Q264" s="141" t="str">
        <f t="shared" si="149"/>
        <v>Forecast</v>
      </c>
      <c r="R264" s="40">
        <f t="shared" si="150"/>
        <v>0</v>
      </c>
      <c r="S264" s="40">
        <f t="shared" si="151"/>
        <v>4.7883717313927127E-2</v>
      </c>
      <c r="T264" s="40" t="str">
        <f t="shared" si="152"/>
        <v/>
      </c>
      <c r="U264" s="18" t="str">
        <f t="shared" si="153"/>
        <v/>
      </c>
    </row>
    <row r="265" spans="3:21" ht="15.75" thickBot="1" x14ac:dyDescent="0.3">
      <c r="C265" s="114"/>
      <c r="I265" s="52">
        <f>SUM(I258:I263)</f>
        <v>4399242.8384824228</v>
      </c>
      <c r="J265" s="63"/>
      <c r="O265" s="52">
        <f>SUM(O258:O263)</f>
        <v>240222.96054874925</v>
      </c>
      <c r="U265" s="52">
        <f>SUM(U258:U263)</f>
        <v>5.4605524034135239E-2</v>
      </c>
    </row>
    <row r="266" spans="3:21" ht="39" thickBot="1" x14ac:dyDescent="0.3">
      <c r="C266" s="115" t="s">
        <v>33</v>
      </c>
      <c r="D266" s="116" t="s">
        <v>34</v>
      </c>
      <c r="E266" s="270"/>
      <c r="F266" s="270"/>
      <c r="G266" s="270" t="s">
        <v>35</v>
      </c>
      <c r="H266" s="270"/>
      <c r="I266" s="60" t="str">
        <f>I245</f>
        <v>Test Year Versus Board-approved</v>
      </c>
      <c r="J266" s="142"/>
      <c r="K266" s="58" t="s">
        <v>34</v>
      </c>
      <c r="L266" s="308" t="s">
        <v>35</v>
      </c>
      <c r="M266" s="308"/>
      <c r="N266" s="270"/>
      <c r="O266" s="60" t="str">
        <f>I266</f>
        <v>Test Year Versus Board-approved</v>
      </c>
      <c r="P266" s="143"/>
      <c r="Q266" s="58" t="s">
        <v>34</v>
      </c>
      <c r="R266" s="308" t="s">
        <v>35</v>
      </c>
      <c r="S266" s="308"/>
      <c r="T266" s="270"/>
      <c r="U266" s="60" t="str">
        <f>O266</f>
        <v>Test Year Versus Board-approved</v>
      </c>
    </row>
    <row r="267" spans="3:21" x14ac:dyDescent="0.25">
      <c r="C267" s="91"/>
      <c r="D267" s="144">
        <f>D258</f>
        <v>2012</v>
      </c>
      <c r="E267" s="51"/>
      <c r="F267" s="63"/>
      <c r="G267" s="120"/>
      <c r="H267" s="63"/>
      <c r="I267" s="121"/>
      <c r="J267" s="91"/>
      <c r="K267" s="27">
        <f>D267</f>
        <v>2012</v>
      </c>
      <c r="L267" s="65"/>
      <c r="M267" s="65"/>
      <c r="N267" s="63"/>
      <c r="O267" s="145"/>
      <c r="P267" s="91"/>
      <c r="Q267" s="27">
        <f>K267</f>
        <v>2012</v>
      </c>
      <c r="R267" s="123"/>
      <c r="S267" s="123"/>
      <c r="T267" s="63"/>
      <c r="U267" s="35"/>
    </row>
    <row r="268" spans="3:21" x14ac:dyDescent="0.25">
      <c r="C268" s="91"/>
      <c r="D268" s="124">
        <f>D259</f>
        <v>2013</v>
      </c>
      <c r="E268" s="63"/>
      <c r="F268" s="63"/>
      <c r="G268" s="125">
        <f>IF(G258=0,"",G259/G258-1)</f>
        <v>0.6695134214106091</v>
      </c>
      <c r="H268" s="63"/>
      <c r="I268" s="121"/>
      <c r="J268" s="91"/>
      <c r="K268" s="27">
        <f t="shared" ref="K268:K274" si="154">D268</f>
        <v>2013</v>
      </c>
      <c r="L268" s="67">
        <f>IF(L258=0,"",L259/L258-1)</f>
        <v>0.58780193146964232</v>
      </c>
      <c r="M268" s="67">
        <f>IF(M258=0,"",M259/M258-1)</f>
        <v>0.58780193146964232</v>
      </c>
      <c r="N268" s="63"/>
      <c r="O268" s="145"/>
      <c r="P268" s="91"/>
      <c r="Q268" s="27">
        <f t="shared" ref="Q268:Q274" si="155">K268</f>
        <v>2013</v>
      </c>
      <c r="R268" s="125">
        <f>IF(R258="","",IF(R258=0,"",R259/R258-1))</f>
        <v>-4.894329622814686E-2</v>
      </c>
      <c r="S268" s="125">
        <f>IF(S258="","",IF(S258=0,"",S259/S258-1))</f>
        <v>-4.894329622814686E-2</v>
      </c>
      <c r="T268" s="63"/>
      <c r="U268" s="35"/>
    </row>
    <row r="269" spans="3:21" x14ac:dyDescent="0.25">
      <c r="C269" s="91"/>
      <c r="D269" s="146">
        <f t="shared" ref="D269:D273" si="156">D260</f>
        <v>2014</v>
      </c>
      <c r="E269" s="63"/>
      <c r="F269" s="63"/>
      <c r="G269" s="125">
        <f t="shared" ref="G269:G273" si="157">IF(G259=0,"",G260/G259-1)</f>
        <v>0.29451197623208802</v>
      </c>
      <c r="H269" s="63"/>
      <c r="I269" s="121"/>
      <c r="J269" s="91"/>
      <c r="K269" s="27">
        <f t="shared" si="154"/>
        <v>2014</v>
      </c>
      <c r="L269" s="67">
        <f t="shared" ref="L269:M273" si="158">IF(L259=0,"",L260/L259-1)</f>
        <v>0.26737238991944867</v>
      </c>
      <c r="M269" s="67">
        <f t="shared" si="158"/>
        <v>0.26737238991944867</v>
      </c>
      <c r="N269" s="63"/>
      <c r="O269" s="145"/>
      <c r="P269" s="91"/>
      <c r="Q269" s="27">
        <f t="shared" si="155"/>
        <v>2014</v>
      </c>
      <c r="R269" s="125">
        <f t="shared" ref="R269:S273" si="159">IF(R259="","",IF(R259=0,"",R260/R259-1))</f>
        <v>-2.0965110258488462E-2</v>
      </c>
      <c r="S269" s="125">
        <f t="shared" si="159"/>
        <v>-2.0965110258488462E-2</v>
      </c>
      <c r="T269" s="63"/>
      <c r="U269" s="35"/>
    </row>
    <row r="270" spans="3:21" x14ac:dyDescent="0.25">
      <c r="C270" s="91"/>
      <c r="D270" s="124">
        <f t="shared" si="156"/>
        <v>2015</v>
      </c>
      <c r="E270" s="63"/>
      <c r="F270" s="63"/>
      <c r="G270" s="125">
        <f t="shared" si="157"/>
        <v>0.41856606492081094</v>
      </c>
      <c r="H270" s="63"/>
      <c r="I270" s="121"/>
      <c r="J270" s="91"/>
      <c r="K270" s="27">
        <f t="shared" si="154"/>
        <v>2015</v>
      </c>
      <c r="L270" s="67">
        <f t="shared" si="158"/>
        <v>2.270733956364257E-2</v>
      </c>
      <c r="M270" s="67">
        <f t="shared" si="158"/>
        <v>2.270733956364257E-2</v>
      </c>
      <c r="N270" s="63"/>
      <c r="O270" s="145"/>
      <c r="P270" s="91"/>
      <c r="Q270" s="27">
        <f t="shared" si="155"/>
        <v>2015</v>
      </c>
      <c r="R270" s="125">
        <f t="shared" si="159"/>
        <v>-0.27905554428955448</v>
      </c>
      <c r="S270" s="125">
        <f t="shared" si="159"/>
        <v>-0.27905554428955448</v>
      </c>
      <c r="T270" s="63"/>
      <c r="U270" s="35"/>
    </row>
    <row r="271" spans="3:21" x14ac:dyDescent="0.25">
      <c r="C271" s="91"/>
      <c r="D271" s="124">
        <f t="shared" si="156"/>
        <v>2016</v>
      </c>
      <c r="E271" s="63"/>
      <c r="F271" s="63"/>
      <c r="G271" s="125">
        <f t="shared" si="157"/>
        <v>0.31435276311740923</v>
      </c>
      <c r="H271" s="63"/>
      <c r="I271" s="121"/>
      <c r="J271" s="91"/>
      <c r="K271" s="27">
        <f t="shared" si="154"/>
        <v>2016</v>
      </c>
      <c r="L271" s="67">
        <f t="shared" si="158"/>
        <v>3.9706394494482655E-2</v>
      </c>
      <c r="M271" s="67">
        <f t="shared" si="158"/>
        <v>3.9706394494482655E-2</v>
      </c>
      <c r="N271" s="63"/>
      <c r="O271" s="145"/>
      <c r="P271" s="91"/>
      <c r="Q271" s="27">
        <f t="shared" si="155"/>
        <v>2016</v>
      </c>
      <c r="R271" s="125">
        <f t="shared" si="159"/>
        <v>-0.20895940293191517</v>
      </c>
      <c r="S271" s="125">
        <f t="shared" si="159"/>
        <v>-0.20895940293191517</v>
      </c>
      <c r="T271" s="63"/>
      <c r="U271" s="35"/>
    </row>
    <row r="272" spans="3:21" x14ac:dyDescent="0.25">
      <c r="C272" s="91"/>
      <c r="D272" s="124">
        <f t="shared" si="156"/>
        <v>2017</v>
      </c>
      <c r="E272" s="63"/>
      <c r="F272" s="63"/>
      <c r="G272" s="125">
        <f t="shared" si="157"/>
        <v>0.32257936247027374</v>
      </c>
      <c r="H272" s="63"/>
      <c r="I272" s="121"/>
      <c r="J272" s="91"/>
      <c r="K272" s="27">
        <f t="shared" si="154"/>
        <v>2017</v>
      </c>
      <c r="L272" s="67" t="str">
        <f>IF(K263="Forecast","",IF(L262=0,"",L263/L262-1))</f>
        <v/>
      </c>
      <c r="M272" s="67">
        <f t="shared" si="158"/>
        <v>3.6287321878237577E-2</v>
      </c>
      <c r="N272" s="63"/>
      <c r="O272" s="145"/>
      <c r="P272" s="91"/>
      <c r="Q272" s="27">
        <f t="shared" si="155"/>
        <v>2017</v>
      </c>
      <c r="R272" s="125" t="str">
        <f>IF(Q263="Forecast","",IF(R262=0,"",R263/R262-1))</f>
        <v/>
      </c>
      <c r="S272" s="125">
        <f t="shared" si="159"/>
        <v>-0.21646492355461255</v>
      </c>
      <c r="T272" s="63"/>
      <c r="U272" s="35"/>
    </row>
    <row r="273" spans="2:22" x14ac:dyDescent="0.25">
      <c r="C273" s="91"/>
      <c r="D273" s="146">
        <f t="shared" si="156"/>
        <v>2018</v>
      </c>
      <c r="E273" s="63"/>
      <c r="F273" s="63"/>
      <c r="G273" s="125">
        <f t="shared" si="157"/>
        <v>0.2410325815110288</v>
      </c>
      <c r="H273" s="63"/>
      <c r="I273" s="127">
        <f>IF(I265=0,"",G264/I265-1)</f>
        <v>-0.12301280195769215</v>
      </c>
      <c r="J273" s="91"/>
      <c r="K273" s="27">
        <f t="shared" si="154"/>
        <v>2018</v>
      </c>
      <c r="L273" s="67" t="str">
        <f>IF(K264="Forecast","",IF(L263=0,"",L264/L263-1))</f>
        <v/>
      </c>
      <c r="M273" s="67">
        <f t="shared" si="158"/>
        <v>3.6617309759327421E-2</v>
      </c>
      <c r="N273" s="63"/>
      <c r="O273" s="127">
        <f>IF(O265=0,"",M264/O265-1)</f>
        <v>-0.23096778537021645</v>
      </c>
      <c r="P273" s="91"/>
      <c r="Q273" s="27">
        <f t="shared" si="155"/>
        <v>2018</v>
      </c>
      <c r="R273" s="125" t="str">
        <f>IF(Q264="Forecast","",IF(R263=0,"",R264/R263-1))</f>
        <v/>
      </c>
      <c r="S273" s="125">
        <f t="shared" si="159"/>
        <v>-0.16471386392032827</v>
      </c>
      <c r="T273" s="63"/>
      <c r="U273" s="127">
        <f>IF(U265=0,"",S264/U265-1)</f>
        <v>-0.1230975590675798</v>
      </c>
    </row>
    <row r="274" spans="2:22" ht="30.75" thickBot="1" x14ac:dyDescent="0.3">
      <c r="C274" s="18"/>
      <c r="D274" s="128" t="s">
        <v>37</v>
      </c>
      <c r="E274" s="71"/>
      <c r="F274" s="71"/>
      <c r="G274" s="129">
        <f>IF(G258=0,"",(G264/G258)^(1/($D264-$D258-1))-1)</f>
        <v>0.45912495213257642</v>
      </c>
      <c r="H274" s="71"/>
      <c r="I274" s="286">
        <f>IF(I265=0,"",(G264/I265)^(1/(TestYear-RebaseYear-1))-1)</f>
        <v>-0.12301280195769215</v>
      </c>
      <c r="J274" s="91"/>
      <c r="K274" s="75" t="str">
        <f t="shared" si="154"/>
        <v>Geometric Mean</v>
      </c>
      <c r="L274" s="129">
        <f>IF(L258=0,"",(L262/L258)^(1/($D262-$D258-1))-1)</f>
        <v>0.28860818358188123</v>
      </c>
      <c r="M274" s="129">
        <f>IF(M258=0,"",(M264/M258)^(1/($D264-$D258-1))-1)</f>
        <v>0.18111520215938048</v>
      </c>
      <c r="N274" s="71"/>
      <c r="O274" s="286">
        <f>IF(O265=0,"",(M264/O265)^(1/(TestYear-RebaseYear-1))-1)</f>
        <v>-0.23096778537021645</v>
      </c>
      <c r="P274" s="18"/>
      <c r="Q274" s="75" t="str">
        <f t="shared" si="155"/>
        <v>Geometric Mean</v>
      </c>
      <c r="R274" s="129">
        <f>IF(R258="","",IF(R258=0,"",(R262/R258)^(1/($D262-$D258-1))-1))</f>
        <v>-0.19021750145349403</v>
      </c>
      <c r="S274" s="129">
        <f>IF(S258="","",IF(S258=0,"",(S264/S258)^(1/($D264-$D258-1))-1))</f>
        <v>-0.19053183181253408</v>
      </c>
      <c r="T274" s="287"/>
      <c r="U274" s="286">
        <f>IF(U265=0,"",(S264/U265)^(1/(TestYear-RebaseYear-1))-1)</f>
        <v>-0.1230975590675798</v>
      </c>
    </row>
    <row r="275" spans="2:22" ht="15.75" thickBot="1" x14ac:dyDescent="0.3"/>
    <row r="276" spans="2:22" ht="15.75" thickBot="1" x14ac:dyDescent="0.3">
      <c r="B276" s="79">
        <f>B233+1</f>
        <v>6</v>
      </c>
      <c r="C276" s="80" t="s">
        <v>39</v>
      </c>
      <c r="D276" s="309" t="s">
        <v>53</v>
      </c>
      <c r="E276" s="310"/>
      <c r="F276" s="311"/>
      <c r="G276" s="81"/>
      <c r="H276" s="82" t="s">
        <v>41</v>
      </c>
      <c r="N276" s="83" t="s">
        <v>52</v>
      </c>
      <c r="O276" s="84"/>
      <c r="P276" s="84"/>
      <c r="Q276" s="84"/>
      <c r="R276" s="84"/>
      <c r="S276" s="84"/>
      <c r="T276" s="84"/>
      <c r="U276" s="84"/>
    </row>
    <row r="277" spans="2:22" ht="15.75" thickBot="1" x14ac:dyDescent="0.3">
      <c r="Q277" s="71"/>
      <c r="R277" s="71"/>
      <c r="S277" s="71"/>
      <c r="T277" s="71"/>
      <c r="U277" s="71"/>
    </row>
    <row r="278" spans="2:22" ht="14.65" customHeight="1" x14ac:dyDescent="0.25">
      <c r="C278" s="13"/>
      <c r="D278" s="14" t="s">
        <v>23</v>
      </c>
      <c r="E278" s="14"/>
      <c r="F278" s="312" t="s">
        <v>43</v>
      </c>
      <c r="G278" s="313"/>
      <c r="H278" s="313"/>
      <c r="I278" s="314"/>
      <c r="J278" s="14"/>
      <c r="K278" s="300" t="s">
        <v>24</v>
      </c>
      <c r="L278" s="301"/>
      <c r="M278" s="301"/>
      <c r="N278" s="301"/>
      <c r="O278" s="302"/>
      <c r="P278" s="15"/>
      <c r="Q278" s="303" t="str">
        <f>CONCATENATE("Consumption (kWh) per ",LEFT(F278,LEN(F278)-1))</f>
        <v>Consumption (kWh) per Customer</v>
      </c>
      <c r="R278" s="304"/>
      <c r="S278" s="304"/>
      <c r="T278" s="304"/>
      <c r="U278" s="305"/>
      <c r="V278" s="85"/>
    </row>
    <row r="279" spans="2:22" ht="39" thickBot="1" x14ac:dyDescent="0.3">
      <c r="C279" s="18"/>
      <c r="D279" s="19" t="str">
        <f>CONCATENATE("(for ",TestYear," Cost of Service")</f>
        <v>(for 2017 Cost of Service</v>
      </c>
      <c r="E279" s="26"/>
      <c r="F279" s="306"/>
      <c r="G279" s="307"/>
      <c r="H279" s="315"/>
      <c r="I279" s="86"/>
      <c r="J279" s="26"/>
      <c r="K279" s="22"/>
      <c r="L279" s="23" t="s">
        <v>25</v>
      </c>
      <c r="M279" s="23" t="s">
        <v>26</v>
      </c>
      <c r="N279" s="24"/>
      <c r="O279" s="25" t="s">
        <v>26</v>
      </c>
      <c r="P279" s="26"/>
      <c r="Q279" s="87"/>
      <c r="R279" s="88" t="str">
        <f>L279</f>
        <v>Actual (Weather actual)</v>
      </c>
      <c r="S279" s="89" t="str">
        <f>M279</f>
        <v>Weather-normalized</v>
      </c>
      <c r="T279" s="89"/>
      <c r="U279" s="90" t="str">
        <f>O279</f>
        <v>Weather-normalized</v>
      </c>
      <c r="V279" s="85"/>
    </row>
    <row r="280" spans="2:22" x14ac:dyDescent="0.25">
      <c r="C280" s="26" t="s">
        <v>27</v>
      </c>
      <c r="D280" s="27">
        <f t="shared" ref="D280:D285" si="160">D281-1</f>
        <v>2012</v>
      </c>
      <c r="E280" s="91"/>
      <c r="F280" s="92" t="str">
        <f>F237</f>
        <v>Actual</v>
      </c>
      <c r="G280" s="93">
        <v>6550</v>
      </c>
      <c r="H280" s="32" t="str">
        <f t="shared" ref="H280:H286" si="161">IF(D280=RebaseYear,"Board-approved","")</f>
        <v/>
      </c>
      <c r="I280" s="35"/>
      <c r="J280" s="91"/>
      <c r="K280" s="94" t="str">
        <f>F280</f>
        <v>Actual</v>
      </c>
      <c r="L280" s="95">
        <v>2888223792.3400002</v>
      </c>
      <c r="M280" s="95">
        <v>2958751308.6689162</v>
      </c>
      <c r="N280" s="37" t="str">
        <f>H280</f>
        <v/>
      </c>
      <c r="O280" s="35"/>
      <c r="P280" s="91"/>
      <c r="Q280" s="96" t="str">
        <f>K280</f>
        <v>Actual</v>
      </c>
      <c r="R280" s="97">
        <f>IF(G280=0,"",L280/G280)</f>
        <v>440950.19730381679</v>
      </c>
      <c r="S280" s="63">
        <f>IF(G280=0,"",M280/G280)</f>
        <v>451717.75704868953</v>
      </c>
      <c r="T280" s="63" t="str">
        <f>N280</f>
        <v/>
      </c>
      <c r="U280" s="63" t="str">
        <f>IF(T280="","",IF(I280=0,"",O280/I280))</f>
        <v/>
      </c>
      <c r="V280" s="28"/>
    </row>
    <row r="281" spans="2:22" x14ac:dyDescent="0.25">
      <c r="C281" s="26" t="s">
        <v>27</v>
      </c>
      <c r="D281" s="27">
        <f t="shared" si="160"/>
        <v>2013</v>
      </c>
      <c r="E281" s="91"/>
      <c r="F281" s="98" t="str">
        <f t="shared" ref="F281:F286" si="162">F238</f>
        <v>Actual</v>
      </c>
      <c r="G281" s="93">
        <v>6668.7741663057222</v>
      </c>
      <c r="H281" s="32" t="str">
        <f t="shared" si="161"/>
        <v/>
      </c>
      <c r="I281" s="35"/>
      <c r="J281" s="91"/>
      <c r="K281" s="94" t="str">
        <f t="shared" ref="K281:K286" si="163">F281</f>
        <v>Actual</v>
      </c>
      <c r="L281" s="95">
        <v>2824861285.0776796</v>
      </c>
      <c r="M281" s="95">
        <v>2803003340.3252144</v>
      </c>
      <c r="N281" s="37" t="str">
        <f t="shared" ref="N281:N286" si="164">H281</f>
        <v/>
      </c>
      <c r="O281" s="35"/>
      <c r="P281" s="91"/>
      <c r="Q281" s="96" t="str">
        <f t="shared" ref="Q281:Q286" si="165">K281</f>
        <v>Actual</v>
      </c>
      <c r="R281" s="97">
        <f t="shared" ref="R281:R286" si="166">IF(G281=0,"",L281/G281)</f>
        <v>423595.28372551838</v>
      </c>
      <c r="S281" s="63">
        <f t="shared" ref="S281:S286" si="167">IF(G281=0,"",M281/G281)</f>
        <v>420317.62816133635</v>
      </c>
      <c r="T281" s="63" t="str">
        <f t="shared" ref="T281:T286" si="168">N281</f>
        <v/>
      </c>
      <c r="U281" s="63" t="str">
        <f t="shared" ref="U281:U286" si="169">IF(T281="","",IF(I281=0,"",O281/I281))</f>
        <v/>
      </c>
      <c r="V281" s="28"/>
    </row>
    <row r="282" spans="2:22" x14ac:dyDescent="0.25">
      <c r="C282" s="26" t="s">
        <v>27</v>
      </c>
      <c r="D282" s="27">
        <f t="shared" si="160"/>
        <v>2014</v>
      </c>
      <c r="E282" s="91"/>
      <c r="F282" s="98" t="str">
        <f t="shared" si="162"/>
        <v>Actual</v>
      </c>
      <c r="G282" s="93">
        <v>6504</v>
      </c>
      <c r="H282" s="32" t="str">
        <f t="shared" si="161"/>
        <v/>
      </c>
      <c r="I282" s="36"/>
      <c r="J282" s="91"/>
      <c r="K282" s="94" t="str">
        <f t="shared" si="163"/>
        <v>Actual</v>
      </c>
      <c r="L282" s="95">
        <v>2928197394.6654105</v>
      </c>
      <c r="M282" s="95">
        <v>2768572054.5027747</v>
      </c>
      <c r="N282" s="37" t="str">
        <f t="shared" si="164"/>
        <v/>
      </c>
      <c r="O282" s="36"/>
      <c r="P282" s="91"/>
      <c r="Q282" s="96" t="str">
        <f t="shared" si="165"/>
        <v>Actual</v>
      </c>
      <c r="R282" s="97">
        <f t="shared" si="166"/>
        <v>450214.85157832265</v>
      </c>
      <c r="S282" s="63">
        <f t="shared" si="167"/>
        <v>425672.21010190266</v>
      </c>
      <c r="T282" s="63" t="str">
        <f t="shared" si="168"/>
        <v/>
      </c>
      <c r="U282" s="63" t="str">
        <f t="shared" si="169"/>
        <v/>
      </c>
      <c r="V282" s="28"/>
    </row>
    <row r="283" spans="2:22" x14ac:dyDescent="0.25">
      <c r="C283" s="26" t="s">
        <v>27</v>
      </c>
      <c r="D283" s="27">
        <f t="shared" si="160"/>
        <v>2015</v>
      </c>
      <c r="E283" s="91"/>
      <c r="F283" s="98" t="str">
        <f t="shared" si="162"/>
        <v>Actual</v>
      </c>
      <c r="G283" s="93">
        <v>6098.078506070714</v>
      </c>
      <c r="H283" s="32" t="str">
        <f t="shared" si="161"/>
        <v>Board-approved</v>
      </c>
      <c r="I283" s="100">
        <v>6281.5350075745537</v>
      </c>
      <c r="J283" s="91"/>
      <c r="K283" s="94" t="str">
        <f t="shared" si="163"/>
        <v>Actual</v>
      </c>
      <c r="L283" s="95">
        <v>2394433986.6874743</v>
      </c>
      <c r="M283" s="95">
        <v>2372932205.7501125</v>
      </c>
      <c r="N283" s="37" t="str">
        <f t="shared" si="164"/>
        <v>Board-approved</v>
      </c>
      <c r="O283" s="35">
        <v>2468895805.5316868</v>
      </c>
      <c r="P283" s="91"/>
      <c r="Q283" s="96" t="str">
        <f t="shared" si="165"/>
        <v>Actual</v>
      </c>
      <c r="R283" s="97">
        <f t="shared" si="166"/>
        <v>392653.84732318303</v>
      </c>
      <c r="S283" s="63">
        <f t="shared" si="167"/>
        <v>389127.85451807955</v>
      </c>
      <c r="T283" s="63" t="str">
        <f t="shared" si="168"/>
        <v>Board-approved</v>
      </c>
      <c r="U283" s="63">
        <f t="shared" si="169"/>
        <v>393040.20475163835</v>
      </c>
      <c r="V283" s="28"/>
    </row>
    <row r="284" spans="2:22" x14ac:dyDescent="0.25">
      <c r="C284" s="26" t="s">
        <v>27</v>
      </c>
      <c r="D284" s="27">
        <f t="shared" si="160"/>
        <v>2016</v>
      </c>
      <c r="E284" s="91"/>
      <c r="F284" s="98" t="str">
        <f t="shared" si="162"/>
        <v>Actual</v>
      </c>
      <c r="G284" s="93">
        <v>5323</v>
      </c>
      <c r="H284" s="32" t="str">
        <f t="shared" si="161"/>
        <v/>
      </c>
      <c r="I284" s="35"/>
      <c r="J284" s="91"/>
      <c r="K284" s="94" t="str">
        <f t="shared" si="163"/>
        <v>Actual</v>
      </c>
      <c r="L284" s="95">
        <v>2343008053.4096332</v>
      </c>
      <c r="M284" s="95">
        <v>2368460344.456429</v>
      </c>
      <c r="N284" s="37" t="str">
        <f t="shared" si="164"/>
        <v/>
      </c>
      <c r="O284" s="35"/>
      <c r="P284" s="91"/>
      <c r="Q284" s="96" t="str">
        <f t="shared" si="165"/>
        <v>Actual</v>
      </c>
      <c r="R284" s="97">
        <f t="shared" si="166"/>
        <v>440166.83325373533</v>
      </c>
      <c r="S284" s="63">
        <f t="shared" si="167"/>
        <v>444948.40211467765</v>
      </c>
      <c r="T284" s="63" t="str">
        <f t="shared" si="168"/>
        <v/>
      </c>
      <c r="U284" s="63" t="str">
        <f t="shared" si="169"/>
        <v/>
      </c>
      <c r="V284" s="28"/>
    </row>
    <row r="285" spans="2:22" x14ac:dyDescent="0.25">
      <c r="C285" s="26" t="s">
        <v>30</v>
      </c>
      <c r="D285" s="27">
        <f t="shared" si="160"/>
        <v>2017</v>
      </c>
      <c r="E285" s="91"/>
      <c r="F285" s="98" t="str">
        <f t="shared" si="162"/>
        <v>Forecast</v>
      </c>
      <c r="G285" s="93">
        <v>5378.7305231495047</v>
      </c>
      <c r="H285" s="32" t="str">
        <f t="shared" si="161"/>
        <v/>
      </c>
      <c r="I285" s="35"/>
      <c r="J285" s="91"/>
      <c r="K285" s="94" t="str">
        <f t="shared" si="163"/>
        <v>Forecast</v>
      </c>
      <c r="L285" s="102"/>
      <c r="M285" s="103">
        <v>2378176583.2242846</v>
      </c>
      <c r="N285" s="37" t="str">
        <f t="shared" si="164"/>
        <v/>
      </c>
      <c r="O285" s="35"/>
      <c r="P285" s="91"/>
      <c r="Q285" s="96" t="str">
        <f t="shared" si="165"/>
        <v>Forecast</v>
      </c>
      <c r="R285" s="97">
        <f t="shared" si="166"/>
        <v>0</v>
      </c>
      <c r="S285" s="63">
        <f t="shared" si="167"/>
        <v>442144.58653186966</v>
      </c>
      <c r="T285" s="63" t="str">
        <f t="shared" si="168"/>
        <v/>
      </c>
      <c r="U285" s="63" t="str">
        <f t="shared" si="169"/>
        <v/>
      </c>
      <c r="V285" s="28"/>
    </row>
    <row r="286" spans="2:22" ht="15.75" thickBot="1" x14ac:dyDescent="0.3">
      <c r="C286" s="39" t="s">
        <v>32</v>
      </c>
      <c r="D286" s="104">
        <v>2018</v>
      </c>
      <c r="E286" s="18"/>
      <c r="F286" s="105" t="str">
        <f t="shared" si="162"/>
        <v>Forecast</v>
      </c>
      <c r="G286" s="106">
        <v>5405.649614848262</v>
      </c>
      <c r="H286" s="44" t="str">
        <f t="shared" si="161"/>
        <v/>
      </c>
      <c r="I286" s="46"/>
      <c r="J286" s="18"/>
      <c r="K286" s="108" t="str">
        <f t="shared" si="163"/>
        <v>Forecast</v>
      </c>
      <c r="L286" s="109"/>
      <c r="M286" s="110">
        <v>2341979037.7935677</v>
      </c>
      <c r="N286" s="111" t="str">
        <f t="shared" si="164"/>
        <v/>
      </c>
      <c r="O286" s="46"/>
      <c r="P286" s="18"/>
      <c r="Q286" s="112" t="str">
        <f t="shared" si="165"/>
        <v>Forecast</v>
      </c>
      <c r="R286" s="113">
        <f t="shared" si="166"/>
        <v>0</v>
      </c>
      <c r="S286" s="71">
        <f t="shared" si="167"/>
        <v>433246.54845563968</v>
      </c>
      <c r="T286" s="71" t="str">
        <f t="shared" si="168"/>
        <v/>
      </c>
      <c r="U286" s="71" t="str">
        <f t="shared" si="169"/>
        <v/>
      </c>
      <c r="V286" s="28"/>
    </row>
    <row r="287" spans="2:22" ht="15.75" thickBot="1" x14ac:dyDescent="0.3">
      <c r="B287" s="63"/>
      <c r="C287" s="114"/>
      <c r="I287" s="52">
        <f>SUM(I280:I285)</f>
        <v>6281.5350075745537</v>
      </c>
      <c r="O287" s="52">
        <f>SUM(O280:O285)</f>
        <v>2468895805.5316868</v>
      </c>
      <c r="U287" s="52">
        <f>SUM(U280:U285)</f>
        <v>393040.20475163835</v>
      </c>
    </row>
    <row r="288" spans="2:22" ht="39" thickBot="1" x14ac:dyDescent="0.3">
      <c r="C288" s="115" t="s">
        <v>33</v>
      </c>
      <c r="D288" s="116" t="s">
        <v>34</v>
      </c>
      <c r="E288" s="48"/>
      <c r="F288" s="48"/>
      <c r="G288" s="270" t="s">
        <v>35</v>
      </c>
      <c r="H288" s="48"/>
      <c r="I288" s="60" t="s">
        <v>44</v>
      </c>
      <c r="J288" s="117"/>
      <c r="K288" s="58" t="s">
        <v>34</v>
      </c>
      <c r="L288" s="308" t="s">
        <v>35</v>
      </c>
      <c r="M288" s="308"/>
      <c r="N288" s="48"/>
      <c r="O288" s="60" t="str">
        <f>I288</f>
        <v>Test Year Versus Board-approved</v>
      </c>
      <c r="P288" s="118"/>
      <c r="Q288" s="58" t="s">
        <v>34</v>
      </c>
      <c r="R288" s="308" t="s">
        <v>35</v>
      </c>
      <c r="S288" s="308"/>
      <c r="T288" s="48"/>
      <c r="U288" s="60" t="str">
        <f>O288</f>
        <v>Test Year Versus Board-approved</v>
      </c>
    </row>
    <row r="289" spans="3:21" x14ac:dyDescent="0.25">
      <c r="C289" s="91"/>
      <c r="D289" s="119">
        <f t="shared" ref="D289:D295" si="170">D280</f>
        <v>2012</v>
      </c>
      <c r="E289" s="63"/>
      <c r="F289" s="63"/>
      <c r="G289" s="120"/>
      <c r="H289" s="63"/>
      <c r="I289" s="121"/>
      <c r="J289" s="122"/>
      <c r="K289" s="27">
        <f>D289</f>
        <v>2012</v>
      </c>
      <c r="L289" s="65"/>
      <c r="M289" s="65"/>
      <c r="N289" s="63"/>
      <c r="O289" s="35"/>
      <c r="P289" s="91"/>
      <c r="Q289" s="27">
        <f>K289</f>
        <v>2012</v>
      </c>
      <c r="R289" s="123"/>
      <c r="S289" s="123"/>
      <c r="T289" s="63"/>
      <c r="U289" s="35"/>
    </row>
    <row r="290" spans="3:21" x14ac:dyDescent="0.25">
      <c r="C290" s="91"/>
      <c r="D290" s="124">
        <f t="shared" si="170"/>
        <v>2013</v>
      </c>
      <c r="E290" s="63"/>
      <c r="F290" s="63"/>
      <c r="G290" s="125">
        <f t="shared" ref="G290:G295" si="171">IF(G280=0,"",G281/G280-1)</f>
        <v>1.8133460504690335E-2</v>
      </c>
      <c r="H290" s="63"/>
      <c r="I290" s="121"/>
      <c r="J290" s="122"/>
      <c r="K290" s="27">
        <f t="shared" ref="K290:K296" si="172">D290</f>
        <v>2013</v>
      </c>
      <c r="L290" s="67">
        <f t="shared" ref="L290:M293" si="173">IF(L280=0,"",L281/L280-1)</f>
        <v>-2.1938226334942357E-2</v>
      </c>
      <c r="M290" s="67">
        <f t="shared" si="173"/>
        <v>-5.2639763229634151E-2</v>
      </c>
      <c r="N290" s="63"/>
      <c r="O290" s="35"/>
      <c r="P290" s="91"/>
      <c r="Q290" s="27">
        <f t="shared" ref="Q290:Q296" si="174">K290</f>
        <v>2013</v>
      </c>
      <c r="R290" s="125">
        <f>IF(R280="","",IF(R280=0,"",R281/R280-1))</f>
        <v>-3.9357990277393617E-2</v>
      </c>
      <c r="S290" s="125">
        <f>IF(S280="","",IF(S280=0,"",S281/S280-1))</f>
        <v>-6.9512717614881425E-2</v>
      </c>
      <c r="T290" s="63"/>
      <c r="U290" s="35"/>
    </row>
    <row r="291" spans="3:21" x14ac:dyDescent="0.25">
      <c r="C291" s="91"/>
      <c r="D291" s="124">
        <f t="shared" si="170"/>
        <v>2014</v>
      </c>
      <c r="E291" s="63"/>
      <c r="F291" s="63"/>
      <c r="G291" s="125">
        <f t="shared" si="171"/>
        <v>-2.4708314031422929E-2</v>
      </c>
      <c r="H291" s="63"/>
      <c r="I291" s="121"/>
      <c r="J291" s="122"/>
      <c r="K291" s="27">
        <f t="shared" si="172"/>
        <v>2014</v>
      </c>
      <c r="L291" s="67">
        <f t="shared" si="173"/>
        <v>3.6580950057124362E-2</v>
      </c>
      <c r="M291" s="67">
        <f t="shared" si="173"/>
        <v>-1.2283712019567128E-2</v>
      </c>
      <c r="N291" s="63"/>
      <c r="O291" s="35"/>
      <c r="P291" s="91"/>
      <c r="Q291" s="27">
        <f t="shared" si="174"/>
        <v>2014</v>
      </c>
      <c r="R291" s="125">
        <f t="shared" ref="R291:S295" si="175">IF(R281="","",IF(R281=0,"",R282/R281-1))</f>
        <v>6.2841983552520464E-2</v>
      </c>
      <c r="S291" s="125">
        <f t="shared" si="175"/>
        <v>1.2739370375660197E-2</v>
      </c>
      <c r="T291" s="63"/>
      <c r="U291" s="35"/>
    </row>
    <row r="292" spans="3:21" x14ac:dyDescent="0.25">
      <c r="C292" s="91"/>
      <c r="D292" s="124">
        <f t="shared" si="170"/>
        <v>2015</v>
      </c>
      <c r="E292" s="63"/>
      <c r="F292" s="63"/>
      <c r="G292" s="125">
        <f t="shared" si="171"/>
        <v>-6.2411053802165717E-2</v>
      </c>
      <c r="H292" s="63"/>
      <c r="I292" s="121"/>
      <c r="J292" s="122"/>
      <c r="K292" s="27">
        <f t="shared" si="172"/>
        <v>2015</v>
      </c>
      <c r="L292" s="67">
        <f t="shared" si="173"/>
        <v>-0.18228395700042166</v>
      </c>
      <c r="M292" s="67">
        <f t="shared" si="173"/>
        <v>-0.14290393782932176</v>
      </c>
      <c r="N292" s="63"/>
      <c r="O292" s="35"/>
      <c r="P292" s="91"/>
      <c r="Q292" s="27">
        <f t="shared" si="174"/>
        <v>2015</v>
      </c>
      <c r="R292" s="125">
        <f t="shared" si="175"/>
        <v>-0.12785229997044179</v>
      </c>
      <c r="S292" s="125">
        <f t="shared" si="175"/>
        <v>-8.5850931107470441E-2</v>
      </c>
      <c r="T292" s="63"/>
      <c r="U292" s="35"/>
    </row>
    <row r="293" spans="3:21" x14ac:dyDescent="0.25">
      <c r="C293" s="91"/>
      <c r="D293" s="124">
        <f t="shared" si="170"/>
        <v>2016</v>
      </c>
      <c r="E293" s="63"/>
      <c r="F293" s="63"/>
      <c r="G293" s="125">
        <f t="shared" si="171"/>
        <v>-0.12710208720650507</v>
      </c>
      <c r="H293" s="63"/>
      <c r="I293" s="121"/>
      <c r="J293" s="122"/>
      <c r="K293" s="27">
        <f t="shared" si="172"/>
        <v>2016</v>
      </c>
      <c r="L293" s="67">
        <f t="shared" si="173"/>
        <v>-2.147728171407437E-2</v>
      </c>
      <c r="M293" s="67">
        <f t="shared" si="173"/>
        <v>-1.8845297319692866E-3</v>
      </c>
      <c r="N293" s="63"/>
      <c r="O293" s="35"/>
      <c r="P293" s="91"/>
      <c r="Q293" s="27">
        <f t="shared" si="174"/>
        <v>2016</v>
      </c>
      <c r="R293" s="125">
        <f t="shared" si="175"/>
        <v>0.12100476349451283</v>
      </c>
      <c r="S293" s="125">
        <f t="shared" si="175"/>
        <v>0.14345040312195012</v>
      </c>
      <c r="T293" s="63"/>
      <c r="U293" s="35"/>
    </row>
    <row r="294" spans="3:21" x14ac:dyDescent="0.25">
      <c r="C294" s="91"/>
      <c r="D294" s="124">
        <f t="shared" si="170"/>
        <v>2017</v>
      </c>
      <c r="E294" s="63"/>
      <c r="F294" s="63"/>
      <c r="G294" s="125">
        <f t="shared" si="171"/>
        <v>1.046975824713603E-2</v>
      </c>
      <c r="H294" s="63"/>
      <c r="I294" s="121"/>
      <c r="J294" s="122"/>
      <c r="K294" s="27">
        <f t="shared" si="172"/>
        <v>2017</v>
      </c>
      <c r="L294" s="67" t="str">
        <f>IF(K285="Forecast","",IF(L284=0,"",L285/L284-1))</f>
        <v/>
      </c>
      <c r="M294" s="67">
        <f>IF(M284=0,"",M285/M284-1)</f>
        <v>4.1023438668066348E-3</v>
      </c>
      <c r="N294" s="63"/>
      <c r="O294" s="35"/>
      <c r="P294" s="91"/>
      <c r="Q294" s="27">
        <f t="shared" si="174"/>
        <v>2017</v>
      </c>
      <c r="R294" s="125" t="str">
        <f>IF(Q285="Forecast","",IF(R284=0,"",R285/R284-1))</f>
        <v/>
      </c>
      <c r="S294" s="125">
        <f t="shared" si="175"/>
        <v>-6.3014398287137841E-3</v>
      </c>
      <c r="T294" s="63"/>
      <c r="U294" s="35"/>
    </row>
    <row r="295" spans="3:21" x14ac:dyDescent="0.25">
      <c r="C295" s="91"/>
      <c r="D295" s="124">
        <f t="shared" si="170"/>
        <v>2018</v>
      </c>
      <c r="E295" s="63"/>
      <c r="F295" s="63"/>
      <c r="G295" s="125">
        <f t="shared" si="171"/>
        <v>5.0047295700910155E-3</v>
      </c>
      <c r="H295" s="63"/>
      <c r="I295" s="127">
        <f>IF(I287=0,"",G286/I287-1)</f>
        <v>-0.13943811372062886</v>
      </c>
      <c r="J295" s="122"/>
      <c r="K295" s="27">
        <f t="shared" si="172"/>
        <v>2018</v>
      </c>
      <c r="L295" s="67" t="str">
        <f>IF(K286="Forecast","",IF(L285=0,"",L286/L285-1))</f>
        <v/>
      </c>
      <c r="M295" s="67">
        <f>IF(M285=0,"",M286/M285-1)</f>
        <v>-1.522071392261426E-2</v>
      </c>
      <c r="N295" s="63"/>
      <c r="O295" s="127">
        <f>IF(O287=0,"",M286/O287-1)</f>
        <v>-5.1406287561328257E-2</v>
      </c>
      <c r="P295" s="91"/>
      <c r="Q295" s="27">
        <f t="shared" si="174"/>
        <v>2018</v>
      </c>
      <c r="R295" s="125" t="str">
        <f>IF(Q286="Forecast","",IF(R285=0,"",R286/R285-1))</f>
        <v/>
      </c>
      <c r="S295" s="125">
        <f t="shared" si="175"/>
        <v>-2.0124724687969442E-2</v>
      </c>
      <c r="T295" s="63"/>
      <c r="U295" s="127">
        <f>IF(U287=0,"",S286/U287-1)</f>
        <v>0.10229575299913063</v>
      </c>
    </row>
    <row r="296" spans="3:21" ht="30.75" thickBot="1" x14ac:dyDescent="0.3">
      <c r="C296" s="18"/>
      <c r="D296" s="128" t="s">
        <v>37</v>
      </c>
      <c r="E296" s="71"/>
      <c r="F296" s="71"/>
      <c r="G296" s="129">
        <f>IF(G280=0,"",(G286/G280)^(1/($D286-$D280-1))-1)</f>
        <v>-3.7675997035973907E-2</v>
      </c>
      <c r="H296" s="71"/>
      <c r="I296" s="286">
        <f>IF(I287=0,"",(G286/I287)^(1/(TestYear-RebaseYear-1))-1)</f>
        <v>-0.13943811372062886</v>
      </c>
      <c r="J296" s="74"/>
      <c r="K296" s="75" t="str">
        <f t="shared" si="172"/>
        <v>Geometric Mean</v>
      </c>
      <c r="L296" s="129">
        <f>IF(L280=0,"",(L284/L280)^(1/($D284-$D280-1))-1)</f>
        <v>-6.7359408598796411E-2</v>
      </c>
      <c r="M296" s="129">
        <f>IF(M280=0,"",(M286/M280)^(1/($D286-$D280-1))-1)</f>
        <v>-4.5678060730225734E-2</v>
      </c>
      <c r="N296" s="287"/>
      <c r="O296" s="286">
        <f>IF(O287=0,"",(M286/O287)^(1/(TestYear-RebaseYear-1))-1)</f>
        <v>-5.1406287561328257E-2</v>
      </c>
      <c r="P296" s="18"/>
      <c r="Q296" s="75" t="str">
        <f t="shared" si="174"/>
        <v>Geometric Mean</v>
      </c>
      <c r="R296" s="129">
        <f>IF(R280="","",IF(R280=0,"",(R284/R280)^(1/($D284-$D280-1))-1))</f>
        <v>-5.9252980255630749E-4</v>
      </c>
      <c r="S296" s="129">
        <f>IF(S280="","",IF(S280=0,"",(S286/S280)^(1/($D286-$D280-1))-1))</f>
        <v>-8.3153529056793074E-3</v>
      </c>
      <c r="T296" s="287"/>
      <c r="U296" s="286">
        <f>IF(U287=0,"",(S286/U287)^(1/(TestYear-RebaseYear-1))-1)</f>
        <v>0.10229575299913063</v>
      </c>
    </row>
    <row r="298" spans="3:21" ht="15.75" thickBot="1" x14ac:dyDescent="0.3">
      <c r="Q298" s="71"/>
      <c r="R298" s="71"/>
      <c r="S298" s="71"/>
      <c r="T298" s="71"/>
      <c r="U298" s="71"/>
    </row>
    <row r="299" spans="3:21" ht="14.65" customHeight="1" x14ac:dyDescent="0.25">
      <c r="C299" s="13"/>
      <c r="D299" s="14" t="s">
        <v>23</v>
      </c>
      <c r="E299" s="14"/>
      <c r="F299" s="297" t="s">
        <v>10</v>
      </c>
      <c r="G299" s="298"/>
      <c r="H299" s="298"/>
      <c r="I299" s="299"/>
      <c r="K299" s="300" t="str">
        <f>IF(ISBLANK(N276),"",CONCATENATE("Demand (",N276,")"))</f>
        <v>Demand (kW)</v>
      </c>
      <c r="L299" s="301"/>
      <c r="M299" s="301"/>
      <c r="N299" s="301"/>
      <c r="O299" s="302"/>
      <c r="Q299" s="303" t="str">
        <f>CONCATENATE("Demand (",N276,") per ",LEFT(F278,LEN(F278)-1))</f>
        <v>Demand (kW) per Customer</v>
      </c>
      <c r="R299" s="304"/>
      <c r="S299" s="304"/>
      <c r="T299" s="304"/>
      <c r="U299" s="305"/>
    </row>
    <row r="300" spans="3:21" ht="39" thickBot="1" x14ac:dyDescent="0.3">
      <c r="C300" s="18"/>
      <c r="D300" s="19" t="str">
        <f>CONCATENATE("(for ",TestYear," Cost of Service")</f>
        <v>(for 2017 Cost of Service</v>
      </c>
      <c r="E300" s="26"/>
      <c r="F300" s="306"/>
      <c r="G300" s="307"/>
      <c r="H300" s="307"/>
      <c r="I300" s="86"/>
      <c r="K300" s="22"/>
      <c r="L300" s="23" t="s">
        <v>25</v>
      </c>
      <c r="M300" s="23" t="s">
        <v>26</v>
      </c>
      <c r="N300" s="24"/>
      <c r="O300" s="25" t="str">
        <f>M300</f>
        <v>Weather-normalized</v>
      </c>
      <c r="Q300" s="132"/>
      <c r="R300" s="23" t="str">
        <f>L300</f>
        <v>Actual (Weather actual)</v>
      </c>
      <c r="S300" s="23" t="str">
        <f>M300</f>
        <v>Weather-normalized</v>
      </c>
      <c r="T300" s="23"/>
      <c r="U300" s="133" t="str">
        <f>O300</f>
        <v>Weather-normalized</v>
      </c>
    </row>
    <row r="301" spans="3:21" x14ac:dyDescent="0.25">
      <c r="C301" s="26" t="s">
        <v>27</v>
      </c>
      <c r="D301" s="27">
        <f t="shared" ref="D301:D306" si="176">D302-1</f>
        <v>2012</v>
      </c>
      <c r="E301" s="91"/>
      <c r="F301" s="92" t="str">
        <f t="shared" ref="F301:F307" si="177">F280</f>
        <v>Actual</v>
      </c>
      <c r="G301" s="134">
        <v>109378924.69301333</v>
      </c>
      <c r="H301" s="31" t="s">
        <v>50</v>
      </c>
      <c r="I301" s="135"/>
      <c r="K301" s="94" t="str">
        <f t="shared" ref="K301:K307" si="178">K280</f>
        <v>Actual</v>
      </c>
      <c r="L301" s="95">
        <v>10060780.330794677</v>
      </c>
      <c r="M301" s="95">
        <v>9909509.6999999993</v>
      </c>
      <c r="N301" s="37" t="str">
        <f t="shared" ref="N301:N307" si="179">N280</f>
        <v/>
      </c>
      <c r="O301" s="35"/>
      <c r="Q301" s="96" t="str">
        <f>K301</f>
        <v>Actual</v>
      </c>
      <c r="R301" s="63">
        <f>IF(G301=0,"",L301/G301)</f>
        <v>9.1980976765237102E-2</v>
      </c>
      <c r="S301" s="28">
        <f>IF(G301=0,"",M301/G301)</f>
        <v>9.0597980623894153E-2</v>
      </c>
      <c r="T301" s="28" t="str">
        <f>N301</f>
        <v/>
      </c>
      <c r="U301" s="91" t="str">
        <f>IF(T301="","",IF(I301=0,"",O301/I301))</f>
        <v/>
      </c>
    </row>
    <row r="302" spans="3:21" x14ac:dyDescent="0.25">
      <c r="C302" s="26" t="s">
        <v>27</v>
      </c>
      <c r="D302" s="27">
        <f t="shared" si="176"/>
        <v>2013</v>
      </c>
      <c r="E302" s="91"/>
      <c r="F302" s="98" t="str">
        <f t="shared" si="177"/>
        <v>Actual</v>
      </c>
      <c r="G302" s="134">
        <v>116626527.23783907</v>
      </c>
      <c r="H302" s="31" t="s">
        <v>50</v>
      </c>
      <c r="I302" s="35"/>
      <c r="K302" s="94" t="str">
        <f t="shared" si="178"/>
        <v>Actual</v>
      </c>
      <c r="L302" s="95">
        <v>9893510.9714215491</v>
      </c>
      <c r="M302" s="95">
        <v>9807860.7054397725</v>
      </c>
      <c r="N302" s="37" t="str">
        <f t="shared" si="179"/>
        <v/>
      </c>
      <c r="O302" s="35"/>
      <c r="Q302" s="96" t="str">
        <f t="shared" ref="Q302:Q307" si="180">K302</f>
        <v>Actual</v>
      </c>
      <c r="R302" s="63">
        <f t="shared" ref="R302:R307" si="181">IF(G302=0,"",L302/G302)</f>
        <v>8.48307088081727E-2</v>
      </c>
      <c r="S302" s="28">
        <f t="shared" ref="S302:S307" si="182">IF(G302=0,"",M302/G302)</f>
        <v>8.4096310999969878E-2</v>
      </c>
      <c r="T302" s="28" t="str">
        <f t="shared" ref="T302:T307" si="183">N302</f>
        <v/>
      </c>
      <c r="U302" s="91" t="str">
        <f t="shared" ref="U302:U307" si="184">IF(T302="","",IF(I302=0,"",O302/I302))</f>
        <v/>
      </c>
    </row>
    <row r="303" spans="3:21" x14ac:dyDescent="0.25">
      <c r="C303" s="26" t="s">
        <v>27</v>
      </c>
      <c r="D303" s="27">
        <f t="shared" si="176"/>
        <v>2014</v>
      </c>
      <c r="E303" s="91"/>
      <c r="F303" s="98" t="str">
        <f t="shared" si="177"/>
        <v>Actual</v>
      </c>
      <c r="G303" s="134">
        <v>117694832.07933298</v>
      </c>
      <c r="H303" s="31" t="s">
        <v>50</v>
      </c>
      <c r="I303" s="136"/>
      <c r="K303" s="94" t="str">
        <f t="shared" si="178"/>
        <v>Actual</v>
      </c>
      <c r="L303" s="95">
        <v>9883885.438828446</v>
      </c>
      <c r="M303" s="95">
        <v>9849439.9089302011</v>
      </c>
      <c r="N303" s="37" t="str">
        <f t="shared" si="179"/>
        <v/>
      </c>
      <c r="O303" s="36"/>
      <c r="Q303" s="96" t="str">
        <f t="shared" si="180"/>
        <v>Actual</v>
      </c>
      <c r="R303" s="63">
        <f t="shared" si="181"/>
        <v>8.3978924683508177E-2</v>
      </c>
      <c r="S303" s="28">
        <f t="shared" si="182"/>
        <v>8.3686256523915356E-2</v>
      </c>
      <c r="T303" s="28" t="str">
        <f t="shared" si="183"/>
        <v/>
      </c>
      <c r="U303" s="91" t="str">
        <f t="shared" si="184"/>
        <v/>
      </c>
    </row>
    <row r="304" spans="3:21" x14ac:dyDescent="0.25">
      <c r="C304" s="26" t="s">
        <v>27</v>
      </c>
      <c r="D304" s="27">
        <f t="shared" si="176"/>
        <v>2015</v>
      </c>
      <c r="E304" s="91"/>
      <c r="F304" s="98" t="str">
        <f t="shared" si="177"/>
        <v>Actual</v>
      </c>
      <c r="G304" s="134">
        <v>117944121.07302986</v>
      </c>
      <c r="H304" s="31" t="s">
        <v>29</v>
      </c>
      <c r="I304" s="137">
        <v>142665291.68353999</v>
      </c>
      <c r="K304" s="94" t="str">
        <f t="shared" si="178"/>
        <v>Actual</v>
      </c>
      <c r="L304" s="95">
        <v>8536187.0782054905</v>
      </c>
      <c r="M304" s="95">
        <v>8484669.8017077167</v>
      </c>
      <c r="N304" s="37" t="str">
        <f t="shared" si="179"/>
        <v>Board-approved</v>
      </c>
      <c r="O304" s="35">
        <v>8541960.1686262898</v>
      </c>
      <c r="Q304" s="96" t="str">
        <f t="shared" si="180"/>
        <v>Actual</v>
      </c>
      <c r="R304" s="63">
        <f t="shared" si="181"/>
        <v>7.2374841582141816E-2</v>
      </c>
      <c r="S304" s="28">
        <f t="shared" si="182"/>
        <v>7.1938047649310902E-2</v>
      </c>
      <c r="T304" s="28" t="str">
        <f t="shared" si="183"/>
        <v>Board-approved</v>
      </c>
      <c r="U304" s="91">
        <f t="shared" si="184"/>
        <v>5.9874129634656041E-2</v>
      </c>
    </row>
    <row r="305" spans="2:21" x14ac:dyDescent="0.25">
      <c r="C305" s="26" t="s">
        <v>27</v>
      </c>
      <c r="D305" s="27">
        <f t="shared" si="176"/>
        <v>2016</v>
      </c>
      <c r="E305" s="91"/>
      <c r="F305" s="98" t="str">
        <f t="shared" si="177"/>
        <v>Actual</v>
      </c>
      <c r="G305" s="134">
        <v>127081779.01441886</v>
      </c>
      <c r="H305" s="31" t="s">
        <v>50</v>
      </c>
      <c r="I305" s="35"/>
      <c r="K305" s="94" t="str">
        <f t="shared" si="178"/>
        <v>Actual</v>
      </c>
      <c r="L305" s="95">
        <v>8118009.8471321268</v>
      </c>
      <c r="M305" s="95">
        <v>8116668.973417717</v>
      </c>
      <c r="N305" s="37" t="str">
        <f t="shared" si="179"/>
        <v/>
      </c>
      <c r="O305" s="35"/>
      <c r="Q305" s="96" t="str">
        <f t="shared" si="180"/>
        <v>Actual</v>
      </c>
      <c r="R305" s="63">
        <f t="shared" si="181"/>
        <v>6.3880203047921191E-2</v>
      </c>
      <c r="S305" s="28">
        <f t="shared" si="182"/>
        <v>6.3869651781446893E-2</v>
      </c>
      <c r="T305" s="28" t="str">
        <f t="shared" si="183"/>
        <v/>
      </c>
      <c r="U305" s="91" t="str">
        <f t="shared" si="184"/>
        <v/>
      </c>
    </row>
    <row r="306" spans="2:21" x14ac:dyDescent="0.25">
      <c r="C306" s="26" t="s">
        <v>45</v>
      </c>
      <c r="D306" s="27">
        <f t="shared" si="176"/>
        <v>2017</v>
      </c>
      <c r="E306" s="91"/>
      <c r="F306" s="98" t="str">
        <f t="shared" si="177"/>
        <v>Forecast</v>
      </c>
      <c r="G306" s="134">
        <v>136367266.34177062</v>
      </c>
      <c r="H306" s="31" t="s">
        <v>50</v>
      </c>
      <c r="I306" s="35"/>
      <c r="K306" s="94" t="str">
        <f t="shared" si="178"/>
        <v>Forecast</v>
      </c>
      <c r="L306" s="102"/>
      <c r="M306" s="138">
        <v>8149966.3405997166</v>
      </c>
      <c r="N306" s="37" t="str">
        <f t="shared" si="179"/>
        <v/>
      </c>
      <c r="O306" s="35"/>
      <c r="Q306" s="96" t="str">
        <f t="shared" si="180"/>
        <v>Forecast</v>
      </c>
      <c r="R306" s="63">
        <f t="shared" si="181"/>
        <v>0</v>
      </c>
      <c r="S306" s="28">
        <f t="shared" si="182"/>
        <v>5.9764828900902463E-2</v>
      </c>
      <c r="T306" s="28" t="str">
        <f t="shared" si="183"/>
        <v/>
      </c>
      <c r="U306" s="91" t="str">
        <f t="shared" si="184"/>
        <v/>
      </c>
    </row>
    <row r="307" spans="2:21" ht="15.75" thickBot="1" x14ac:dyDescent="0.3">
      <c r="C307" s="39" t="s">
        <v>46</v>
      </c>
      <c r="D307" s="104">
        <v>2018</v>
      </c>
      <c r="E307" s="18"/>
      <c r="F307" s="105" t="str">
        <f t="shared" si="177"/>
        <v>Forecast</v>
      </c>
      <c r="G307" s="139">
        <v>141234146.86387476</v>
      </c>
      <c r="H307" s="43" t="s">
        <v>50</v>
      </c>
      <c r="I307" s="46"/>
      <c r="K307" s="108" t="str">
        <f t="shared" si="178"/>
        <v>Forecast</v>
      </c>
      <c r="L307" s="109"/>
      <c r="M307" s="140">
        <v>8025918.0344505152</v>
      </c>
      <c r="N307" s="111" t="str">
        <f t="shared" si="179"/>
        <v/>
      </c>
      <c r="O307" s="46"/>
      <c r="Q307" s="141" t="str">
        <f t="shared" si="180"/>
        <v>Forecast</v>
      </c>
      <c r="R307" s="40">
        <f t="shared" si="181"/>
        <v>0</v>
      </c>
      <c r="S307" s="40">
        <f t="shared" si="182"/>
        <v>5.6827036610247725E-2</v>
      </c>
      <c r="T307" s="40" t="str">
        <f t="shared" si="183"/>
        <v/>
      </c>
      <c r="U307" s="18" t="str">
        <f t="shared" si="184"/>
        <v/>
      </c>
    </row>
    <row r="308" spans="2:21" ht="15.75" thickBot="1" x14ac:dyDescent="0.3">
      <c r="C308" s="114"/>
      <c r="I308" s="52">
        <f>SUM(I301:I306)</f>
        <v>142665291.68353999</v>
      </c>
      <c r="J308" s="63"/>
      <c r="O308" s="52">
        <f>SUM(O301:O306)</f>
        <v>8541960.1686262898</v>
      </c>
      <c r="U308" s="52">
        <f>SUM(U301:U306)</f>
        <v>5.9874129634656041E-2</v>
      </c>
    </row>
    <row r="309" spans="2:21" ht="39" thickBot="1" x14ac:dyDescent="0.3">
      <c r="C309" s="115" t="s">
        <v>33</v>
      </c>
      <c r="D309" s="116" t="s">
        <v>34</v>
      </c>
      <c r="E309" s="270"/>
      <c r="F309" s="270"/>
      <c r="G309" s="270" t="s">
        <v>35</v>
      </c>
      <c r="H309" s="270"/>
      <c r="I309" s="60" t="str">
        <f>I288</f>
        <v>Test Year Versus Board-approved</v>
      </c>
      <c r="J309" s="142"/>
      <c r="K309" s="58" t="s">
        <v>34</v>
      </c>
      <c r="L309" s="308" t="s">
        <v>35</v>
      </c>
      <c r="M309" s="308"/>
      <c r="N309" s="270"/>
      <c r="O309" s="60" t="str">
        <f>I309</f>
        <v>Test Year Versus Board-approved</v>
      </c>
      <c r="P309" s="143"/>
      <c r="Q309" s="58" t="s">
        <v>34</v>
      </c>
      <c r="R309" s="308" t="s">
        <v>35</v>
      </c>
      <c r="S309" s="308"/>
      <c r="T309" s="270"/>
      <c r="U309" s="60" t="str">
        <f>O309</f>
        <v>Test Year Versus Board-approved</v>
      </c>
    </row>
    <row r="310" spans="2:21" x14ac:dyDescent="0.25">
      <c r="C310" s="91"/>
      <c r="D310" s="144">
        <f>D301</f>
        <v>2012</v>
      </c>
      <c r="E310" s="51"/>
      <c r="F310" s="63"/>
      <c r="G310" s="120"/>
      <c r="H310" s="63"/>
      <c r="I310" s="121"/>
      <c r="J310" s="91"/>
      <c r="K310" s="27">
        <f>D310</f>
        <v>2012</v>
      </c>
      <c r="L310" s="65"/>
      <c r="M310" s="65"/>
      <c r="N310" s="63"/>
      <c r="O310" s="145"/>
      <c r="P310" s="91"/>
      <c r="Q310" s="27">
        <f>K310</f>
        <v>2012</v>
      </c>
      <c r="R310" s="123"/>
      <c r="S310" s="123"/>
      <c r="T310" s="63"/>
      <c r="U310" s="35"/>
    </row>
    <row r="311" spans="2:21" x14ac:dyDescent="0.25">
      <c r="C311" s="91"/>
      <c r="D311" s="124">
        <f>D302</f>
        <v>2013</v>
      </c>
      <c r="E311" s="63"/>
      <c r="F311" s="63"/>
      <c r="G311" s="125">
        <f>IF(G301=0,"",G302/G301-1)</f>
        <v>6.6261417043247839E-2</v>
      </c>
      <c r="H311" s="63"/>
      <c r="I311" s="121"/>
      <c r="J311" s="91"/>
      <c r="K311" s="27">
        <f t="shared" ref="K311:K317" si="185">D311</f>
        <v>2013</v>
      </c>
      <c r="L311" s="67">
        <f>IF(L301=0,"",L302/L301-1)</f>
        <v>-1.6625883268829522E-2</v>
      </c>
      <c r="M311" s="67">
        <f>IF(M301=0,"",M302/M301-1)</f>
        <v>-1.0257721889129101E-2</v>
      </c>
      <c r="N311" s="63"/>
      <c r="O311" s="145"/>
      <c r="P311" s="91"/>
      <c r="Q311" s="27">
        <f t="shared" ref="Q311:Q317" si="186">K311</f>
        <v>2013</v>
      </c>
      <c r="R311" s="125">
        <f>IF(R301="","",IF(R301=0,"",R302/R301-1))</f>
        <v>-7.7736377765524445E-2</v>
      </c>
      <c r="S311" s="125">
        <f>IF(S301="","",IF(S301=0,"",S302/S301-1))</f>
        <v>-7.1763957421028146E-2</v>
      </c>
      <c r="T311" s="63"/>
      <c r="U311" s="35"/>
    </row>
    <row r="312" spans="2:21" x14ac:dyDescent="0.25">
      <c r="C312" s="91"/>
      <c r="D312" s="146">
        <f t="shared" ref="D312:D316" si="187">D303</f>
        <v>2014</v>
      </c>
      <c r="E312" s="63"/>
      <c r="F312" s="63"/>
      <c r="G312" s="125">
        <f t="shared" ref="G312:G316" si="188">IF(G302=0,"",G303/G302-1)</f>
        <v>9.1600501772233223E-3</v>
      </c>
      <c r="H312" s="63"/>
      <c r="I312" s="121"/>
      <c r="J312" s="91"/>
      <c r="K312" s="27">
        <f t="shared" si="185"/>
        <v>2014</v>
      </c>
      <c r="L312" s="67">
        <f t="shared" ref="L312:M316" si="189">IF(L302=0,"",L303/L302-1)</f>
        <v>-9.7291372303598411E-4</v>
      </c>
      <c r="M312" s="67">
        <f t="shared" si="189"/>
        <v>4.2393754090908065E-3</v>
      </c>
      <c r="N312" s="63"/>
      <c r="O312" s="145"/>
      <c r="P312" s="91"/>
      <c r="Q312" s="27">
        <f t="shared" si="186"/>
        <v>2014</v>
      </c>
      <c r="R312" s="125">
        <f t="shared" ref="R312:S316" si="190">IF(R302="","",IF(R302=0,"",R303/R302-1))</f>
        <v>-1.0040987946837276E-2</v>
      </c>
      <c r="S312" s="125">
        <f t="shared" si="190"/>
        <v>-4.8760102694000995E-3</v>
      </c>
      <c r="T312" s="63"/>
      <c r="U312" s="35"/>
    </row>
    <row r="313" spans="2:21" x14ac:dyDescent="0.25">
      <c r="C313" s="91"/>
      <c r="D313" s="124">
        <f t="shared" si="187"/>
        <v>2015</v>
      </c>
      <c r="E313" s="63"/>
      <c r="F313" s="63"/>
      <c r="G313" s="125">
        <f t="shared" si="188"/>
        <v>2.1180963453759638E-3</v>
      </c>
      <c r="H313" s="63"/>
      <c r="I313" s="121"/>
      <c r="J313" s="91"/>
      <c r="K313" s="27">
        <f t="shared" si="185"/>
        <v>2015</v>
      </c>
      <c r="L313" s="67">
        <f t="shared" si="189"/>
        <v>-0.13635309403006401</v>
      </c>
      <c r="M313" s="67">
        <f t="shared" si="189"/>
        <v>-0.13856321982177755</v>
      </c>
      <c r="N313" s="63"/>
      <c r="O313" s="145"/>
      <c r="P313" s="91"/>
      <c r="Q313" s="27">
        <f t="shared" si="186"/>
        <v>2015</v>
      </c>
      <c r="R313" s="125">
        <f t="shared" si="190"/>
        <v>-0.13817851496787714</v>
      </c>
      <c r="S313" s="125">
        <f t="shared" si="190"/>
        <v>-0.1403839693946296</v>
      </c>
      <c r="T313" s="63"/>
      <c r="U313" s="35"/>
    </row>
    <row r="314" spans="2:21" x14ac:dyDescent="0.25">
      <c r="C314" s="91"/>
      <c r="D314" s="124">
        <f t="shared" si="187"/>
        <v>2016</v>
      </c>
      <c r="E314" s="63"/>
      <c r="F314" s="63"/>
      <c r="G314" s="125">
        <f t="shared" si="188"/>
        <v>7.7474467215971288E-2</v>
      </c>
      <c r="H314" s="63"/>
      <c r="I314" s="121"/>
      <c r="J314" s="91"/>
      <c r="K314" s="27">
        <f t="shared" si="185"/>
        <v>2016</v>
      </c>
      <c r="L314" s="67">
        <f t="shared" si="189"/>
        <v>-4.8988761286763438E-2</v>
      </c>
      <c r="M314" s="67">
        <f t="shared" si="189"/>
        <v>-4.3372439575189103E-2</v>
      </c>
      <c r="N314" s="63"/>
      <c r="O314" s="145"/>
      <c r="P314" s="91"/>
      <c r="Q314" s="27">
        <f t="shared" si="186"/>
        <v>2016</v>
      </c>
      <c r="R314" s="125">
        <f t="shared" si="190"/>
        <v>-0.11737004666987261</v>
      </c>
      <c r="S314" s="125">
        <f t="shared" si="190"/>
        <v>-0.11215755961569107</v>
      </c>
      <c r="T314" s="63"/>
      <c r="U314" s="35"/>
    </row>
    <row r="315" spans="2:21" x14ac:dyDescent="0.25">
      <c r="C315" s="91"/>
      <c r="D315" s="124">
        <f t="shared" si="187"/>
        <v>2017</v>
      </c>
      <c r="E315" s="63"/>
      <c r="F315" s="63"/>
      <c r="G315" s="125">
        <f t="shared" si="188"/>
        <v>7.3067023450295032E-2</v>
      </c>
      <c r="H315" s="63"/>
      <c r="I315" s="121"/>
      <c r="J315" s="91"/>
      <c r="K315" s="27">
        <f t="shared" si="185"/>
        <v>2017</v>
      </c>
      <c r="L315" s="67" t="str">
        <f>IF(K306="Forecast","",IF(L305=0,"",L306/L305-1))</f>
        <v/>
      </c>
      <c r="M315" s="67">
        <f t="shared" si="189"/>
        <v>4.1023438668066348E-3</v>
      </c>
      <c r="N315" s="63"/>
      <c r="O315" s="145"/>
      <c r="P315" s="91"/>
      <c r="Q315" s="27">
        <f t="shared" si="186"/>
        <v>2017</v>
      </c>
      <c r="R315" s="125" t="str">
        <f>IF(Q306="Forecast","",IF(R305=0,"",R306/R305-1))</f>
        <v/>
      </c>
      <c r="S315" s="125">
        <f t="shared" si="190"/>
        <v>-6.4268753094044784E-2</v>
      </c>
      <c r="T315" s="63"/>
      <c r="U315" s="35"/>
    </row>
    <row r="316" spans="2:21" x14ac:dyDescent="0.25">
      <c r="C316" s="91"/>
      <c r="D316" s="146">
        <f t="shared" si="187"/>
        <v>2018</v>
      </c>
      <c r="E316" s="63"/>
      <c r="F316" s="63"/>
      <c r="G316" s="125">
        <f t="shared" si="188"/>
        <v>3.5689507113140451E-2</v>
      </c>
      <c r="H316" s="63"/>
      <c r="I316" s="127">
        <f>IF(I308=0,"",G307/I308-1)</f>
        <v>-1.0031485603658852E-2</v>
      </c>
      <c r="J316" s="91"/>
      <c r="K316" s="27">
        <f t="shared" si="185"/>
        <v>2018</v>
      </c>
      <c r="L316" s="67" t="str">
        <f>IF(K307="Forecast","",IF(L306=0,"",L307/L306-1))</f>
        <v/>
      </c>
      <c r="M316" s="67">
        <f t="shared" si="189"/>
        <v>-1.5220713922614038E-2</v>
      </c>
      <c r="N316" s="63"/>
      <c r="O316" s="127">
        <f>IF(O308=0,"",M307/O308-1)</f>
        <v>-6.0412613028932416E-2</v>
      </c>
      <c r="P316" s="91"/>
      <c r="Q316" s="27">
        <f t="shared" si="186"/>
        <v>2018</v>
      </c>
      <c r="R316" s="125" t="str">
        <f>IF(Q307="Forecast","",IF(R306=0,"",R307/R306-1))</f>
        <v/>
      </c>
      <c r="S316" s="125">
        <f t="shared" si="190"/>
        <v>-4.9155872185729255E-2</v>
      </c>
      <c r="T316" s="63"/>
      <c r="U316" s="127">
        <f>IF(U308=0,"",S307/U308-1)</f>
        <v>-5.0891646241895683E-2</v>
      </c>
    </row>
    <row r="317" spans="2:21" ht="30.75" thickBot="1" x14ac:dyDescent="0.3">
      <c r="C317" s="18"/>
      <c r="D317" s="128" t="s">
        <v>37</v>
      </c>
      <c r="E317" s="71"/>
      <c r="F317" s="71"/>
      <c r="G317" s="129">
        <f>IF(G301=0,"",(G307/G301)^(1/($D307-$D301-1))-1)</f>
        <v>5.2449369510149335E-2</v>
      </c>
      <c r="H317" s="71"/>
      <c r="I317" s="286">
        <f>IF(I308=0,"",(G307/I308)^(1/(TestYear-RebaseYear-1))-1)</f>
        <v>-1.0031485603658852E-2</v>
      </c>
      <c r="J317" s="91"/>
      <c r="K317" s="75" t="str">
        <f t="shared" si="185"/>
        <v>Geometric Mean</v>
      </c>
      <c r="L317" s="129">
        <f>IF(L301=0,"",(L305/L301)^(1/($D305-$D301-1))-1)</f>
        <v>-6.9022248401574005E-2</v>
      </c>
      <c r="M317" s="129">
        <f>IF(M301=0,"",(M307/M301)^(1/($D307-$D301-1))-1)</f>
        <v>-4.1287233492864006E-2</v>
      </c>
      <c r="N317" s="71"/>
      <c r="O317" s="286">
        <f>IF(O308=0,"",(M307/O308)^(1/(TestYear-RebaseYear-1))-1)</f>
        <v>-6.0412613028932416E-2</v>
      </c>
      <c r="P317" s="18"/>
      <c r="Q317" s="75" t="str">
        <f t="shared" si="186"/>
        <v>Geometric Mean</v>
      </c>
      <c r="R317" s="129">
        <f>IF(R301="","",IF(R301=0,"",(R305/R301)^(1/($D305-$D301-1))-1))</f>
        <v>-0.11443028307278269</v>
      </c>
      <c r="S317" s="129">
        <f>IF(S301="","",IF(S301=0,"",(S307/S301)^(1/($D307-$D301-1))-1))</f>
        <v>-8.9065189945091605E-2</v>
      </c>
      <c r="T317" s="287"/>
      <c r="U317" s="286">
        <f>IF(U308=0,"",(S307/U308)^(1/(TestYear-RebaseYear-1))-1)</f>
        <v>-5.0891646241895683E-2</v>
      </c>
    </row>
    <row r="318" spans="2:21" ht="15.75" thickBot="1" x14ac:dyDescent="0.3"/>
    <row r="319" spans="2:21" ht="15.75" thickBot="1" x14ac:dyDescent="0.3">
      <c r="B319" s="79">
        <f>B276+1</f>
        <v>7</v>
      </c>
      <c r="C319" s="80" t="s">
        <v>39</v>
      </c>
      <c r="D319" s="309" t="s">
        <v>54</v>
      </c>
      <c r="E319" s="310"/>
      <c r="F319" s="311"/>
      <c r="G319" s="81"/>
      <c r="H319" s="82" t="s">
        <v>41</v>
      </c>
      <c r="N319" s="83" t="s">
        <v>42</v>
      </c>
      <c r="O319" s="84"/>
      <c r="P319" s="84"/>
      <c r="Q319" s="84"/>
      <c r="R319" s="84"/>
      <c r="S319" s="84"/>
      <c r="T319" s="84"/>
      <c r="U319" s="84"/>
    </row>
    <row r="320" spans="2:21" ht="15.75" thickBot="1" x14ac:dyDescent="0.3">
      <c r="Q320" s="71"/>
      <c r="R320" s="71"/>
      <c r="S320" s="71"/>
      <c r="T320" s="71"/>
      <c r="U320" s="71"/>
    </row>
    <row r="321" spans="2:22" ht="14.65" customHeight="1" x14ac:dyDescent="0.25">
      <c r="C321" s="13"/>
      <c r="D321" s="14" t="s">
        <v>23</v>
      </c>
      <c r="E321" s="14"/>
      <c r="F321" s="312" t="s">
        <v>43</v>
      </c>
      <c r="G321" s="313"/>
      <c r="H321" s="313"/>
      <c r="I321" s="314"/>
      <c r="J321" s="14"/>
      <c r="K321" s="300" t="s">
        <v>24</v>
      </c>
      <c r="L321" s="301"/>
      <c r="M321" s="301"/>
      <c r="N321" s="301"/>
      <c r="O321" s="302"/>
      <c r="P321" s="15"/>
      <c r="Q321" s="303" t="str">
        <f>CONCATENATE("Consumption (kWh) per ",LEFT(F321,LEN(F321)-1))</f>
        <v>Consumption (kWh) per Customer</v>
      </c>
      <c r="R321" s="304"/>
      <c r="S321" s="304"/>
      <c r="T321" s="304"/>
      <c r="U321" s="305"/>
      <c r="V321" s="85"/>
    </row>
    <row r="322" spans="2:22" ht="39" thickBot="1" x14ac:dyDescent="0.3">
      <c r="C322" s="18"/>
      <c r="D322" s="19" t="str">
        <f>CONCATENATE("(for ",TestYear," Cost of Service")</f>
        <v>(for 2017 Cost of Service</v>
      </c>
      <c r="E322" s="26"/>
      <c r="F322" s="306"/>
      <c r="G322" s="307"/>
      <c r="H322" s="315"/>
      <c r="I322" s="86"/>
      <c r="J322" s="26"/>
      <c r="K322" s="22"/>
      <c r="L322" s="23" t="s">
        <v>25</v>
      </c>
      <c r="M322" s="23" t="s">
        <v>26</v>
      </c>
      <c r="N322" s="24"/>
      <c r="O322" s="25" t="s">
        <v>26</v>
      </c>
      <c r="P322" s="26"/>
      <c r="Q322" s="87"/>
      <c r="R322" s="88" t="str">
        <f>L322</f>
        <v>Actual (Weather actual)</v>
      </c>
      <c r="S322" s="89" t="str">
        <f>M322</f>
        <v>Weather-normalized</v>
      </c>
      <c r="T322" s="89"/>
      <c r="U322" s="90" t="str">
        <f>O322</f>
        <v>Weather-normalized</v>
      </c>
      <c r="V322" s="85"/>
    </row>
    <row r="323" spans="2:22" x14ac:dyDescent="0.25">
      <c r="C323" s="26" t="s">
        <v>27</v>
      </c>
      <c r="D323" s="27">
        <f t="shared" ref="D323:D328" si="191">D324-1</f>
        <v>2012</v>
      </c>
      <c r="E323" s="91"/>
      <c r="F323" s="92" t="str">
        <f>F280</f>
        <v>Actual</v>
      </c>
      <c r="G323" s="93">
        <v>98513</v>
      </c>
      <c r="H323" s="32" t="str">
        <f t="shared" ref="H323:H329" si="192">IF(D323=RebaseYear,"Board-approved","")</f>
        <v/>
      </c>
      <c r="I323" s="35"/>
      <c r="J323" s="91"/>
      <c r="K323" s="94" t="str">
        <f>F323</f>
        <v>Actual</v>
      </c>
      <c r="L323" s="95">
        <v>2518375401.6608667</v>
      </c>
      <c r="M323" s="95">
        <v>2579871592.7572904</v>
      </c>
      <c r="N323" s="37" t="str">
        <f>H323</f>
        <v/>
      </c>
      <c r="O323" s="35"/>
      <c r="P323" s="91"/>
      <c r="Q323" s="96" t="str">
        <f>K323</f>
        <v>Actual</v>
      </c>
      <c r="R323" s="97">
        <f>IF(G323=0,"",L323/G323)</f>
        <v>25563.889046733595</v>
      </c>
      <c r="S323" s="63">
        <f>IF(G323=0,"",M323/G323)</f>
        <v>26188.133472306094</v>
      </c>
      <c r="T323" s="63" t="str">
        <f>N323</f>
        <v/>
      </c>
      <c r="U323" s="63" t="str">
        <f>IF(T323="","",IF(I323=0,"",O323/I323))</f>
        <v/>
      </c>
      <c r="V323" s="28"/>
    </row>
    <row r="324" spans="2:22" x14ac:dyDescent="0.25">
      <c r="C324" s="26" t="s">
        <v>27</v>
      </c>
      <c r="D324" s="27">
        <f t="shared" si="191"/>
        <v>2013</v>
      </c>
      <c r="E324" s="91"/>
      <c r="F324" s="98" t="str">
        <f t="shared" ref="F324:F329" si="193">F281</f>
        <v>Actual</v>
      </c>
      <c r="G324" s="93">
        <v>98567.621881790183</v>
      </c>
      <c r="H324" s="32" t="str">
        <f t="shared" si="192"/>
        <v/>
      </c>
      <c r="I324" s="35"/>
      <c r="J324" s="91"/>
      <c r="K324" s="94" t="str">
        <f t="shared" ref="K324:K329" si="194">F324</f>
        <v>Actual</v>
      </c>
      <c r="L324" s="95">
        <v>2398320352.9964776</v>
      </c>
      <c r="M324" s="95">
        <v>2379762856.3677301</v>
      </c>
      <c r="N324" s="37" t="str">
        <f t="shared" ref="N324:N329" si="195">H324</f>
        <v/>
      </c>
      <c r="O324" s="35"/>
      <c r="P324" s="91"/>
      <c r="Q324" s="96" t="str">
        <f t="shared" ref="Q324:Q329" si="196">K324</f>
        <v>Actual</v>
      </c>
      <c r="R324" s="97">
        <f t="shared" ref="R324:R329" si="197">IF(G324=0,"",L324/G324)</f>
        <v>24331.725846776808</v>
      </c>
      <c r="S324" s="63">
        <f t="shared" ref="S324:S329" si="198">IF(G324=0,"",M324/G324)</f>
        <v>24143.454117435474</v>
      </c>
      <c r="T324" s="63" t="str">
        <f t="shared" ref="T324:T329" si="199">N324</f>
        <v/>
      </c>
      <c r="U324" s="63" t="str">
        <f t="shared" ref="U324:U329" si="200">IF(T324="","",IF(I324=0,"",O324/I324))</f>
        <v/>
      </c>
      <c r="V324" s="28"/>
    </row>
    <row r="325" spans="2:22" x14ac:dyDescent="0.25">
      <c r="C325" s="26" t="s">
        <v>27</v>
      </c>
      <c r="D325" s="27">
        <f t="shared" si="191"/>
        <v>2014</v>
      </c>
      <c r="E325" s="91"/>
      <c r="F325" s="98" t="str">
        <f t="shared" si="193"/>
        <v>Actual</v>
      </c>
      <c r="G325" s="93">
        <v>95503</v>
      </c>
      <c r="H325" s="32" t="str">
        <f t="shared" si="192"/>
        <v/>
      </c>
      <c r="I325" s="36"/>
      <c r="J325" s="91"/>
      <c r="K325" s="94" t="str">
        <f t="shared" si="194"/>
        <v>Actual</v>
      </c>
      <c r="L325" s="95">
        <v>2357937161.611722</v>
      </c>
      <c r="M325" s="95">
        <v>2229398517.9430633</v>
      </c>
      <c r="N325" s="37" t="str">
        <f t="shared" si="195"/>
        <v/>
      </c>
      <c r="O325" s="36"/>
      <c r="P325" s="91"/>
      <c r="Q325" s="96" t="str">
        <f t="shared" si="196"/>
        <v>Actual</v>
      </c>
      <c r="R325" s="97">
        <f t="shared" si="197"/>
        <v>24689.665891246579</v>
      </c>
      <c r="S325" s="63">
        <f t="shared" si="198"/>
        <v>23343.753787242949</v>
      </c>
      <c r="T325" s="63" t="str">
        <f t="shared" si="199"/>
        <v/>
      </c>
      <c r="U325" s="63" t="str">
        <f t="shared" si="200"/>
        <v/>
      </c>
      <c r="V325" s="28"/>
    </row>
    <row r="326" spans="2:22" x14ac:dyDescent="0.25">
      <c r="C326" s="26" t="s">
        <v>27</v>
      </c>
      <c r="D326" s="27">
        <f t="shared" si="191"/>
        <v>2015</v>
      </c>
      <c r="E326" s="91"/>
      <c r="F326" s="98" t="str">
        <f t="shared" si="193"/>
        <v>Actual</v>
      </c>
      <c r="G326" s="93">
        <v>87686.125007903902</v>
      </c>
      <c r="H326" s="32" t="str">
        <f t="shared" si="192"/>
        <v>Board-approved</v>
      </c>
      <c r="I326" s="100">
        <v>94081.120095730163</v>
      </c>
      <c r="J326" s="91"/>
      <c r="K326" s="94" t="str">
        <f t="shared" si="194"/>
        <v>Actual</v>
      </c>
      <c r="L326" s="95">
        <v>2188738020.2970076</v>
      </c>
      <c r="M326" s="95">
        <v>2169083368.8414426</v>
      </c>
      <c r="N326" s="37" t="str">
        <f t="shared" si="195"/>
        <v>Board-approved</v>
      </c>
      <c r="O326" s="35">
        <v>2215826849.1845155</v>
      </c>
      <c r="P326" s="91"/>
      <c r="Q326" s="96" t="str">
        <f t="shared" si="196"/>
        <v>Actual</v>
      </c>
      <c r="R326" s="97">
        <f t="shared" si="197"/>
        <v>24961.053075383566</v>
      </c>
      <c r="S326" s="63">
        <f t="shared" si="198"/>
        <v>24736.905281718453</v>
      </c>
      <c r="T326" s="63" t="str">
        <f t="shared" si="199"/>
        <v>Board-approved</v>
      </c>
      <c r="U326" s="63">
        <f t="shared" si="200"/>
        <v>23552.300896607627</v>
      </c>
      <c r="V326" s="28"/>
    </row>
    <row r="327" spans="2:22" x14ac:dyDescent="0.25">
      <c r="C327" s="26" t="s">
        <v>27</v>
      </c>
      <c r="D327" s="27">
        <f t="shared" si="191"/>
        <v>2016</v>
      </c>
      <c r="E327" s="91"/>
      <c r="F327" s="98" t="str">
        <f t="shared" si="193"/>
        <v>Actual</v>
      </c>
      <c r="G327" s="93">
        <v>88878</v>
      </c>
      <c r="H327" s="32" t="str">
        <f t="shared" si="192"/>
        <v/>
      </c>
      <c r="I327" s="35"/>
      <c r="J327" s="91"/>
      <c r="K327" s="94" t="str">
        <f t="shared" si="194"/>
        <v>Actual</v>
      </c>
      <c r="L327" s="95">
        <v>2131696813.5450876</v>
      </c>
      <c r="M327" s="95">
        <v>2154853613.04602</v>
      </c>
      <c r="N327" s="37" t="str">
        <f t="shared" si="195"/>
        <v/>
      </c>
      <c r="O327" s="35"/>
      <c r="P327" s="91"/>
      <c r="Q327" s="96" t="str">
        <f t="shared" si="196"/>
        <v>Actual</v>
      </c>
      <c r="R327" s="97">
        <f t="shared" si="197"/>
        <v>23984.527256971214</v>
      </c>
      <c r="S327" s="63">
        <f t="shared" si="198"/>
        <v>24245.073168230832</v>
      </c>
      <c r="T327" s="63" t="str">
        <f t="shared" si="199"/>
        <v/>
      </c>
      <c r="U327" s="63" t="str">
        <f t="shared" si="200"/>
        <v/>
      </c>
      <c r="V327" s="28"/>
    </row>
    <row r="328" spans="2:22" x14ac:dyDescent="0.25">
      <c r="C328" s="26" t="s">
        <v>30</v>
      </c>
      <c r="D328" s="27">
        <f t="shared" si="191"/>
        <v>2017</v>
      </c>
      <c r="E328" s="91"/>
      <c r="F328" s="98" t="str">
        <f t="shared" si="193"/>
        <v>Forecast</v>
      </c>
      <c r="G328" s="93">
        <v>88817.215113084574</v>
      </c>
      <c r="H328" s="32" t="str">
        <f t="shared" si="192"/>
        <v/>
      </c>
      <c r="I328" s="35"/>
      <c r="J328" s="91"/>
      <c r="K328" s="94" t="str">
        <f t="shared" si="194"/>
        <v>Forecast</v>
      </c>
      <c r="L328" s="102"/>
      <c r="M328" s="103">
        <v>2145791592.0423679</v>
      </c>
      <c r="N328" s="37" t="str">
        <f t="shared" si="195"/>
        <v/>
      </c>
      <c r="O328" s="35"/>
      <c r="P328" s="91"/>
      <c r="Q328" s="96" t="str">
        <f t="shared" si="196"/>
        <v>Forecast</v>
      </c>
      <c r="R328" s="97">
        <f t="shared" si="197"/>
        <v>0</v>
      </c>
      <c r="S328" s="63">
        <f t="shared" si="198"/>
        <v>24159.636049275872</v>
      </c>
      <c r="T328" s="63" t="str">
        <f t="shared" si="199"/>
        <v/>
      </c>
      <c r="U328" s="63" t="str">
        <f t="shared" si="200"/>
        <v/>
      </c>
      <c r="V328" s="28"/>
    </row>
    <row r="329" spans="2:22" ht="15.75" thickBot="1" x14ac:dyDescent="0.3">
      <c r="C329" s="39" t="s">
        <v>32</v>
      </c>
      <c r="D329" s="104">
        <v>2018</v>
      </c>
      <c r="E329" s="18"/>
      <c r="F329" s="105" t="str">
        <f t="shared" si="193"/>
        <v>Forecast</v>
      </c>
      <c r="G329" s="106">
        <v>88483.899806478017</v>
      </c>
      <c r="H329" s="44" t="str">
        <f t="shared" si="192"/>
        <v/>
      </c>
      <c r="I329" s="46"/>
      <c r="J329" s="18"/>
      <c r="K329" s="108" t="str">
        <f t="shared" si="194"/>
        <v>Forecast</v>
      </c>
      <c r="L329" s="109"/>
      <c r="M329" s="110">
        <v>2104034979.8355601</v>
      </c>
      <c r="N329" s="111" t="str">
        <f t="shared" si="195"/>
        <v/>
      </c>
      <c r="O329" s="46"/>
      <c r="P329" s="18"/>
      <c r="Q329" s="112" t="str">
        <f t="shared" si="196"/>
        <v>Forecast</v>
      </c>
      <c r="R329" s="113">
        <f t="shared" si="197"/>
        <v>0</v>
      </c>
      <c r="S329" s="71">
        <f t="shared" si="198"/>
        <v>23778.732452313558</v>
      </c>
      <c r="T329" s="71" t="str">
        <f t="shared" si="199"/>
        <v/>
      </c>
      <c r="U329" s="71" t="str">
        <f t="shared" si="200"/>
        <v/>
      </c>
      <c r="V329" s="28"/>
    </row>
    <row r="330" spans="2:22" ht="15.75" thickBot="1" x14ac:dyDescent="0.3">
      <c r="B330" s="63"/>
      <c r="C330" s="114"/>
      <c r="I330" s="52">
        <f>SUM(I323:I328)</f>
        <v>94081.120095730163</v>
      </c>
      <c r="O330" s="52">
        <f>SUM(O323:O328)</f>
        <v>2215826849.1845155</v>
      </c>
      <c r="U330" s="52">
        <f>SUM(U323:U328)</f>
        <v>23552.300896607627</v>
      </c>
    </row>
    <row r="331" spans="2:22" ht="39" thickBot="1" x14ac:dyDescent="0.3">
      <c r="C331" s="115" t="s">
        <v>33</v>
      </c>
      <c r="D331" s="116" t="s">
        <v>34</v>
      </c>
      <c r="E331" s="48"/>
      <c r="F331" s="48"/>
      <c r="G331" s="270" t="s">
        <v>35</v>
      </c>
      <c r="H331" s="48"/>
      <c r="I331" s="60" t="s">
        <v>44</v>
      </c>
      <c r="J331" s="117"/>
      <c r="K331" s="58" t="s">
        <v>34</v>
      </c>
      <c r="L331" s="308" t="s">
        <v>35</v>
      </c>
      <c r="M331" s="308"/>
      <c r="N331" s="48"/>
      <c r="O331" s="60" t="str">
        <f>I331</f>
        <v>Test Year Versus Board-approved</v>
      </c>
      <c r="P331" s="118"/>
      <c r="Q331" s="58" t="s">
        <v>34</v>
      </c>
      <c r="R331" s="308" t="s">
        <v>35</v>
      </c>
      <c r="S331" s="308"/>
      <c r="T331" s="48"/>
      <c r="U331" s="60" t="str">
        <f>O331</f>
        <v>Test Year Versus Board-approved</v>
      </c>
    </row>
    <row r="332" spans="2:22" x14ac:dyDescent="0.25">
      <c r="C332" s="91"/>
      <c r="D332" s="119">
        <f t="shared" ref="D332:D338" si="201">D323</f>
        <v>2012</v>
      </c>
      <c r="E332" s="63"/>
      <c r="F332" s="63"/>
      <c r="G332" s="120"/>
      <c r="H332" s="63"/>
      <c r="I332" s="121"/>
      <c r="J332" s="122"/>
      <c r="K332" s="27">
        <f>D332</f>
        <v>2012</v>
      </c>
      <c r="L332" s="65"/>
      <c r="M332" s="65"/>
      <c r="N332" s="63"/>
      <c r="O332" s="35"/>
      <c r="P332" s="91"/>
      <c r="Q332" s="27">
        <f>K332</f>
        <v>2012</v>
      </c>
      <c r="R332" s="123"/>
      <c r="S332" s="123"/>
      <c r="T332" s="63"/>
      <c r="U332" s="35"/>
    </row>
    <row r="333" spans="2:22" x14ac:dyDescent="0.25">
      <c r="C333" s="91"/>
      <c r="D333" s="124">
        <f t="shared" si="201"/>
        <v>2013</v>
      </c>
      <c r="E333" s="63"/>
      <c r="F333" s="63"/>
      <c r="G333" s="125">
        <f t="shared" ref="G333:G338" si="202">IF(G323=0,"",G324/G323-1)</f>
        <v>5.5446369301703768E-4</v>
      </c>
      <c r="H333" s="63"/>
      <c r="I333" s="121"/>
      <c r="J333" s="122"/>
      <c r="K333" s="27">
        <f t="shared" ref="K333:K339" si="203">D333</f>
        <v>2013</v>
      </c>
      <c r="L333" s="67">
        <f t="shared" ref="L333:M336" si="204">IF(L323=0,"",L324/L323-1)</f>
        <v>-4.7671625360227399E-2</v>
      </c>
      <c r="M333" s="67">
        <f t="shared" si="204"/>
        <v>-7.7565386180980411E-2</v>
      </c>
      <c r="N333" s="63"/>
      <c r="O333" s="35"/>
      <c r="P333" s="91"/>
      <c r="Q333" s="27">
        <f t="shared" ref="Q333:Q339" si="205">K333</f>
        <v>2013</v>
      </c>
      <c r="R333" s="125">
        <f>IF(R323="","",IF(R323=0,"",R324/R323-1))</f>
        <v>-4.819936425573812E-2</v>
      </c>
      <c r="S333" s="125">
        <f>IF(S323="","",IF(S323=0,"",S324/S323-1))</f>
        <v>-7.8076559256613831E-2</v>
      </c>
      <c r="T333" s="63"/>
      <c r="U333" s="35"/>
    </row>
    <row r="334" spans="2:22" x14ac:dyDescent="0.25">
      <c r="C334" s="91"/>
      <c r="D334" s="124">
        <f t="shared" si="201"/>
        <v>2014</v>
      </c>
      <c r="E334" s="63"/>
      <c r="F334" s="63"/>
      <c r="G334" s="125">
        <f t="shared" si="202"/>
        <v>-3.1091567629231376E-2</v>
      </c>
      <c r="H334" s="63"/>
      <c r="I334" s="121"/>
      <c r="J334" s="122"/>
      <c r="K334" s="27">
        <f t="shared" si="203"/>
        <v>2014</v>
      </c>
      <c r="L334" s="67">
        <f t="shared" si="204"/>
        <v>-1.6838113946829769E-2</v>
      </c>
      <c r="M334" s="67">
        <f t="shared" si="204"/>
        <v>-6.318458917968417E-2</v>
      </c>
      <c r="N334" s="63"/>
      <c r="O334" s="35"/>
      <c r="P334" s="91"/>
      <c r="Q334" s="27">
        <f t="shared" si="205"/>
        <v>2014</v>
      </c>
      <c r="R334" s="125">
        <f t="shared" ref="R334:S338" si="206">IF(R324="","",IF(R324=0,"",R325/R324-1))</f>
        <v>1.471083665514783E-2</v>
      </c>
      <c r="S334" s="125">
        <f t="shared" si="206"/>
        <v>-3.3122863294652305E-2</v>
      </c>
      <c r="T334" s="63"/>
      <c r="U334" s="35"/>
    </row>
    <row r="335" spans="2:22" x14ac:dyDescent="0.25">
      <c r="C335" s="91"/>
      <c r="D335" s="124">
        <f t="shared" si="201"/>
        <v>2015</v>
      </c>
      <c r="E335" s="63"/>
      <c r="F335" s="63"/>
      <c r="G335" s="125">
        <f t="shared" si="202"/>
        <v>-8.1849522968871158E-2</v>
      </c>
      <c r="H335" s="63"/>
      <c r="I335" s="121"/>
      <c r="J335" s="122"/>
      <c r="K335" s="27">
        <f t="shared" si="203"/>
        <v>2015</v>
      </c>
      <c r="L335" s="67">
        <f t="shared" si="204"/>
        <v>-7.1757273293517998E-2</v>
      </c>
      <c r="M335" s="67">
        <f t="shared" si="204"/>
        <v>-2.705444926789935E-2</v>
      </c>
      <c r="N335" s="63"/>
      <c r="O335" s="35"/>
      <c r="P335" s="91"/>
      <c r="Q335" s="27">
        <f t="shared" si="205"/>
        <v>2015</v>
      </c>
      <c r="R335" s="125">
        <f t="shared" si="206"/>
        <v>1.0991934250240476E-2</v>
      </c>
      <c r="S335" s="125">
        <f t="shared" si="206"/>
        <v>5.9679840147939034E-2</v>
      </c>
      <c r="T335" s="63"/>
      <c r="U335" s="35"/>
    </row>
    <row r="336" spans="2:22" x14ac:dyDescent="0.25">
      <c r="C336" s="91"/>
      <c r="D336" s="124">
        <f t="shared" si="201"/>
        <v>2016</v>
      </c>
      <c r="E336" s="63"/>
      <c r="F336" s="63"/>
      <c r="G336" s="125">
        <f t="shared" si="202"/>
        <v>1.3592515258128435E-2</v>
      </c>
      <c r="H336" s="63"/>
      <c r="I336" s="121"/>
      <c r="J336" s="122"/>
      <c r="K336" s="27">
        <f t="shared" si="203"/>
        <v>2016</v>
      </c>
      <c r="L336" s="67">
        <f t="shared" si="204"/>
        <v>-2.6061230820205505E-2</v>
      </c>
      <c r="M336" s="67">
        <f t="shared" si="204"/>
        <v>-6.5602622747612527E-3</v>
      </c>
      <c r="N336" s="63"/>
      <c r="O336" s="35"/>
      <c r="P336" s="91"/>
      <c r="Q336" s="27">
        <f t="shared" si="205"/>
        <v>2016</v>
      </c>
      <c r="R336" s="125">
        <f t="shared" si="206"/>
        <v>-3.9121979968681497E-2</v>
      </c>
      <c r="S336" s="125">
        <f t="shared" si="206"/>
        <v>-1.9882524021753945E-2</v>
      </c>
      <c r="T336" s="63"/>
      <c r="U336" s="35"/>
    </row>
    <row r="337" spans="3:21" x14ac:dyDescent="0.25">
      <c r="C337" s="91"/>
      <c r="D337" s="124">
        <f t="shared" si="201"/>
        <v>2017</v>
      </c>
      <c r="E337" s="63"/>
      <c r="F337" s="63"/>
      <c r="G337" s="125">
        <f t="shared" si="202"/>
        <v>-6.8391375723375614E-4</v>
      </c>
      <c r="H337" s="63"/>
      <c r="I337" s="121"/>
      <c r="J337" s="122"/>
      <c r="K337" s="27">
        <f t="shared" si="203"/>
        <v>2017</v>
      </c>
      <c r="L337" s="67" t="str">
        <f>IF(K328="Forecast","",IF(L327=0,"",L328/L327-1))</f>
        <v/>
      </c>
      <c r="M337" s="67">
        <f>IF(M327=0,"",M328/M327-1)</f>
        <v>-4.2053998233515522E-3</v>
      </c>
      <c r="N337" s="63"/>
      <c r="O337" s="35"/>
      <c r="P337" s="91"/>
      <c r="Q337" s="27">
        <f t="shared" si="205"/>
        <v>2017</v>
      </c>
      <c r="R337" s="125" t="str">
        <f>IF(Q328="Forecast","",IF(R327=0,"",R328/R327-1))</f>
        <v/>
      </c>
      <c r="S337" s="125">
        <f t="shared" si="206"/>
        <v>-3.5238961071444308E-3</v>
      </c>
      <c r="T337" s="63"/>
      <c r="U337" s="35"/>
    </row>
    <row r="338" spans="3:21" x14ac:dyDescent="0.25">
      <c r="C338" s="91"/>
      <c r="D338" s="124">
        <f t="shared" si="201"/>
        <v>2018</v>
      </c>
      <c r="E338" s="63"/>
      <c r="F338" s="63"/>
      <c r="G338" s="125">
        <f t="shared" si="202"/>
        <v>-3.7528232131819328E-3</v>
      </c>
      <c r="H338" s="63"/>
      <c r="I338" s="127">
        <f>IF(I330=0,"",G329/I330-1)</f>
        <v>-5.9493554961471684E-2</v>
      </c>
      <c r="J338" s="122"/>
      <c r="K338" s="27">
        <f t="shared" si="203"/>
        <v>2018</v>
      </c>
      <c r="L338" s="67" t="str">
        <f>IF(K329="Forecast","",IF(L328=0,"",L329/L328-1))</f>
        <v/>
      </c>
      <c r="M338" s="67">
        <f>IF(M328=0,"",M329/M328-1)</f>
        <v>-1.9459770632740625E-2</v>
      </c>
      <c r="N338" s="63"/>
      <c r="O338" s="127">
        <f>IF(O330=0,"",M329/O330-1)</f>
        <v>-5.0451536585585544E-2</v>
      </c>
      <c r="P338" s="91"/>
      <c r="Q338" s="27">
        <f t="shared" si="205"/>
        <v>2018</v>
      </c>
      <c r="R338" s="125" t="str">
        <f>IF(Q329="Forecast","",IF(R328=0,"",R329/R328-1))</f>
        <v/>
      </c>
      <c r="S338" s="125">
        <f t="shared" si="206"/>
        <v>-1.5766114861392233E-2</v>
      </c>
      <c r="T338" s="63"/>
      <c r="U338" s="127">
        <f>IF(U330=0,"",S329/U330-1)</f>
        <v>9.6139887436028637E-3</v>
      </c>
    </row>
    <row r="339" spans="3:21" ht="30.75" thickBot="1" x14ac:dyDescent="0.3">
      <c r="C339" s="18"/>
      <c r="D339" s="128" t="s">
        <v>37</v>
      </c>
      <c r="E339" s="71"/>
      <c r="F339" s="71"/>
      <c r="G339" s="129">
        <f>IF(G323=0,"",(G329/G323)^(1/($D329-$D323-1))-1)</f>
        <v>-2.1244665485951275E-2</v>
      </c>
      <c r="H339" s="287"/>
      <c r="I339" s="286">
        <f>IF(I330=0,"",(G329/I330)^(1/(TestYear-RebaseYear-1))-1)</f>
        <v>-5.9493554961471684E-2</v>
      </c>
      <c r="J339" s="74"/>
      <c r="K339" s="75" t="str">
        <f t="shared" si="203"/>
        <v>Geometric Mean</v>
      </c>
      <c r="L339" s="129">
        <f>IF(L323=0,"",(L327/L323)^(1/($D327-$D323-1))-1)</f>
        <v>-5.4049693113645381E-2</v>
      </c>
      <c r="M339" s="129">
        <f>IF(M323=0,"",(M329/M323)^(1/($D329-$D323-1))-1)</f>
        <v>-3.9956364072666228E-2</v>
      </c>
      <c r="N339" s="287"/>
      <c r="O339" s="286">
        <f>IF(O330=0,"",(M329/O330)^(1/(TestYear-RebaseYear-1))-1)</f>
        <v>-5.0451536585585544E-2</v>
      </c>
      <c r="P339" s="18"/>
      <c r="Q339" s="75" t="str">
        <f t="shared" si="205"/>
        <v>Geometric Mean</v>
      </c>
      <c r="R339" s="129">
        <f>IF(R323="","",IF(R323=0,"",(R327/R323)^(1/($D327-$D323-1))-1))</f>
        <v>-2.1032938681942115E-2</v>
      </c>
      <c r="S339" s="129">
        <f>IF(S323="","",IF(S323=0,"",(S329/S323)^(1/($D329-$D323-1))-1))</f>
        <v>-1.9117850934631364E-2</v>
      </c>
      <c r="T339" s="287"/>
      <c r="U339" s="286">
        <f>IF(U330=0,"",(S329/U330)^(1/(TestYear-RebaseYear-1))-1)</f>
        <v>9.6139887436028637E-3</v>
      </c>
    </row>
    <row r="341" spans="3:21" ht="15.75" thickBot="1" x14ac:dyDescent="0.3">
      <c r="Q341" s="71"/>
      <c r="R341" s="71"/>
      <c r="S341" s="71"/>
      <c r="T341" s="71"/>
      <c r="U341" s="71"/>
    </row>
    <row r="342" spans="3:21" ht="14.65" customHeight="1" x14ac:dyDescent="0.25">
      <c r="C342" s="13"/>
      <c r="D342" s="14" t="s">
        <v>23</v>
      </c>
      <c r="E342" s="14"/>
      <c r="F342" s="297" t="s">
        <v>10</v>
      </c>
      <c r="G342" s="298"/>
      <c r="H342" s="298"/>
      <c r="I342" s="299"/>
      <c r="K342" s="300" t="str">
        <f>IF(ISBLANK(N319),"",CONCATENATE("Demand (",N319,")"))</f>
        <v>Demand (kWh)</v>
      </c>
      <c r="L342" s="301"/>
      <c r="M342" s="301"/>
      <c r="N342" s="301"/>
      <c r="O342" s="302"/>
      <c r="Q342" s="303" t="str">
        <f>CONCATENATE("Demand (",N319,") per ",LEFT(F321,LEN(F321)-1))</f>
        <v>Demand (kWh) per Customer</v>
      </c>
      <c r="R342" s="304"/>
      <c r="S342" s="304"/>
      <c r="T342" s="304"/>
      <c r="U342" s="305"/>
    </row>
    <row r="343" spans="3:21" ht="39" thickBot="1" x14ac:dyDescent="0.3">
      <c r="C343" s="18"/>
      <c r="D343" s="19" t="str">
        <f>CONCATENATE("(for ",TestYear," Cost of Service")</f>
        <v>(for 2017 Cost of Service</v>
      </c>
      <c r="E343" s="26"/>
      <c r="F343" s="306"/>
      <c r="G343" s="307"/>
      <c r="H343" s="307"/>
      <c r="I343" s="86"/>
      <c r="K343" s="22"/>
      <c r="L343" s="23" t="s">
        <v>25</v>
      </c>
      <c r="M343" s="23" t="s">
        <v>26</v>
      </c>
      <c r="N343" s="24"/>
      <c r="O343" s="25" t="str">
        <f>M343</f>
        <v>Weather-normalized</v>
      </c>
      <c r="Q343" s="132"/>
      <c r="R343" s="23" t="str">
        <f>L343</f>
        <v>Actual (Weather actual)</v>
      </c>
      <c r="S343" s="23" t="str">
        <f>M343</f>
        <v>Weather-normalized</v>
      </c>
      <c r="T343" s="23"/>
      <c r="U343" s="133" t="str">
        <f>O343</f>
        <v>Weather-normalized</v>
      </c>
    </row>
    <row r="344" spans="3:21" x14ac:dyDescent="0.25">
      <c r="C344" s="26" t="s">
        <v>27</v>
      </c>
      <c r="D344" s="27">
        <f t="shared" ref="D344:D349" si="207">D345-1</f>
        <v>2012</v>
      </c>
      <c r="E344" s="91"/>
      <c r="F344" s="92" t="str">
        <f t="shared" ref="F344:F350" si="208">F323</f>
        <v>Actual</v>
      </c>
      <c r="G344" s="134">
        <v>141128339.75740492</v>
      </c>
      <c r="H344" s="31" t="s">
        <v>50</v>
      </c>
      <c r="I344" s="135"/>
      <c r="K344" s="94" t="str">
        <f t="shared" ref="K344:K350" si="209">K323</f>
        <v>Actual</v>
      </c>
      <c r="L344" s="95"/>
      <c r="M344" s="95"/>
      <c r="N344" s="37" t="str">
        <f t="shared" ref="N344:N350" si="210">N323</f>
        <v/>
      </c>
      <c r="O344" s="35"/>
      <c r="Q344" s="96" t="str">
        <f>K344</f>
        <v>Actual</v>
      </c>
      <c r="R344" s="63">
        <f>IF(G344=0,"",L344/G344)</f>
        <v>0</v>
      </c>
      <c r="S344" s="28">
        <f>IF(G344=0,"",M344/G344)</f>
        <v>0</v>
      </c>
      <c r="T344" s="28" t="str">
        <f>N344</f>
        <v/>
      </c>
      <c r="U344" s="91" t="str">
        <f>IF(T344="","",IF(I344=0,"",O344/I344))</f>
        <v/>
      </c>
    </row>
    <row r="345" spans="3:21" x14ac:dyDescent="0.25">
      <c r="C345" s="26" t="s">
        <v>27</v>
      </c>
      <c r="D345" s="27">
        <f t="shared" si="207"/>
        <v>2013</v>
      </c>
      <c r="E345" s="91"/>
      <c r="F345" s="98" t="str">
        <f t="shared" si="208"/>
        <v>Actual</v>
      </c>
      <c r="G345" s="134">
        <v>137904580.41558754</v>
      </c>
      <c r="H345" s="31" t="s">
        <v>50</v>
      </c>
      <c r="I345" s="35"/>
      <c r="K345" s="94" t="str">
        <f t="shared" si="209"/>
        <v>Actual</v>
      </c>
      <c r="L345" s="95"/>
      <c r="M345" s="95"/>
      <c r="N345" s="37" t="str">
        <f t="shared" si="210"/>
        <v/>
      </c>
      <c r="O345" s="35"/>
      <c r="Q345" s="96" t="str">
        <f t="shared" ref="Q345:Q350" si="211">K345</f>
        <v>Actual</v>
      </c>
      <c r="R345" s="63">
        <f t="shared" ref="R345:R350" si="212">IF(G345=0,"",L345/G345)</f>
        <v>0</v>
      </c>
      <c r="S345" s="28">
        <f t="shared" ref="S345:S350" si="213">IF(G345=0,"",M345/G345)</f>
        <v>0</v>
      </c>
      <c r="T345" s="28" t="str">
        <f t="shared" ref="T345:T350" si="214">N345</f>
        <v/>
      </c>
      <c r="U345" s="91" t="str">
        <f t="shared" ref="U345:U350" si="215">IF(T345="","",IF(I345=0,"",O345/I345))</f>
        <v/>
      </c>
    </row>
    <row r="346" spans="3:21" x14ac:dyDescent="0.25">
      <c r="C346" s="26" t="s">
        <v>27</v>
      </c>
      <c r="D346" s="27">
        <f t="shared" si="207"/>
        <v>2014</v>
      </c>
      <c r="E346" s="91"/>
      <c r="F346" s="98" t="str">
        <f t="shared" si="208"/>
        <v>Actual</v>
      </c>
      <c r="G346" s="134">
        <v>136462236.1148718</v>
      </c>
      <c r="H346" s="31" t="s">
        <v>50</v>
      </c>
      <c r="I346" s="136"/>
      <c r="K346" s="94" t="str">
        <f t="shared" si="209"/>
        <v>Actual</v>
      </c>
      <c r="L346" s="95"/>
      <c r="M346" s="95"/>
      <c r="N346" s="37" t="str">
        <f t="shared" si="210"/>
        <v/>
      </c>
      <c r="O346" s="36"/>
      <c r="Q346" s="96" t="str">
        <f t="shared" si="211"/>
        <v>Actual</v>
      </c>
      <c r="R346" s="63">
        <f t="shared" si="212"/>
        <v>0</v>
      </c>
      <c r="S346" s="28">
        <f t="shared" si="213"/>
        <v>0</v>
      </c>
      <c r="T346" s="28" t="str">
        <f t="shared" si="214"/>
        <v/>
      </c>
      <c r="U346" s="91" t="str">
        <f t="shared" si="215"/>
        <v/>
      </c>
    </row>
    <row r="347" spans="3:21" x14ac:dyDescent="0.25">
      <c r="C347" s="26" t="s">
        <v>27</v>
      </c>
      <c r="D347" s="27">
        <f t="shared" si="207"/>
        <v>2015</v>
      </c>
      <c r="E347" s="91"/>
      <c r="F347" s="98" t="str">
        <f t="shared" si="208"/>
        <v>Actual</v>
      </c>
      <c r="G347" s="134">
        <v>144167215.4073</v>
      </c>
      <c r="H347" s="31" t="s">
        <v>29</v>
      </c>
      <c r="I347" s="137">
        <v>155656012.59629413</v>
      </c>
      <c r="K347" s="94" t="str">
        <f t="shared" si="209"/>
        <v>Actual</v>
      </c>
      <c r="L347" s="95"/>
      <c r="M347" s="95"/>
      <c r="N347" s="37" t="str">
        <f t="shared" si="210"/>
        <v>Board-approved</v>
      </c>
      <c r="O347" s="35"/>
      <c r="Q347" s="96" t="str">
        <f t="shared" si="211"/>
        <v>Actual</v>
      </c>
      <c r="R347" s="63">
        <f t="shared" si="212"/>
        <v>0</v>
      </c>
      <c r="S347" s="28">
        <f t="shared" si="213"/>
        <v>0</v>
      </c>
      <c r="T347" s="28" t="str">
        <f t="shared" si="214"/>
        <v>Board-approved</v>
      </c>
      <c r="U347" s="91">
        <f t="shared" si="215"/>
        <v>0</v>
      </c>
    </row>
    <row r="348" spans="3:21" x14ac:dyDescent="0.25">
      <c r="C348" s="26" t="s">
        <v>27</v>
      </c>
      <c r="D348" s="27">
        <f t="shared" si="207"/>
        <v>2016</v>
      </c>
      <c r="E348" s="91"/>
      <c r="F348" s="98" t="str">
        <f t="shared" si="208"/>
        <v>Actual</v>
      </c>
      <c r="G348" s="134">
        <v>149813546.44258845</v>
      </c>
      <c r="H348" s="31" t="s">
        <v>50</v>
      </c>
      <c r="I348" s="35"/>
      <c r="K348" s="94" t="str">
        <f t="shared" si="209"/>
        <v>Actual</v>
      </c>
      <c r="L348" s="95"/>
      <c r="M348" s="95"/>
      <c r="N348" s="37" t="str">
        <f t="shared" si="210"/>
        <v/>
      </c>
      <c r="O348" s="35"/>
      <c r="Q348" s="96" t="str">
        <f t="shared" si="211"/>
        <v>Actual</v>
      </c>
      <c r="R348" s="63">
        <f t="shared" si="212"/>
        <v>0</v>
      </c>
      <c r="S348" s="28">
        <f t="shared" si="213"/>
        <v>0</v>
      </c>
      <c r="T348" s="28" t="str">
        <f t="shared" si="214"/>
        <v/>
      </c>
      <c r="U348" s="91" t="str">
        <f t="shared" si="215"/>
        <v/>
      </c>
    </row>
    <row r="349" spans="3:21" x14ac:dyDescent="0.25">
      <c r="C349" s="26" t="s">
        <v>45</v>
      </c>
      <c r="D349" s="27">
        <f t="shared" si="207"/>
        <v>2017</v>
      </c>
      <c r="E349" s="91"/>
      <c r="F349" s="98" t="str">
        <f t="shared" si="208"/>
        <v>Forecast</v>
      </c>
      <c r="G349" s="134">
        <v>149868358.5767926</v>
      </c>
      <c r="H349" s="31" t="s">
        <v>50</v>
      </c>
      <c r="I349" s="35"/>
      <c r="K349" s="94" t="str">
        <f t="shared" si="209"/>
        <v>Forecast</v>
      </c>
      <c r="L349" s="102"/>
      <c r="M349" s="138"/>
      <c r="N349" s="37" t="str">
        <f t="shared" si="210"/>
        <v/>
      </c>
      <c r="O349" s="35"/>
      <c r="Q349" s="96" t="str">
        <f t="shared" si="211"/>
        <v>Forecast</v>
      </c>
      <c r="R349" s="63">
        <f t="shared" si="212"/>
        <v>0</v>
      </c>
      <c r="S349" s="28">
        <f t="shared" si="213"/>
        <v>0</v>
      </c>
      <c r="T349" s="28" t="str">
        <f t="shared" si="214"/>
        <v/>
      </c>
      <c r="U349" s="91" t="str">
        <f t="shared" si="215"/>
        <v/>
      </c>
    </row>
    <row r="350" spans="3:21" ht="15.75" thickBot="1" x14ac:dyDescent="0.3">
      <c r="C350" s="39" t="s">
        <v>46</v>
      </c>
      <c r="D350" s="104">
        <v>2018</v>
      </c>
      <c r="E350" s="18"/>
      <c r="F350" s="105" t="str">
        <f t="shared" si="208"/>
        <v>Forecast</v>
      </c>
      <c r="G350" s="139">
        <v>155943148.21889243</v>
      </c>
      <c r="H350" s="43" t="s">
        <v>50</v>
      </c>
      <c r="I350" s="46"/>
      <c r="K350" s="108" t="str">
        <f t="shared" si="209"/>
        <v>Forecast</v>
      </c>
      <c r="L350" s="109"/>
      <c r="M350" s="140"/>
      <c r="N350" s="111" t="str">
        <f t="shared" si="210"/>
        <v/>
      </c>
      <c r="O350" s="46"/>
      <c r="Q350" s="141" t="str">
        <f t="shared" si="211"/>
        <v>Forecast</v>
      </c>
      <c r="R350" s="40">
        <f t="shared" si="212"/>
        <v>0</v>
      </c>
      <c r="S350" s="40">
        <f t="shared" si="213"/>
        <v>0</v>
      </c>
      <c r="T350" s="40" t="str">
        <f t="shared" si="214"/>
        <v/>
      </c>
      <c r="U350" s="18" t="str">
        <f t="shared" si="215"/>
        <v/>
      </c>
    </row>
    <row r="351" spans="3:21" ht="15.75" thickBot="1" x14ac:dyDescent="0.3">
      <c r="C351" s="114"/>
      <c r="I351" s="52">
        <f>SUM(I344:I349)</f>
        <v>155656012.59629413</v>
      </c>
      <c r="J351" s="63"/>
      <c r="O351" s="52">
        <f>SUM(O344:O349)</f>
        <v>0</v>
      </c>
      <c r="U351" s="52">
        <f>SUM(U344:U349)</f>
        <v>0</v>
      </c>
    </row>
    <row r="352" spans="3:21" ht="39" thickBot="1" x14ac:dyDescent="0.3">
      <c r="C352" s="115" t="s">
        <v>33</v>
      </c>
      <c r="D352" s="116" t="s">
        <v>34</v>
      </c>
      <c r="E352" s="270"/>
      <c r="F352" s="270"/>
      <c r="G352" s="270" t="s">
        <v>35</v>
      </c>
      <c r="H352" s="270"/>
      <c r="I352" s="60" t="str">
        <f>I331</f>
        <v>Test Year Versus Board-approved</v>
      </c>
      <c r="J352" s="142"/>
      <c r="K352" s="58" t="s">
        <v>34</v>
      </c>
      <c r="L352" s="308" t="s">
        <v>35</v>
      </c>
      <c r="M352" s="308"/>
      <c r="N352" s="270"/>
      <c r="O352" s="60" t="str">
        <f>I352</f>
        <v>Test Year Versus Board-approved</v>
      </c>
      <c r="P352" s="143"/>
      <c r="Q352" s="58" t="s">
        <v>34</v>
      </c>
      <c r="R352" s="308" t="s">
        <v>35</v>
      </c>
      <c r="S352" s="308"/>
      <c r="T352" s="270"/>
      <c r="U352" s="60" t="str">
        <f>O352</f>
        <v>Test Year Versus Board-approved</v>
      </c>
    </row>
    <row r="353" spans="2:22" x14ac:dyDescent="0.25">
      <c r="C353" s="91"/>
      <c r="D353" s="144">
        <f>D344</f>
        <v>2012</v>
      </c>
      <c r="E353" s="51"/>
      <c r="F353" s="63"/>
      <c r="G353" s="120"/>
      <c r="H353" s="63"/>
      <c r="I353" s="121"/>
      <c r="J353" s="91"/>
      <c r="K353" s="27">
        <f>D353</f>
        <v>2012</v>
      </c>
      <c r="L353" s="65"/>
      <c r="M353" s="65"/>
      <c r="N353" s="63"/>
      <c r="O353" s="145"/>
      <c r="P353" s="91"/>
      <c r="Q353" s="27">
        <f>K353</f>
        <v>2012</v>
      </c>
      <c r="R353" s="123"/>
      <c r="S353" s="123"/>
      <c r="T353" s="63"/>
      <c r="U353" s="35"/>
    </row>
    <row r="354" spans="2:22" x14ac:dyDescent="0.25">
      <c r="C354" s="91"/>
      <c r="D354" s="124">
        <f>D345</f>
        <v>2013</v>
      </c>
      <c r="E354" s="63"/>
      <c r="F354" s="63"/>
      <c r="G354" s="125">
        <f>IF(G344=0,"",G345/G344-1)</f>
        <v>-2.2842749708236632E-2</v>
      </c>
      <c r="H354" s="63"/>
      <c r="I354" s="121"/>
      <c r="J354" s="91"/>
      <c r="K354" s="27">
        <f t="shared" ref="K354:K360" si="216">D354</f>
        <v>2013</v>
      </c>
      <c r="L354" s="67" t="str">
        <f>IF(L344=0,"",L345/L344-1)</f>
        <v/>
      </c>
      <c r="M354" s="67" t="str">
        <f>IF(M344=0,"",M345/M344-1)</f>
        <v/>
      </c>
      <c r="N354" s="63"/>
      <c r="O354" s="145"/>
      <c r="P354" s="91"/>
      <c r="Q354" s="27">
        <f t="shared" ref="Q354:Q360" si="217">K354</f>
        <v>2013</v>
      </c>
      <c r="R354" s="126" t="str">
        <f>IF(R344="","",IF(R344=0,"",R345/R344-1))</f>
        <v/>
      </c>
      <c r="S354" s="126" t="str">
        <f>IF(S344="","",IF(S344=0,"",S345/S344-1))</f>
        <v/>
      </c>
      <c r="T354" s="63"/>
      <c r="U354" s="35"/>
    </row>
    <row r="355" spans="2:22" x14ac:dyDescent="0.25">
      <c r="C355" s="91"/>
      <c r="D355" s="146">
        <f t="shared" ref="D355:D359" si="218">D346</f>
        <v>2014</v>
      </c>
      <c r="E355" s="63"/>
      <c r="F355" s="63"/>
      <c r="G355" s="125">
        <f t="shared" ref="G355:G359" si="219">IF(G345=0,"",G346/G345-1)</f>
        <v>-1.0459002132990225E-2</v>
      </c>
      <c r="H355" s="63"/>
      <c r="I355" s="121"/>
      <c r="J355" s="91"/>
      <c r="K355" s="27">
        <f t="shared" si="216"/>
        <v>2014</v>
      </c>
      <c r="L355" s="67" t="str">
        <f t="shared" ref="L355:M359" si="220">IF(L345=0,"",L346/L345-1)</f>
        <v/>
      </c>
      <c r="M355" s="67" t="str">
        <f t="shared" si="220"/>
        <v/>
      </c>
      <c r="N355" s="63"/>
      <c r="O355" s="145"/>
      <c r="P355" s="91"/>
      <c r="Q355" s="27">
        <f t="shared" si="217"/>
        <v>2014</v>
      </c>
      <c r="R355" s="126" t="str">
        <f t="shared" ref="R355:S359" si="221">IF(R345="","",IF(R345=0,"",R346/R345-1))</f>
        <v/>
      </c>
      <c r="S355" s="126" t="str">
        <f t="shared" si="221"/>
        <v/>
      </c>
      <c r="T355" s="63"/>
      <c r="U355" s="35"/>
    </row>
    <row r="356" spans="2:22" x14ac:dyDescent="0.25">
      <c r="C356" s="91"/>
      <c r="D356" s="124">
        <f t="shared" si="218"/>
        <v>2015</v>
      </c>
      <c r="E356" s="63"/>
      <c r="F356" s="63"/>
      <c r="G356" s="125">
        <f t="shared" si="219"/>
        <v>5.6462355533601682E-2</v>
      </c>
      <c r="H356" s="63"/>
      <c r="I356" s="121"/>
      <c r="J356" s="91"/>
      <c r="K356" s="27">
        <f t="shared" si="216"/>
        <v>2015</v>
      </c>
      <c r="L356" s="67" t="str">
        <f t="shared" si="220"/>
        <v/>
      </c>
      <c r="M356" s="67" t="str">
        <f t="shared" si="220"/>
        <v/>
      </c>
      <c r="N356" s="63"/>
      <c r="O356" s="145"/>
      <c r="P356" s="91"/>
      <c r="Q356" s="27">
        <f t="shared" si="217"/>
        <v>2015</v>
      </c>
      <c r="R356" s="126" t="str">
        <f t="shared" si="221"/>
        <v/>
      </c>
      <c r="S356" s="126" t="str">
        <f t="shared" si="221"/>
        <v/>
      </c>
      <c r="T356" s="63"/>
      <c r="U356" s="35"/>
    </row>
    <row r="357" spans="2:22" x14ac:dyDescent="0.25">
      <c r="C357" s="91"/>
      <c r="D357" s="124">
        <f t="shared" si="218"/>
        <v>2016</v>
      </c>
      <c r="E357" s="63"/>
      <c r="F357" s="63"/>
      <c r="G357" s="125">
        <f t="shared" si="219"/>
        <v>3.9165152904816036E-2</v>
      </c>
      <c r="H357" s="63"/>
      <c r="I357" s="121"/>
      <c r="J357" s="91"/>
      <c r="K357" s="27">
        <f t="shared" si="216"/>
        <v>2016</v>
      </c>
      <c r="L357" s="67" t="str">
        <f t="shared" si="220"/>
        <v/>
      </c>
      <c r="M357" s="67" t="str">
        <f t="shared" si="220"/>
        <v/>
      </c>
      <c r="N357" s="63"/>
      <c r="O357" s="145"/>
      <c r="P357" s="91"/>
      <c r="Q357" s="27">
        <f t="shared" si="217"/>
        <v>2016</v>
      </c>
      <c r="R357" s="126" t="str">
        <f t="shared" si="221"/>
        <v/>
      </c>
      <c r="S357" s="126" t="str">
        <f t="shared" si="221"/>
        <v/>
      </c>
      <c r="T357" s="63"/>
      <c r="U357" s="35"/>
    </row>
    <row r="358" spans="2:22" x14ac:dyDescent="0.25">
      <c r="C358" s="91"/>
      <c r="D358" s="124">
        <f t="shared" si="218"/>
        <v>2017</v>
      </c>
      <c r="E358" s="63"/>
      <c r="F358" s="63"/>
      <c r="G358" s="125">
        <f t="shared" si="219"/>
        <v>3.6586901188639942E-4</v>
      </c>
      <c r="H358" s="63"/>
      <c r="I358" s="121"/>
      <c r="J358" s="91"/>
      <c r="K358" s="27">
        <f t="shared" si="216"/>
        <v>2017</v>
      </c>
      <c r="L358" s="67" t="str">
        <f>IF(K349="Forecast","",IF(L348=0,"",L349/L348-1))</f>
        <v/>
      </c>
      <c r="M358" s="67" t="str">
        <f t="shared" si="220"/>
        <v/>
      </c>
      <c r="N358" s="63"/>
      <c r="O358" s="145"/>
      <c r="P358" s="91"/>
      <c r="Q358" s="27">
        <f t="shared" si="217"/>
        <v>2017</v>
      </c>
      <c r="R358" s="126" t="str">
        <f>IF(Q349="Forecast","",IF(R348=0,"",R349/R348-1))</f>
        <v/>
      </c>
      <c r="S358" s="126" t="str">
        <f t="shared" si="221"/>
        <v/>
      </c>
      <c r="T358" s="63"/>
      <c r="U358" s="35"/>
    </row>
    <row r="359" spans="2:22" x14ac:dyDescent="0.25">
      <c r="C359" s="91"/>
      <c r="D359" s="146">
        <f t="shared" si="218"/>
        <v>2018</v>
      </c>
      <c r="E359" s="63"/>
      <c r="F359" s="63"/>
      <c r="G359" s="125">
        <f t="shared" si="219"/>
        <v>4.0534170786871604E-2</v>
      </c>
      <c r="H359" s="63"/>
      <c r="I359" s="127">
        <f>IF(I351=0,"",G350/I351-1)</f>
        <v>1.8446805735863325E-3</v>
      </c>
      <c r="J359" s="91"/>
      <c r="K359" s="27">
        <f t="shared" si="216"/>
        <v>2018</v>
      </c>
      <c r="L359" s="67" t="str">
        <f>IF(K350="Forecast","",IF(L349=0,"",L350/L349-1))</f>
        <v/>
      </c>
      <c r="M359" s="67" t="str">
        <f t="shared" si="220"/>
        <v/>
      </c>
      <c r="N359" s="63"/>
      <c r="O359" s="147" t="str">
        <f>IF(O351=0,"",M350/O351-1)</f>
        <v/>
      </c>
      <c r="P359" s="91"/>
      <c r="Q359" s="27">
        <f t="shared" si="217"/>
        <v>2018</v>
      </c>
      <c r="R359" s="126" t="str">
        <f>IF(Q350="Forecast","",IF(R349=0,"",R350/R349-1))</f>
        <v/>
      </c>
      <c r="S359" s="126" t="str">
        <f t="shared" si="221"/>
        <v/>
      </c>
      <c r="T359" s="63"/>
      <c r="U359" s="68" t="str">
        <f>IF(U351=0,"",S350/U351-1)</f>
        <v/>
      </c>
    </row>
    <row r="360" spans="2:22" ht="30.75" thickBot="1" x14ac:dyDescent="0.3">
      <c r="C360" s="18"/>
      <c r="D360" s="128" t="s">
        <v>37</v>
      </c>
      <c r="E360" s="71"/>
      <c r="F360" s="71"/>
      <c r="G360" s="129">
        <f>IF(G344=0,"",(G350/G344)^(1/($D350-$D344-1))-1)</f>
        <v>2.0164984555179677E-2</v>
      </c>
      <c r="H360" s="287"/>
      <c r="I360" s="286">
        <f>IF(I351=0,"",(G350/I351)^(1/(TestYear-RebaseYear-1))-1)</f>
        <v>1.8446805735863325E-3</v>
      </c>
      <c r="J360" s="91"/>
      <c r="K360" s="75" t="str">
        <f t="shared" si="216"/>
        <v>Geometric Mean</v>
      </c>
      <c r="L360" s="76" t="str">
        <f>IF(L344=0,"",(L348/L344)^(1/($D348-$D344-1))-1)</f>
        <v/>
      </c>
      <c r="M360" s="76" t="str">
        <f>IF(M344=0,"",(M350/M344)^(1/($D350-$D344-1))-1)</f>
        <v/>
      </c>
      <c r="N360" s="71"/>
      <c r="O360" s="77" t="str">
        <f>IF(O351=0,"",(M350/O351)^(1/(TestYear-RebaseYear-1))-1)</f>
        <v/>
      </c>
      <c r="P360" s="18"/>
      <c r="Q360" s="75" t="str">
        <f t="shared" si="217"/>
        <v>Geometric Mean</v>
      </c>
      <c r="R360" s="131" t="str">
        <f>IF(R344="","",IF(R344=0,"",(R348/R344)^(1/($D348-$D344-1))-1))</f>
        <v/>
      </c>
      <c r="S360" s="76" t="str">
        <f>IF(S344="","",IF(S344=0,"",(S350/S344)^(1/($D350-$D344-1))-1))</f>
        <v/>
      </c>
      <c r="T360" s="71"/>
      <c r="U360" s="77" t="str">
        <f>IF(U351=0,"",(S350/U351)^(1/(TestYear-RebaseYear-1))-1)</f>
        <v/>
      </c>
    </row>
    <row r="361" spans="2:22" ht="15.75" thickBot="1" x14ac:dyDescent="0.3"/>
    <row r="362" spans="2:22" ht="15.75" thickBot="1" x14ac:dyDescent="0.3">
      <c r="B362" s="79">
        <f>B319+1</f>
        <v>8</v>
      </c>
      <c r="C362" s="80" t="s">
        <v>39</v>
      </c>
      <c r="D362" s="309" t="s">
        <v>55</v>
      </c>
      <c r="E362" s="310"/>
      <c r="F362" s="311"/>
      <c r="G362" s="81"/>
      <c r="H362" s="82" t="s">
        <v>41</v>
      </c>
      <c r="N362" s="83" t="s">
        <v>52</v>
      </c>
      <c r="O362" s="84"/>
      <c r="P362" s="84"/>
      <c r="Q362" s="84"/>
      <c r="R362" s="84"/>
      <c r="S362" s="84"/>
      <c r="T362" s="84"/>
      <c r="U362" s="84"/>
    </row>
    <row r="363" spans="2:22" ht="15.75" thickBot="1" x14ac:dyDescent="0.3">
      <c r="Q363" s="71"/>
      <c r="R363" s="71"/>
      <c r="S363" s="71"/>
      <c r="T363" s="71"/>
      <c r="U363" s="71"/>
    </row>
    <row r="364" spans="2:22" ht="14.65" customHeight="1" x14ac:dyDescent="0.25">
      <c r="C364" s="13"/>
      <c r="D364" s="14" t="s">
        <v>23</v>
      </c>
      <c r="E364" s="14"/>
      <c r="F364" s="312" t="s">
        <v>43</v>
      </c>
      <c r="G364" s="313"/>
      <c r="H364" s="313"/>
      <c r="I364" s="314"/>
      <c r="J364" s="14"/>
      <c r="K364" s="300" t="s">
        <v>24</v>
      </c>
      <c r="L364" s="301"/>
      <c r="M364" s="301"/>
      <c r="N364" s="301"/>
      <c r="O364" s="302"/>
      <c r="P364" s="15"/>
      <c r="Q364" s="303" t="str">
        <f>CONCATENATE("Consumption (kWh) per ",LEFT(F364,LEN(F364)-1))</f>
        <v>Consumption (kWh) per Customer</v>
      </c>
      <c r="R364" s="304"/>
      <c r="S364" s="304"/>
      <c r="T364" s="304"/>
      <c r="U364" s="305"/>
      <c r="V364" s="85"/>
    </row>
    <row r="365" spans="2:22" ht="39" thickBot="1" x14ac:dyDescent="0.3">
      <c r="C365" s="18"/>
      <c r="D365" s="19" t="str">
        <f>CONCATENATE("(for ",TestYear," Cost of Service")</f>
        <v>(for 2017 Cost of Service</v>
      </c>
      <c r="E365" s="26"/>
      <c r="F365" s="306"/>
      <c r="G365" s="307"/>
      <c r="H365" s="315"/>
      <c r="I365" s="86"/>
      <c r="J365" s="26"/>
      <c r="K365" s="22"/>
      <c r="L365" s="23" t="s">
        <v>25</v>
      </c>
      <c r="M365" s="23" t="s">
        <v>26</v>
      </c>
      <c r="N365" s="24"/>
      <c r="O365" s="25" t="s">
        <v>26</v>
      </c>
      <c r="P365" s="26"/>
      <c r="Q365" s="87"/>
      <c r="R365" s="88" t="str">
        <f>L365</f>
        <v>Actual (Weather actual)</v>
      </c>
      <c r="S365" s="89" t="str">
        <f>M365</f>
        <v>Weather-normalized</v>
      </c>
      <c r="T365" s="89"/>
      <c r="U365" s="90" t="str">
        <f>O365</f>
        <v>Weather-normalized</v>
      </c>
      <c r="V365" s="85"/>
    </row>
    <row r="366" spans="2:22" x14ac:dyDescent="0.25">
      <c r="C366" s="26" t="s">
        <v>27</v>
      </c>
      <c r="D366" s="27">
        <f t="shared" ref="D366:D371" si="222">D367-1</f>
        <v>2012</v>
      </c>
      <c r="E366" s="91"/>
      <c r="F366" s="92" t="str">
        <f>F323</f>
        <v>Actual</v>
      </c>
      <c r="G366" s="93">
        <v>795</v>
      </c>
      <c r="H366" s="32" t="str">
        <f t="shared" ref="H366:H372" si="223">IF(D366=RebaseYear,"Board-approved","")</f>
        <v/>
      </c>
      <c r="I366" s="35"/>
      <c r="J366" s="91"/>
      <c r="K366" s="94" t="str">
        <f>F366</f>
        <v>Actual</v>
      </c>
      <c r="L366" s="95">
        <v>17081825496.723778</v>
      </c>
      <c r="M366" s="95">
        <v>16426608038.362625</v>
      </c>
      <c r="N366" s="37" t="str">
        <f>H366</f>
        <v/>
      </c>
      <c r="O366" s="35"/>
      <c r="P366" s="91"/>
      <c r="Q366" s="96" t="str">
        <f>K366</f>
        <v>Actual</v>
      </c>
      <c r="R366" s="97">
        <f>IF(G366=0,"",L366/G366)</f>
        <v>21486572.951853808</v>
      </c>
      <c r="S366" s="63">
        <f>IF(G366=0,"",M366/G366)</f>
        <v>20662400.048254874</v>
      </c>
      <c r="T366" s="63" t="str">
        <f>N366</f>
        <v/>
      </c>
      <c r="U366" s="63" t="str">
        <f>IF(T366="","",IF(I366=0,"",O366/I366))</f>
        <v/>
      </c>
      <c r="V366" s="28"/>
    </row>
    <row r="367" spans="2:22" x14ac:dyDescent="0.25">
      <c r="C367" s="26" t="s">
        <v>27</v>
      </c>
      <c r="D367" s="27">
        <f t="shared" si="222"/>
        <v>2013</v>
      </c>
      <c r="E367" s="91"/>
      <c r="F367" s="98" t="str">
        <f t="shared" ref="F367:F372" si="224">F324</f>
        <v>Actual</v>
      </c>
      <c r="G367" s="93">
        <v>799.68310819851229</v>
      </c>
      <c r="H367" s="32" t="str">
        <f t="shared" si="223"/>
        <v/>
      </c>
      <c r="I367" s="35"/>
      <c r="J367" s="91"/>
      <c r="K367" s="94" t="str">
        <f t="shared" ref="K367:K372" si="225">F367</f>
        <v>Actual</v>
      </c>
      <c r="L367" s="95">
        <v>16395428275.794802</v>
      </c>
      <c r="M367" s="95">
        <v>16421104488.965597</v>
      </c>
      <c r="N367" s="37" t="str">
        <f t="shared" ref="N367:N372" si="226">H367</f>
        <v/>
      </c>
      <c r="O367" s="35"/>
      <c r="P367" s="91"/>
      <c r="Q367" s="96" t="str">
        <f t="shared" ref="Q367:Q372" si="227">K367</f>
        <v>Actual</v>
      </c>
      <c r="R367" s="97">
        <f t="shared" ref="R367:R372" si="228">IF(G367=0,"",L367/G367)</f>
        <v>20502406.650466379</v>
      </c>
      <c r="S367" s="63">
        <f t="shared" ref="S367:S372" si="229">IF(G367=0,"",M367/G367)</f>
        <v>20534514.635376345</v>
      </c>
      <c r="T367" s="63" t="str">
        <f t="shared" ref="T367:T372" si="230">N367</f>
        <v/>
      </c>
      <c r="U367" s="63" t="str">
        <f t="shared" ref="U367:U372" si="231">IF(T367="","",IF(I367=0,"",O367/I367))</f>
        <v/>
      </c>
      <c r="V367" s="28"/>
    </row>
    <row r="368" spans="2:22" x14ac:dyDescent="0.25">
      <c r="C368" s="26" t="s">
        <v>27</v>
      </c>
      <c r="D368" s="27">
        <f t="shared" si="222"/>
        <v>2014</v>
      </c>
      <c r="E368" s="91"/>
      <c r="F368" s="98" t="str">
        <f t="shared" si="224"/>
        <v>Actual</v>
      </c>
      <c r="G368" s="93">
        <v>882</v>
      </c>
      <c r="H368" s="32" t="str">
        <f t="shared" si="223"/>
        <v/>
      </c>
      <c r="I368" s="36"/>
      <c r="J368" s="91"/>
      <c r="K368" s="94" t="str">
        <f t="shared" si="225"/>
        <v>Actual</v>
      </c>
      <c r="L368" s="95">
        <v>16598660009.858398</v>
      </c>
      <c r="M368" s="95">
        <v>16271249297.041803</v>
      </c>
      <c r="N368" s="37" t="str">
        <f t="shared" si="226"/>
        <v/>
      </c>
      <c r="O368" s="36"/>
      <c r="P368" s="91"/>
      <c r="Q368" s="96" t="str">
        <f t="shared" si="227"/>
        <v>Actual</v>
      </c>
      <c r="R368" s="97">
        <f t="shared" si="228"/>
        <v>18819342.414805442</v>
      </c>
      <c r="S368" s="63">
        <f t="shared" si="229"/>
        <v>18448128.454695921</v>
      </c>
      <c r="T368" s="63" t="str">
        <f t="shared" si="230"/>
        <v/>
      </c>
      <c r="U368" s="63" t="str">
        <f t="shared" si="231"/>
        <v/>
      </c>
      <c r="V368" s="28"/>
    </row>
    <row r="369" spans="2:22" x14ac:dyDescent="0.25">
      <c r="C369" s="26" t="s">
        <v>27</v>
      </c>
      <c r="D369" s="27">
        <f t="shared" si="222"/>
        <v>2015</v>
      </c>
      <c r="E369" s="91"/>
      <c r="F369" s="98" t="str">
        <f t="shared" si="224"/>
        <v>Actual</v>
      </c>
      <c r="G369" s="93">
        <v>837.77700121077805</v>
      </c>
      <c r="H369" s="32" t="str">
        <f t="shared" si="223"/>
        <v>Board-approved</v>
      </c>
      <c r="I369" s="100">
        <v>821.72456053631527</v>
      </c>
      <c r="J369" s="91"/>
      <c r="K369" s="94" t="str">
        <f t="shared" si="225"/>
        <v>Actual</v>
      </c>
      <c r="L369" s="95">
        <v>15805759535.715462</v>
      </c>
      <c r="M369" s="95">
        <v>15682785288.390644</v>
      </c>
      <c r="N369" s="37" t="str">
        <f t="shared" si="226"/>
        <v>Board-approved</v>
      </c>
      <c r="O369" s="35">
        <v>16730826229.828272</v>
      </c>
      <c r="P369" s="91"/>
      <c r="Q369" s="96" t="str">
        <f t="shared" si="227"/>
        <v>Actual</v>
      </c>
      <c r="R369" s="97">
        <f t="shared" si="228"/>
        <v>18866308.710877176</v>
      </c>
      <c r="S369" s="63">
        <f t="shared" si="229"/>
        <v>18719522.337955635</v>
      </c>
      <c r="T369" s="63" t="str">
        <f t="shared" si="230"/>
        <v>Board-approved</v>
      </c>
      <c r="U369" s="63">
        <f t="shared" si="231"/>
        <v>20360625.729512766</v>
      </c>
      <c r="V369" s="28"/>
    </row>
    <row r="370" spans="2:22" x14ac:dyDescent="0.25">
      <c r="C370" s="26" t="s">
        <v>27</v>
      </c>
      <c r="D370" s="27">
        <f t="shared" si="222"/>
        <v>2016</v>
      </c>
      <c r="E370" s="91"/>
      <c r="F370" s="98" t="str">
        <f t="shared" si="224"/>
        <v>Actual</v>
      </c>
      <c r="G370" s="93">
        <v>804</v>
      </c>
      <c r="H370" s="32" t="str">
        <f t="shared" si="223"/>
        <v/>
      </c>
      <c r="I370" s="35"/>
      <c r="J370" s="91"/>
      <c r="K370" s="94" t="str">
        <f t="shared" si="225"/>
        <v>Actual</v>
      </c>
      <c r="L370" s="95">
        <v>15467672027.38101</v>
      </c>
      <c r="M370" s="95">
        <v>15525899648.276848</v>
      </c>
      <c r="N370" s="37" t="str">
        <f t="shared" si="226"/>
        <v/>
      </c>
      <c r="O370" s="35"/>
      <c r="P370" s="91"/>
      <c r="Q370" s="96" t="str">
        <f t="shared" si="227"/>
        <v>Actual</v>
      </c>
      <c r="R370" s="97">
        <f t="shared" si="228"/>
        <v>19238398.044006232</v>
      </c>
      <c r="S370" s="63">
        <f t="shared" si="229"/>
        <v>19310820.458055779</v>
      </c>
      <c r="T370" s="63" t="str">
        <f t="shared" si="230"/>
        <v/>
      </c>
      <c r="U370" s="63" t="str">
        <f t="shared" si="231"/>
        <v/>
      </c>
      <c r="V370" s="28"/>
    </row>
    <row r="371" spans="2:22" x14ac:dyDescent="0.25">
      <c r="C371" s="26" t="s">
        <v>30</v>
      </c>
      <c r="D371" s="27">
        <f t="shared" si="222"/>
        <v>2017</v>
      </c>
      <c r="E371" s="91"/>
      <c r="F371" s="98" t="str">
        <f t="shared" si="224"/>
        <v>Forecast</v>
      </c>
      <c r="G371" s="93">
        <v>806</v>
      </c>
      <c r="H371" s="32" t="str">
        <f t="shared" si="223"/>
        <v/>
      </c>
      <c r="I371" s="35"/>
      <c r="J371" s="91"/>
      <c r="K371" s="94" t="str">
        <f t="shared" si="225"/>
        <v>Forecast</v>
      </c>
      <c r="L371" s="102"/>
      <c r="M371" s="103">
        <v>15624829942.235043</v>
      </c>
      <c r="N371" s="37" t="str">
        <f t="shared" si="226"/>
        <v/>
      </c>
      <c r="O371" s="35"/>
      <c r="P371" s="91"/>
      <c r="Q371" s="96" t="str">
        <f t="shared" si="227"/>
        <v>Forecast</v>
      </c>
      <c r="R371" s="97">
        <f t="shared" si="228"/>
        <v>0</v>
      </c>
      <c r="S371" s="63">
        <f t="shared" si="229"/>
        <v>19385645.089621641</v>
      </c>
      <c r="T371" s="63" t="str">
        <f t="shared" si="230"/>
        <v/>
      </c>
      <c r="U371" s="63" t="str">
        <f t="shared" si="231"/>
        <v/>
      </c>
      <c r="V371" s="28"/>
    </row>
    <row r="372" spans="2:22" ht="15.75" thickBot="1" x14ac:dyDescent="0.3">
      <c r="C372" s="39" t="s">
        <v>32</v>
      </c>
      <c r="D372" s="104">
        <v>2018</v>
      </c>
      <c r="E372" s="18"/>
      <c r="F372" s="105" t="str">
        <f t="shared" si="224"/>
        <v>Forecast</v>
      </c>
      <c r="G372" s="106">
        <v>808.24672285681027</v>
      </c>
      <c r="H372" s="44" t="str">
        <f t="shared" si="223"/>
        <v/>
      </c>
      <c r="I372" s="46"/>
      <c r="J372" s="18"/>
      <c r="K372" s="108" t="str">
        <f t="shared" si="225"/>
        <v>Forecast</v>
      </c>
      <c r="L372" s="109"/>
      <c r="M372" s="110">
        <v>15528383150.724741</v>
      </c>
      <c r="N372" s="111" t="str">
        <f t="shared" si="226"/>
        <v/>
      </c>
      <c r="O372" s="46"/>
      <c r="P372" s="18"/>
      <c r="Q372" s="112" t="str">
        <f t="shared" si="227"/>
        <v>Forecast</v>
      </c>
      <c r="R372" s="113">
        <f t="shared" si="228"/>
        <v>0</v>
      </c>
      <c r="S372" s="71">
        <f t="shared" si="229"/>
        <v>19212429.461932708</v>
      </c>
      <c r="T372" s="71" t="str">
        <f t="shared" si="230"/>
        <v/>
      </c>
      <c r="U372" s="71" t="str">
        <f t="shared" si="231"/>
        <v/>
      </c>
      <c r="V372" s="28"/>
    </row>
    <row r="373" spans="2:22" ht="15.75" thickBot="1" x14ac:dyDescent="0.3">
      <c r="B373" s="63"/>
      <c r="C373" s="114"/>
      <c r="I373" s="52">
        <f>SUM(I366:I371)</f>
        <v>821.72456053631527</v>
      </c>
      <c r="O373" s="52">
        <f>SUM(O366:O371)</f>
        <v>16730826229.828272</v>
      </c>
      <c r="U373" s="52">
        <f>SUM(U366:U371)</f>
        <v>20360625.729512766</v>
      </c>
    </row>
    <row r="374" spans="2:22" ht="39" thickBot="1" x14ac:dyDescent="0.3">
      <c r="C374" s="115" t="s">
        <v>33</v>
      </c>
      <c r="D374" s="116" t="s">
        <v>34</v>
      </c>
      <c r="E374" s="48"/>
      <c r="F374" s="48"/>
      <c r="G374" s="270" t="s">
        <v>35</v>
      </c>
      <c r="H374" s="48"/>
      <c r="I374" s="60" t="s">
        <v>44</v>
      </c>
      <c r="J374" s="117"/>
      <c r="K374" s="58" t="s">
        <v>34</v>
      </c>
      <c r="L374" s="308" t="s">
        <v>35</v>
      </c>
      <c r="M374" s="308"/>
      <c r="N374" s="48"/>
      <c r="O374" s="60" t="str">
        <f>I374</f>
        <v>Test Year Versus Board-approved</v>
      </c>
      <c r="P374" s="118"/>
      <c r="Q374" s="58" t="s">
        <v>34</v>
      </c>
      <c r="R374" s="308" t="s">
        <v>35</v>
      </c>
      <c r="S374" s="308"/>
      <c r="T374" s="48"/>
      <c r="U374" s="60" t="str">
        <f>O374</f>
        <v>Test Year Versus Board-approved</v>
      </c>
    </row>
    <row r="375" spans="2:22" x14ac:dyDescent="0.25">
      <c r="C375" s="91"/>
      <c r="D375" s="119">
        <f t="shared" ref="D375:D381" si="232">D366</f>
        <v>2012</v>
      </c>
      <c r="E375" s="63"/>
      <c r="F375" s="63"/>
      <c r="G375" s="120"/>
      <c r="H375" s="63"/>
      <c r="I375" s="121"/>
      <c r="J375" s="122"/>
      <c r="K375" s="27">
        <f>D375</f>
        <v>2012</v>
      </c>
      <c r="L375" s="65"/>
      <c r="M375" s="65"/>
      <c r="N375" s="63"/>
      <c r="O375" s="35"/>
      <c r="P375" s="91"/>
      <c r="Q375" s="27">
        <f>K375</f>
        <v>2012</v>
      </c>
      <c r="R375" s="123"/>
      <c r="S375" s="123"/>
      <c r="T375" s="63"/>
      <c r="U375" s="35"/>
    </row>
    <row r="376" spans="2:22" x14ac:dyDescent="0.25">
      <c r="C376" s="91"/>
      <c r="D376" s="124">
        <f t="shared" si="232"/>
        <v>2013</v>
      </c>
      <c r="E376" s="63"/>
      <c r="F376" s="63"/>
      <c r="G376" s="125">
        <f t="shared" ref="G376:G381" si="233">IF(G366=0,"",G367/G366-1)</f>
        <v>5.8907021364933421E-3</v>
      </c>
      <c r="H376" s="63"/>
      <c r="I376" s="121"/>
      <c r="J376" s="122"/>
      <c r="K376" s="27">
        <f t="shared" ref="K376:K382" si="234">D376</f>
        <v>2013</v>
      </c>
      <c r="L376" s="67">
        <f t="shared" ref="L376:M379" si="235">IF(L366=0,"",L367/L366-1)</f>
        <v>-4.0182896205128937E-2</v>
      </c>
      <c r="M376" s="67">
        <f t="shared" si="235"/>
        <v>-3.350386996618937E-4</v>
      </c>
      <c r="N376" s="63"/>
      <c r="O376" s="35"/>
      <c r="P376" s="91"/>
      <c r="Q376" s="27">
        <f t="shared" ref="Q376:Q382" si="236">K376</f>
        <v>2013</v>
      </c>
      <c r="R376" s="125">
        <f>IF(R366="","",IF(R366=0,"",R367/R366-1))</f>
        <v>-4.5803781905690899E-2</v>
      </c>
      <c r="S376" s="125">
        <f>IF(S366="","",IF(S366=0,"",S367/S366-1))</f>
        <v>-6.1892816216830848E-3</v>
      </c>
      <c r="T376" s="63"/>
      <c r="U376" s="35"/>
    </row>
    <row r="377" spans="2:22" x14ac:dyDescent="0.25">
      <c r="C377" s="91"/>
      <c r="D377" s="124">
        <f t="shared" si="232"/>
        <v>2014</v>
      </c>
      <c r="E377" s="63"/>
      <c r="F377" s="63"/>
      <c r="G377" s="125">
        <f t="shared" si="233"/>
        <v>0.10293688957232972</v>
      </c>
      <c r="H377" s="63"/>
      <c r="I377" s="121"/>
      <c r="J377" s="122"/>
      <c r="K377" s="27">
        <f t="shared" si="234"/>
        <v>2014</v>
      </c>
      <c r="L377" s="67">
        <f t="shared" si="235"/>
        <v>1.2395634358855823E-2</v>
      </c>
      <c r="M377" s="67">
        <f t="shared" si="235"/>
        <v>-9.1257681250668243E-3</v>
      </c>
      <c r="N377" s="63"/>
      <c r="O377" s="35"/>
      <c r="P377" s="91"/>
      <c r="Q377" s="27">
        <f t="shared" si="236"/>
        <v>2014</v>
      </c>
      <c r="R377" s="125">
        <f t="shared" ref="R377:S381" si="237">IF(R367="","",IF(R367=0,"",R368/R367-1))</f>
        <v>-8.2091057130732059E-2</v>
      </c>
      <c r="S377" s="125">
        <f t="shared" si="237"/>
        <v>-0.10160387122498871</v>
      </c>
      <c r="T377" s="63"/>
      <c r="U377" s="35"/>
    </row>
    <row r="378" spans="2:22" x14ac:dyDescent="0.25">
      <c r="C378" s="91"/>
      <c r="D378" s="124">
        <f t="shared" si="232"/>
        <v>2015</v>
      </c>
      <c r="E378" s="63"/>
      <c r="F378" s="63"/>
      <c r="G378" s="125">
        <f t="shared" si="233"/>
        <v>-5.01394544095487E-2</v>
      </c>
      <c r="H378" s="63"/>
      <c r="I378" s="121"/>
      <c r="J378" s="122"/>
      <c r="K378" s="27">
        <f t="shared" si="234"/>
        <v>2015</v>
      </c>
      <c r="L378" s="67">
        <f t="shared" si="235"/>
        <v>-4.7768944822775494E-2</v>
      </c>
      <c r="M378" s="67">
        <f t="shared" si="235"/>
        <v>-3.6165877487854936E-2</v>
      </c>
      <c r="N378" s="63"/>
      <c r="O378" s="35"/>
      <c r="P378" s="91"/>
      <c r="Q378" s="27">
        <f t="shared" si="236"/>
        <v>2015</v>
      </c>
      <c r="R378" s="125">
        <f t="shared" si="237"/>
        <v>2.4956395944411014E-3</v>
      </c>
      <c r="S378" s="125">
        <f t="shared" si="237"/>
        <v>1.4711187854431484E-2</v>
      </c>
      <c r="T378" s="63"/>
      <c r="U378" s="35"/>
    </row>
    <row r="379" spans="2:22" x14ac:dyDescent="0.25">
      <c r="C379" s="91"/>
      <c r="D379" s="124">
        <f t="shared" si="232"/>
        <v>2016</v>
      </c>
      <c r="E379" s="63"/>
      <c r="F379" s="63"/>
      <c r="G379" s="125">
        <f t="shared" si="233"/>
        <v>-4.0317412822221899E-2</v>
      </c>
      <c r="H379" s="63"/>
      <c r="I379" s="121"/>
      <c r="J379" s="122"/>
      <c r="K379" s="27">
        <f t="shared" si="234"/>
        <v>2016</v>
      </c>
      <c r="L379" s="67">
        <f t="shared" si="235"/>
        <v>-2.1390146267282639E-2</v>
      </c>
      <c r="M379" s="67">
        <f t="shared" si="235"/>
        <v>-1.0003684755534592E-2</v>
      </c>
      <c r="N379" s="63"/>
      <c r="O379" s="35"/>
      <c r="P379" s="91"/>
      <c r="Q379" s="27">
        <f t="shared" si="236"/>
        <v>2016</v>
      </c>
      <c r="R379" s="125">
        <f t="shared" si="237"/>
        <v>1.9722423651137078E-2</v>
      </c>
      <c r="S379" s="125">
        <f t="shared" si="237"/>
        <v>3.1587244023915551E-2</v>
      </c>
      <c r="T379" s="63"/>
      <c r="U379" s="35"/>
    </row>
    <row r="380" spans="2:22" x14ac:dyDescent="0.25">
      <c r="C380" s="91"/>
      <c r="D380" s="124">
        <f t="shared" si="232"/>
        <v>2017</v>
      </c>
      <c r="E380" s="63"/>
      <c r="F380" s="63"/>
      <c r="G380" s="125">
        <f t="shared" si="233"/>
        <v>2.4875621890547706E-3</v>
      </c>
      <c r="H380" s="63"/>
      <c r="I380" s="121"/>
      <c r="J380" s="122"/>
      <c r="K380" s="27">
        <f t="shared" si="234"/>
        <v>2017</v>
      </c>
      <c r="L380" s="67" t="str">
        <f>IF(K371="Forecast","",IF(L370=0,"",L371/L370-1))</f>
        <v/>
      </c>
      <c r="M380" s="67">
        <f>IF(M370=0,"",M371/M370-1)</f>
        <v>6.3719524278371686E-3</v>
      </c>
      <c r="N380" s="63"/>
      <c r="O380" s="35"/>
      <c r="P380" s="91"/>
      <c r="Q380" s="27">
        <f t="shared" si="236"/>
        <v>2017</v>
      </c>
      <c r="R380" s="125" t="str">
        <f>IF(Q371="Forecast","",IF(R370=0,"",R371/R370-1))</f>
        <v/>
      </c>
      <c r="S380" s="125">
        <f t="shared" si="237"/>
        <v>3.8747515533266164E-3</v>
      </c>
      <c r="T380" s="63"/>
      <c r="U380" s="35"/>
    </row>
    <row r="381" spans="2:22" x14ac:dyDescent="0.25">
      <c r="C381" s="91"/>
      <c r="D381" s="124">
        <f t="shared" si="232"/>
        <v>2018</v>
      </c>
      <c r="E381" s="63"/>
      <c r="F381" s="63"/>
      <c r="G381" s="125">
        <f t="shared" si="233"/>
        <v>2.7874973409556247E-3</v>
      </c>
      <c r="H381" s="63"/>
      <c r="I381" s="127">
        <f>IF(I373=0,"",G372/I373-1)</f>
        <v>-1.6401892223725678E-2</v>
      </c>
      <c r="J381" s="122"/>
      <c r="K381" s="27">
        <f t="shared" si="234"/>
        <v>2018</v>
      </c>
      <c r="L381" s="67" t="str">
        <f>IF(K372="Forecast","",IF(L371=0,"",L372/L371-1))</f>
        <v/>
      </c>
      <c r="M381" s="67">
        <f>IF(M371=0,"",M372/M371-1)</f>
        <v>-6.1726618380402165E-3</v>
      </c>
      <c r="N381" s="63"/>
      <c r="O381" s="127">
        <f>IF(O373=0,"",M372/O373-1)</f>
        <v>-7.1869916200538619E-2</v>
      </c>
      <c r="P381" s="91"/>
      <c r="Q381" s="27">
        <f t="shared" si="236"/>
        <v>2018</v>
      </c>
      <c r="R381" s="125" t="str">
        <f>IF(Q372="Forecast","",IF(R371=0,"",R372/R371-1))</f>
        <v/>
      </c>
      <c r="S381" s="125">
        <f t="shared" si="237"/>
        <v>-8.9352521872829715E-3</v>
      </c>
      <c r="T381" s="63"/>
      <c r="U381" s="127">
        <f>IF(U373=0,"",S372/U373-1)</f>
        <v>-5.6392975482857821E-2</v>
      </c>
    </row>
    <row r="382" spans="2:22" ht="30.75" thickBot="1" x14ac:dyDescent="0.3">
      <c r="C382" s="18"/>
      <c r="D382" s="128" t="s">
        <v>37</v>
      </c>
      <c r="E382" s="71"/>
      <c r="F382" s="71"/>
      <c r="G382" s="129">
        <f>IF(G366=0,"",(G372/G366)^(1/($D372-$D366-1))-1)</f>
        <v>3.3105171634415509E-3</v>
      </c>
      <c r="H382" s="287"/>
      <c r="I382" s="286">
        <f>IF(I373=0,"",(G372/I373)^(1/(TestYear-RebaseYear-1))-1)</f>
        <v>-1.6401892223725678E-2</v>
      </c>
      <c r="J382" s="74"/>
      <c r="K382" s="75" t="str">
        <f t="shared" si="234"/>
        <v>Geometric Mean</v>
      </c>
      <c r="L382" s="129">
        <f>IF(L366=0,"",(L370/L366)^(1/($D370-$D366-1))-1)</f>
        <v>-3.2546222624744936E-2</v>
      </c>
      <c r="M382" s="129">
        <f>IF(M366=0,"",(M372/M366)^(1/($D372-$D366-1))-1)</f>
        <v>-1.1183581764034445E-2</v>
      </c>
      <c r="N382" s="287"/>
      <c r="O382" s="286">
        <f>IF(O373=0,"",(M372/O373)^(1/(TestYear-RebaseYear-1))-1)</f>
        <v>-7.1869916200538619E-2</v>
      </c>
      <c r="P382" s="18"/>
      <c r="Q382" s="75" t="str">
        <f t="shared" si="236"/>
        <v>Geometric Mean</v>
      </c>
      <c r="R382" s="129">
        <f>IF(R366="","",IF(R366=0,"",(R370/R366)^(1/($D370-$D366-1))-1))</f>
        <v>-3.6169678960908724E-2</v>
      </c>
      <c r="S382" s="129">
        <f>IF(S366="","",IF(S366=0,"",(S372/S366)^(1/($D372-$D366-1))-1))</f>
        <v>-1.4446274288496097E-2</v>
      </c>
      <c r="T382" s="287"/>
      <c r="U382" s="286">
        <f>IF(U373=0,"",(S372/U373)^(1/(TestYear-RebaseYear-1))-1)</f>
        <v>-5.6392975482857821E-2</v>
      </c>
    </row>
    <row r="384" spans="2:22" ht="15.75" thickBot="1" x14ac:dyDescent="0.3">
      <c r="Q384" s="71"/>
      <c r="R384" s="71"/>
      <c r="S384" s="71"/>
      <c r="T384" s="71"/>
      <c r="U384" s="71"/>
    </row>
    <row r="385" spans="3:21" ht="14.65" customHeight="1" x14ac:dyDescent="0.25">
      <c r="C385" s="13"/>
      <c r="D385" s="14" t="s">
        <v>23</v>
      </c>
      <c r="E385" s="14"/>
      <c r="F385" s="297" t="s">
        <v>10</v>
      </c>
      <c r="G385" s="298"/>
      <c r="H385" s="298"/>
      <c r="I385" s="299"/>
      <c r="K385" s="300" t="str">
        <f>IF(ISBLANK(N362),"",CONCATENATE("Demand (",N362,")"))</f>
        <v>Demand (kW)</v>
      </c>
      <c r="L385" s="301"/>
      <c r="M385" s="301"/>
      <c r="N385" s="301"/>
      <c r="O385" s="302"/>
      <c r="Q385" s="303" t="str">
        <f>CONCATENATE("Demand (",N362,") per ",LEFT(F364,LEN(F364)-1))</f>
        <v>Demand (kW) per Customer</v>
      </c>
      <c r="R385" s="304"/>
      <c r="S385" s="304"/>
      <c r="T385" s="304"/>
      <c r="U385" s="305"/>
    </row>
    <row r="386" spans="3:21" ht="39" thickBot="1" x14ac:dyDescent="0.3">
      <c r="C386" s="18"/>
      <c r="D386" s="19" t="str">
        <f>CONCATENATE("(for ",TestYear," Cost of Service")</f>
        <v>(for 2017 Cost of Service</v>
      </c>
      <c r="E386" s="26"/>
      <c r="F386" s="306"/>
      <c r="G386" s="307"/>
      <c r="H386" s="307"/>
      <c r="I386" s="86"/>
      <c r="K386" s="22"/>
      <c r="L386" s="23" t="s">
        <v>25</v>
      </c>
      <c r="M386" s="23" t="s">
        <v>26</v>
      </c>
      <c r="N386" s="24"/>
      <c r="O386" s="25" t="str">
        <f>M386</f>
        <v>Weather-normalized</v>
      </c>
      <c r="Q386" s="132"/>
      <c r="R386" s="23" t="str">
        <f>L386</f>
        <v>Actual (Weather actual)</v>
      </c>
      <c r="S386" s="23" t="str">
        <f>M386</f>
        <v>Weather-normalized</v>
      </c>
      <c r="T386" s="23"/>
      <c r="U386" s="133" t="str">
        <f>O386</f>
        <v>Weather-normalized</v>
      </c>
    </row>
    <row r="387" spans="3:21" x14ac:dyDescent="0.25">
      <c r="C387" s="26" t="s">
        <v>27</v>
      </c>
      <c r="D387" s="27">
        <f t="shared" ref="D387:D392" si="238">D388-1</f>
        <v>2012</v>
      </c>
      <c r="E387" s="91"/>
      <c r="F387" s="92" t="str">
        <f t="shared" ref="F387:F393" si="239">F366</f>
        <v>Actual</v>
      </c>
      <c r="G387" s="134">
        <v>33471625.608087372</v>
      </c>
      <c r="H387" s="31" t="s">
        <v>50</v>
      </c>
      <c r="I387" s="135"/>
      <c r="K387" s="94" t="str">
        <f t="shared" ref="K387:K393" si="240">K366</f>
        <v>Actual</v>
      </c>
      <c r="L387" s="95">
        <v>36409471</v>
      </c>
      <c r="M387" s="95">
        <v>35862030</v>
      </c>
      <c r="N387" s="37" t="str">
        <f t="shared" ref="N387:N393" si="241">N366</f>
        <v/>
      </c>
      <c r="O387" s="35"/>
      <c r="Q387" s="96" t="str">
        <f>K387</f>
        <v>Actual</v>
      </c>
      <c r="R387" s="63">
        <f>IF(G387=0,"",L387/G387)</f>
        <v>1.087771219310089</v>
      </c>
      <c r="S387" s="28">
        <f>IF(G387=0,"",M387/G387)</f>
        <v>1.0714158439718884</v>
      </c>
      <c r="T387" s="28" t="str">
        <f>N387</f>
        <v/>
      </c>
      <c r="U387" s="91" t="str">
        <f>IF(T387="","",IF(I387=0,"",O387/I387))</f>
        <v/>
      </c>
    </row>
    <row r="388" spans="3:21" x14ac:dyDescent="0.25">
      <c r="C388" s="26" t="s">
        <v>27</v>
      </c>
      <c r="D388" s="27">
        <f t="shared" si="238"/>
        <v>2013</v>
      </c>
      <c r="E388" s="91"/>
      <c r="F388" s="98" t="str">
        <f t="shared" si="239"/>
        <v>Actual</v>
      </c>
      <c r="G388" s="134">
        <v>33053790.387046326</v>
      </c>
      <c r="H388" s="31" t="s">
        <v>50</v>
      </c>
      <c r="I388" s="35"/>
      <c r="K388" s="94" t="str">
        <f t="shared" si="240"/>
        <v>Actual</v>
      </c>
      <c r="L388" s="95">
        <v>35537470.189521559</v>
      </c>
      <c r="M388" s="95">
        <v>35229814.61781963</v>
      </c>
      <c r="N388" s="37" t="str">
        <f t="shared" si="241"/>
        <v/>
      </c>
      <c r="O388" s="35"/>
      <c r="Q388" s="96" t="str">
        <f t="shared" ref="Q388:Q393" si="242">K388</f>
        <v>Actual</v>
      </c>
      <c r="R388" s="63">
        <f t="shared" ref="R388:R393" si="243">IF(G388=0,"",L388/G388)</f>
        <v>1.0751405443488435</v>
      </c>
      <c r="S388" s="28">
        <f t="shared" ref="S388:S393" si="244">IF(G388=0,"",M388/G388)</f>
        <v>1.0658328199366232</v>
      </c>
      <c r="T388" s="28" t="str">
        <f t="shared" ref="T388:T393" si="245">N388</f>
        <v/>
      </c>
      <c r="U388" s="91" t="str">
        <f t="shared" ref="U388:U393" si="246">IF(T388="","",IF(I388=0,"",O388/I388))</f>
        <v/>
      </c>
    </row>
    <row r="389" spans="3:21" x14ac:dyDescent="0.25">
      <c r="C389" s="26" t="s">
        <v>27</v>
      </c>
      <c r="D389" s="27">
        <f t="shared" si="238"/>
        <v>2014</v>
      </c>
      <c r="E389" s="91"/>
      <c r="F389" s="98" t="str">
        <f t="shared" si="239"/>
        <v>Actual</v>
      </c>
      <c r="G389" s="134">
        <v>33674533.501522906</v>
      </c>
      <c r="H389" s="31" t="s">
        <v>50</v>
      </c>
      <c r="I389" s="136"/>
      <c r="K389" s="94" t="str">
        <f t="shared" si="240"/>
        <v>Actual</v>
      </c>
      <c r="L389" s="95">
        <v>35781682.565141857</v>
      </c>
      <c r="M389" s="95">
        <v>35656982.716662712</v>
      </c>
      <c r="N389" s="37" t="str">
        <f t="shared" si="241"/>
        <v/>
      </c>
      <c r="O389" s="36"/>
      <c r="Q389" s="96" t="str">
        <f t="shared" si="242"/>
        <v>Actual</v>
      </c>
      <c r="R389" s="63">
        <f t="shared" si="243"/>
        <v>1.0625739644922967</v>
      </c>
      <c r="S389" s="28">
        <f t="shared" si="244"/>
        <v>1.0588708738919916</v>
      </c>
      <c r="T389" s="28" t="str">
        <f t="shared" si="245"/>
        <v/>
      </c>
      <c r="U389" s="91" t="str">
        <f t="shared" si="246"/>
        <v/>
      </c>
    </row>
    <row r="390" spans="3:21" x14ac:dyDescent="0.25">
      <c r="C390" s="26" t="s">
        <v>27</v>
      </c>
      <c r="D390" s="27">
        <f t="shared" si="238"/>
        <v>2015</v>
      </c>
      <c r="E390" s="91"/>
      <c r="F390" s="98" t="str">
        <f t="shared" si="239"/>
        <v>Actual</v>
      </c>
      <c r="G390" s="134">
        <v>42687571.092460059</v>
      </c>
      <c r="H390" s="31" t="s">
        <v>29</v>
      </c>
      <c r="I390" s="137">
        <v>49968728.767791227</v>
      </c>
      <c r="K390" s="94" t="str">
        <f t="shared" si="240"/>
        <v>Actual</v>
      </c>
      <c r="L390" s="95">
        <v>35473518.169787362</v>
      </c>
      <c r="M390" s="95">
        <v>35259429.72172983</v>
      </c>
      <c r="N390" s="37" t="str">
        <f t="shared" si="241"/>
        <v>Board-approved</v>
      </c>
      <c r="O390" s="35">
        <v>36051950.398290321</v>
      </c>
      <c r="Q390" s="96" t="str">
        <f t="shared" si="242"/>
        <v>Actual</v>
      </c>
      <c r="R390" s="63">
        <f t="shared" si="243"/>
        <v>0.83100343406638755</v>
      </c>
      <c r="S390" s="28">
        <f t="shared" si="244"/>
        <v>0.82598819326962669</v>
      </c>
      <c r="T390" s="28" t="str">
        <f t="shared" si="245"/>
        <v>Board-approved</v>
      </c>
      <c r="U390" s="91">
        <f t="shared" si="246"/>
        <v>0.72149024574602816</v>
      </c>
    </row>
    <row r="391" spans="3:21" x14ac:dyDescent="0.25">
      <c r="C391" s="26" t="s">
        <v>27</v>
      </c>
      <c r="D391" s="27">
        <f t="shared" si="238"/>
        <v>2016</v>
      </c>
      <c r="E391" s="91"/>
      <c r="F391" s="98" t="str">
        <f t="shared" si="239"/>
        <v>Actual</v>
      </c>
      <c r="G391" s="134">
        <v>45485979.196343958</v>
      </c>
      <c r="H391" s="31" t="s">
        <v>50</v>
      </c>
      <c r="I391" s="35"/>
      <c r="K391" s="94" t="str">
        <f t="shared" si="240"/>
        <v>Actual</v>
      </c>
      <c r="L391" s="95">
        <v>33699203.297900476</v>
      </c>
      <c r="M391" s="95">
        <v>33693637.109050058</v>
      </c>
      <c r="N391" s="37" t="str">
        <f t="shared" si="241"/>
        <v/>
      </c>
      <c r="O391" s="35"/>
      <c r="Q391" s="96" t="str">
        <f t="shared" si="242"/>
        <v>Actual</v>
      </c>
      <c r="R391" s="63">
        <f t="shared" si="243"/>
        <v>0.74087012950595399</v>
      </c>
      <c r="S391" s="28">
        <f t="shared" si="244"/>
        <v>0.74074775797633619</v>
      </c>
      <c r="T391" s="28" t="str">
        <f t="shared" si="245"/>
        <v/>
      </c>
      <c r="U391" s="91" t="str">
        <f t="shared" si="246"/>
        <v/>
      </c>
    </row>
    <row r="392" spans="3:21" x14ac:dyDescent="0.25">
      <c r="C392" s="26" t="s">
        <v>45</v>
      </c>
      <c r="D392" s="27">
        <f t="shared" si="238"/>
        <v>2017</v>
      </c>
      <c r="E392" s="91"/>
      <c r="F392" s="98" t="str">
        <f t="shared" si="239"/>
        <v>Forecast</v>
      </c>
      <c r="G392" s="134">
        <v>46707827.386570252</v>
      </c>
      <c r="H392" s="31" t="s">
        <v>50</v>
      </c>
      <c r="I392" s="35"/>
      <c r="K392" s="94" t="str">
        <f t="shared" si="240"/>
        <v>Forecast</v>
      </c>
      <c r="L392" s="102"/>
      <c r="M392" s="138">
        <v>33699241.859399639</v>
      </c>
      <c r="N392" s="37" t="str">
        <f t="shared" si="241"/>
        <v/>
      </c>
      <c r="O392" s="35"/>
      <c r="Q392" s="96" t="str">
        <f t="shared" si="242"/>
        <v>Forecast</v>
      </c>
      <c r="R392" s="63">
        <f t="shared" si="243"/>
        <v>0</v>
      </c>
      <c r="S392" s="28">
        <f t="shared" si="244"/>
        <v>0.72149024574602827</v>
      </c>
      <c r="T392" s="28" t="str">
        <f t="shared" si="245"/>
        <v/>
      </c>
      <c r="U392" s="91" t="str">
        <f t="shared" si="246"/>
        <v/>
      </c>
    </row>
    <row r="393" spans="3:21" ht="15.75" thickBot="1" x14ac:dyDescent="0.3">
      <c r="C393" s="39" t="s">
        <v>46</v>
      </c>
      <c r="D393" s="104">
        <v>2018</v>
      </c>
      <c r="E393" s="18"/>
      <c r="F393" s="105" t="str">
        <f t="shared" si="239"/>
        <v>Forecast</v>
      </c>
      <c r="G393" s="139">
        <v>53197160.848370813</v>
      </c>
      <c r="H393" s="43" t="s">
        <v>50</v>
      </c>
      <c r="I393" s="46"/>
      <c r="K393" s="108" t="str">
        <f t="shared" si="240"/>
        <v>Forecast</v>
      </c>
      <c r="L393" s="109"/>
      <c r="M393" s="140">
        <v>33491227.835203234</v>
      </c>
      <c r="N393" s="111" t="str">
        <f t="shared" si="241"/>
        <v/>
      </c>
      <c r="O393" s="46"/>
      <c r="Q393" s="141" t="str">
        <f t="shared" si="242"/>
        <v>Forecast</v>
      </c>
      <c r="R393" s="40">
        <f t="shared" si="243"/>
        <v>0</v>
      </c>
      <c r="S393" s="40">
        <f t="shared" si="244"/>
        <v>0.62956795627992468</v>
      </c>
      <c r="T393" s="40" t="str">
        <f t="shared" si="245"/>
        <v/>
      </c>
      <c r="U393" s="18" t="str">
        <f t="shared" si="246"/>
        <v/>
      </c>
    </row>
    <row r="394" spans="3:21" ht="15.75" thickBot="1" x14ac:dyDescent="0.3">
      <c r="C394" s="114"/>
      <c r="I394" s="52">
        <f>SUM(I387:I392)</f>
        <v>49968728.767791227</v>
      </c>
      <c r="J394" s="63"/>
      <c r="O394" s="52">
        <f>SUM(O387:O392)</f>
        <v>36051950.398290321</v>
      </c>
      <c r="U394" s="52">
        <f>SUM(U387:U392)</f>
        <v>0.72149024574602816</v>
      </c>
    </row>
    <row r="395" spans="3:21" ht="39" thickBot="1" x14ac:dyDescent="0.3">
      <c r="C395" s="115" t="s">
        <v>33</v>
      </c>
      <c r="D395" s="116" t="s">
        <v>34</v>
      </c>
      <c r="E395" s="270"/>
      <c r="F395" s="270"/>
      <c r="G395" s="270" t="s">
        <v>35</v>
      </c>
      <c r="H395" s="270"/>
      <c r="I395" s="60" t="str">
        <f>I374</f>
        <v>Test Year Versus Board-approved</v>
      </c>
      <c r="J395" s="142"/>
      <c r="K395" s="58" t="s">
        <v>34</v>
      </c>
      <c r="L395" s="308" t="s">
        <v>35</v>
      </c>
      <c r="M395" s="308"/>
      <c r="N395" s="270"/>
      <c r="O395" s="60" t="str">
        <f>I395</f>
        <v>Test Year Versus Board-approved</v>
      </c>
      <c r="P395" s="143"/>
      <c r="Q395" s="58" t="s">
        <v>34</v>
      </c>
      <c r="R395" s="308" t="s">
        <v>35</v>
      </c>
      <c r="S395" s="308"/>
      <c r="T395" s="270"/>
      <c r="U395" s="60" t="str">
        <f>O395</f>
        <v>Test Year Versus Board-approved</v>
      </c>
    </row>
    <row r="396" spans="3:21" x14ac:dyDescent="0.25">
      <c r="C396" s="91"/>
      <c r="D396" s="144">
        <f>D387</f>
        <v>2012</v>
      </c>
      <c r="E396" s="51"/>
      <c r="F396" s="63"/>
      <c r="G396" s="120"/>
      <c r="H396" s="63"/>
      <c r="I396" s="121"/>
      <c r="J396" s="91"/>
      <c r="K396" s="27">
        <f>D396</f>
        <v>2012</v>
      </c>
      <c r="L396" s="65"/>
      <c r="M396" s="65"/>
      <c r="N396" s="63"/>
      <c r="O396" s="145"/>
      <c r="P396" s="91"/>
      <c r="Q396" s="27">
        <f>K396</f>
        <v>2012</v>
      </c>
      <c r="R396" s="123"/>
      <c r="S396" s="123"/>
      <c r="T396" s="63"/>
      <c r="U396" s="35"/>
    </row>
    <row r="397" spans="3:21" x14ac:dyDescent="0.25">
      <c r="C397" s="91"/>
      <c r="D397" s="124">
        <f>D388</f>
        <v>2013</v>
      </c>
      <c r="E397" s="63"/>
      <c r="F397" s="63"/>
      <c r="G397" s="125">
        <f>IF(G387=0,"",G388/G387-1)</f>
        <v>-1.248326645181197E-2</v>
      </c>
      <c r="H397" s="63"/>
      <c r="I397" s="121"/>
      <c r="J397" s="91"/>
      <c r="K397" s="27">
        <f t="shared" ref="K397:K403" si="247">D397</f>
        <v>2013</v>
      </c>
      <c r="L397" s="67">
        <f>IF(L387=0,"",L388/L387-1)</f>
        <v>-2.3949834659186431E-2</v>
      </c>
      <c r="M397" s="67">
        <f>IF(M387=0,"",M388/M387-1)</f>
        <v>-1.7629101927034485E-2</v>
      </c>
      <c r="N397" s="63"/>
      <c r="O397" s="145"/>
      <c r="P397" s="91"/>
      <c r="Q397" s="27">
        <f t="shared" ref="Q397:Q403" si="248">K397</f>
        <v>2013</v>
      </c>
      <c r="R397" s="125">
        <f>IF(R387="","",IF(R387=0,"",R388/R387-1))</f>
        <v>-1.1611517878967637E-2</v>
      </c>
      <c r="S397" s="125">
        <f>IF(S387="","",IF(S387=0,"",S388/S387-1))</f>
        <v>-5.2108843327984822E-3</v>
      </c>
      <c r="T397" s="63"/>
      <c r="U397" s="35"/>
    </row>
    <row r="398" spans="3:21" x14ac:dyDescent="0.25">
      <c r="C398" s="91"/>
      <c r="D398" s="146">
        <f t="shared" ref="D398:D402" si="249">D389</f>
        <v>2014</v>
      </c>
      <c r="E398" s="63"/>
      <c r="F398" s="63"/>
      <c r="G398" s="125">
        <f t="shared" ref="G398:G402" si="250">IF(G388=0,"",G389/G388-1)</f>
        <v>1.877978613671627E-2</v>
      </c>
      <c r="H398" s="63"/>
      <c r="I398" s="121"/>
      <c r="J398" s="91"/>
      <c r="K398" s="27">
        <f t="shared" si="247"/>
        <v>2014</v>
      </c>
      <c r="L398" s="67">
        <f t="shared" ref="L398:M402" si="251">IF(L388=0,"",L389/L388-1)</f>
        <v>6.8719684974172246E-3</v>
      </c>
      <c r="M398" s="67">
        <f t="shared" si="251"/>
        <v>1.2125187244868885E-2</v>
      </c>
      <c r="N398" s="63"/>
      <c r="O398" s="145"/>
      <c r="P398" s="91"/>
      <c r="Q398" s="27">
        <f t="shared" si="248"/>
        <v>2014</v>
      </c>
      <c r="R398" s="125">
        <f t="shared" ref="R398:S402" si="252">IF(R388="","",IF(R388=0,"",R389/R388-1))</f>
        <v>-1.1688313609415357E-2</v>
      </c>
      <c r="S398" s="125">
        <f t="shared" si="252"/>
        <v>-6.5319306315276826E-3</v>
      </c>
      <c r="T398" s="63"/>
      <c r="U398" s="35"/>
    </row>
    <row r="399" spans="3:21" x14ac:dyDescent="0.25">
      <c r="C399" s="91"/>
      <c r="D399" s="124">
        <f t="shared" si="249"/>
        <v>2015</v>
      </c>
      <c r="E399" s="63"/>
      <c r="F399" s="63"/>
      <c r="G399" s="125">
        <f t="shared" si="250"/>
        <v>0.26765144617458603</v>
      </c>
      <c r="H399" s="63"/>
      <c r="I399" s="121"/>
      <c r="J399" s="91"/>
      <c r="K399" s="27">
        <f t="shared" si="247"/>
        <v>2015</v>
      </c>
      <c r="L399" s="67">
        <f t="shared" si="251"/>
        <v>-8.6123506012739659E-3</v>
      </c>
      <c r="M399" s="67">
        <f t="shared" si="251"/>
        <v>-1.1149372847722883E-2</v>
      </c>
      <c r="N399" s="63"/>
      <c r="O399" s="145"/>
      <c r="P399" s="91"/>
      <c r="Q399" s="27">
        <f t="shared" si="248"/>
        <v>2015</v>
      </c>
      <c r="R399" s="125">
        <f t="shared" si="252"/>
        <v>-0.21793356336992009</v>
      </c>
      <c r="S399" s="125">
        <f t="shared" si="252"/>
        <v>-0.21993491970024648</v>
      </c>
      <c r="T399" s="63"/>
      <c r="U399" s="35"/>
    </row>
    <row r="400" spans="3:21" x14ac:dyDescent="0.25">
      <c r="C400" s="91"/>
      <c r="D400" s="124">
        <f t="shared" si="249"/>
        <v>2016</v>
      </c>
      <c r="E400" s="63"/>
      <c r="F400" s="63"/>
      <c r="G400" s="125">
        <f t="shared" si="250"/>
        <v>6.5555571147925651E-2</v>
      </c>
      <c r="H400" s="63"/>
      <c r="I400" s="121"/>
      <c r="J400" s="91"/>
      <c r="K400" s="27">
        <f t="shared" si="247"/>
        <v>2016</v>
      </c>
      <c r="L400" s="67">
        <f t="shared" si="251"/>
        <v>-5.0018012405605217E-2</v>
      </c>
      <c r="M400" s="67">
        <f t="shared" si="251"/>
        <v>-4.4407769071625136E-2</v>
      </c>
      <c r="N400" s="63"/>
      <c r="O400" s="145"/>
      <c r="P400" s="91"/>
      <c r="Q400" s="27">
        <f t="shared" si="248"/>
        <v>2016</v>
      </c>
      <c r="R400" s="125">
        <f t="shared" si="252"/>
        <v>-0.10846321551209492</v>
      </c>
      <c r="S400" s="125">
        <f t="shared" si="252"/>
        <v>-0.10319812799729156</v>
      </c>
      <c r="T400" s="63"/>
      <c r="U400" s="35"/>
    </row>
    <row r="401" spans="2:22" x14ac:dyDescent="0.25">
      <c r="C401" s="91"/>
      <c r="D401" s="124">
        <f t="shared" si="249"/>
        <v>2017</v>
      </c>
      <c r="E401" s="63"/>
      <c r="F401" s="63"/>
      <c r="G401" s="125">
        <f t="shared" si="250"/>
        <v>2.6862083917158053E-2</v>
      </c>
      <c r="H401" s="63"/>
      <c r="I401" s="121"/>
      <c r="J401" s="91"/>
      <c r="K401" s="27">
        <f t="shared" si="247"/>
        <v>2017</v>
      </c>
      <c r="L401" s="67" t="str">
        <f>IF(K392="Forecast","",IF(L391=0,"",L392/L391-1))</f>
        <v/>
      </c>
      <c r="M401" s="67">
        <f t="shared" si="251"/>
        <v>1.6634447422347876E-4</v>
      </c>
      <c r="N401" s="63"/>
      <c r="O401" s="145"/>
      <c r="P401" s="91"/>
      <c r="Q401" s="27">
        <f t="shared" si="248"/>
        <v>2017</v>
      </c>
      <c r="R401" s="125" t="str">
        <f>IF(Q392="Forecast","",IF(R391=0,"",R392/R391-1))</f>
        <v/>
      </c>
      <c r="S401" s="125">
        <f t="shared" si="252"/>
        <v>-2.5997395230621945E-2</v>
      </c>
      <c r="T401" s="63"/>
      <c r="U401" s="35"/>
    </row>
    <row r="402" spans="2:22" x14ac:dyDescent="0.25">
      <c r="C402" s="91"/>
      <c r="D402" s="146">
        <f t="shared" si="249"/>
        <v>2018</v>
      </c>
      <c r="E402" s="63"/>
      <c r="F402" s="63"/>
      <c r="G402" s="125">
        <f t="shared" si="250"/>
        <v>0.13893460314676109</v>
      </c>
      <c r="H402" s="63"/>
      <c r="I402" s="127">
        <f>IF(I394=0,"",G393/I394-1)</f>
        <v>6.4609049703513E-2</v>
      </c>
      <c r="J402" s="91"/>
      <c r="K402" s="27">
        <f t="shared" si="247"/>
        <v>2018</v>
      </c>
      <c r="L402" s="67" t="str">
        <f>IF(K393="Forecast","",IF(L392=0,"",L393/L392-1))</f>
        <v/>
      </c>
      <c r="M402" s="67">
        <f t="shared" si="251"/>
        <v>-6.1726618380402165E-3</v>
      </c>
      <c r="N402" s="63"/>
      <c r="O402" s="127">
        <f>IF(O394=0,"",M393/O394-1)</f>
        <v>-7.1028683186264541E-2</v>
      </c>
      <c r="P402" s="91"/>
      <c r="Q402" s="27">
        <f t="shared" si="248"/>
        <v>2018</v>
      </c>
      <c r="R402" s="125" t="str">
        <f>IF(Q393="Forecast","",IF(R392=0,"",R393/R392-1))</f>
        <v/>
      </c>
      <c r="S402" s="125">
        <f t="shared" si="252"/>
        <v>-0.1274061430602641</v>
      </c>
      <c r="T402" s="63"/>
      <c r="U402" s="127">
        <f>IF(U394=0,"",S393/U394-1)</f>
        <v>-0.12740614306026399</v>
      </c>
    </row>
    <row r="403" spans="2:22" ht="30.75" thickBot="1" x14ac:dyDescent="0.3">
      <c r="C403" s="18"/>
      <c r="D403" s="128" t="s">
        <v>37</v>
      </c>
      <c r="E403" s="71"/>
      <c r="F403" s="71"/>
      <c r="G403" s="129">
        <f>IF(G387=0,"",(G393/G387)^(1/($D393-$D387-1))-1)</f>
        <v>9.7090185398725382E-2</v>
      </c>
      <c r="H403" s="71"/>
      <c r="I403" s="286">
        <f>IF(I394=0,"",(G393/I394)^(1/(TestYear-RebaseYear-1))-1)</f>
        <v>6.4609049703513E-2</v>
      </c>
      <c r="J403" s="91"/>
      <c r="K403" s="75" t="str">
        <f t="shared" si="247"/>
        <v>Geometric Mean</v>
      </c>
      <c r="L403" s="129">
        <f>IF(L387=0,"",(L391/L387)^(1/($D391-$D387-1))-1)</f>
        <v>-2.5455320403715564E-2</v>
      </c>
      <c r="M403" s="129">
        <f>IF(M387=0,"",(M393/M387)^(1/($D393-$D387-1))-1)</f>
        <v>-1.3585971531445362E-2</v>
      </c>
      <c r="N403" s="71"/>
      <c r="O403" s="286">
        <f>IF(O394=0,"",(M393/O394)^(1/(TestYear-RebaseYear-1))-1)</f>
        <v>-7.1028683186264541E-2</v>
      </c>
      <c r="P403" s="18"/>
      <c r="Q403" s="75" t="str">
        <f t="shared" si="248"/>
        <v>Geometric Mean</v>
      </c>
      <c r="R403" s="129">
        <f>IF(R387="","",IF(R387=0,"",(R391/R387)^(1/($D391-$D387-1))-1))</f>
        <v>-0.12016444733256271</v>
      </c>
      <c r="S403" s="129">
        <f>IF(S387="","",IF(S387=0,"",(S393/S387)^(1/($D393-$D387-1))-1))</f>
        <v>-0.10088154866680055</v>
      </c>
      <c r="T403" s="287"/>
      <c r="U403" s="286">
        <f>IF(U394=0,"",(S393/U394)^(1/(TestYear-RebaseYear-1))-1)</f>
        <v>-0.12740614306026399</v>
      </c>
    </row>
    <row r="404" spans="2:22" ht="15.75" thickBot="1" x14ac:dyDescent="0.3"/>
    <row r="405" spans="2:22" ht="15.75" thickBot="1" x14ac:dyDescent="0.3">
      <c r="B405" s="79">
        <f>B362+1</f>
        <v>9</v>
      </c>
      <c r="C405" s="80" t="s">
        <v>39</v>
      </c>
      <c r="D405" s="309" t="s">
        <v>56</v>
      </c>
      <c r="E405" s="310"/>
      <c r="F405" s="311"/>
      <c r="G405" s="81"/>
      <c r="H405" s="82" t="s">
        <v>41</v>
      </c>
      <c r="N405" s="83" t="s">
        <v>52</v>
      </c>
      <c r="O405" s="84"/>
      <c r="P405" s="84"/>
      <c r="Q405" s="84"/>
      <c r="R405" s="84"/>
      <c r="S405" s="84"/>
      <c r="T405" s="84"/>
      <c r="U405" s="84"/>
    </row>
    <row r="406" spans="2:22" ht="15.75" thickBot="1" x14ac:dyDescent="0.3">
      <c r="Q406" s="71"/>
      <c r="R406" s="71"/>
      <c r="S406" s="71"/>
      <c r="T406" s="71"/>
      <c r="U406" s="71"/>
    </row>
    <row r="407" spans="2:22" ht="14.65" customHeight="1" x14ac:dyDescent="0.25">
      <c r="C407" s="13"/>
      <c r="D407" s="14" t="s">
        <v>23</v>
      </c>
      <c r="E407" s="14"/>
      <c r="F407" s="312" t="s">
        <v>43</v>
      </c>
      <c r="G407" s="313"/>
      <c r="H407" s="313"/>
      <c r="I407" s="314"/>
      <c r="J407" s="14"/>
      <c r="K407" s="300" t="s">
        <v>24</v>
      </c>
      <c r="L407" s="301"/>
      <c r="M407" s="301"/>
      <c r="N407" s="301"/>
      <c r="O407" s="302"/>
      <c r="P407" s="15"/>
      <c r="Q407" s="303" t="str">
        <f>CONCATENATE("Consumption (kWh) per ",LEFT(F407,LEN(F407)-1))</f>
        <v>Consumption (kWh) per Customer</v>
      </c>
      <c r="R407" s="304"/>
      <c r="S407" s="304"/>
      <c r="T407" s="304"/>
      <c r="U407" s="305"/>
      <c r="V407" s="85"/>
    </row>
    <row r="408" spans="2:22" ht="39" thickBot="1" x14ac:dyDescent="0.3">
      <c r="C408" s="18"/>
      <c r="D408" s="19" t="str">
        <f>CONCATENATE("(for ",TestYear," Cost of Service")</f>
        <v>(for 2017 Cost of Service</v>
      </c>
      <c r="E408" s="26"/>
      <c r="F408" s="306"/>
      <c r="G408" s="307"/>
      <c r="H408" s="315"/>
      <c r="I408" s="86"/>
      <c r="J408" s="26"/>
      <c r="K408" s="22"/>
      <c r="L408" s="23" t="s">
        <v>25</v>
      </c>
      <c r="M408" s="23" t="s">
        <v>26</v>
      </c>
      <c r="N408" s="24"/>
      <c r="O408" s="25" t="s">
        <v>26</v>
      </c>
      <c r="P408" s="26"/>
      <c r="Q408" s="87"/>
      <c r="R408" s="88" t="str">
        <f>L408</f>
        <v>Actual (Weather actual)</v>
      </c>
      <c r="S408" s="89" t="str">
        <f>M408</f>
        <v>Weather-normalized</v>
      </c>
      <c r="T408" s="89"/>
      <c r="U408" s="90" t="str">
        <f>O408</f>
        <v>Weather-normalized</v>
      </c>
      <c r="V408" s="85"/>
    </row>
    <row r="409" spans="2:22" x14ac:dyDescent="0.25">
      <c r="C409" s="26" t="s">
        <v>27</v>
      </c>
      <c r="D409" s="27">
        <f t="shared" ref="D409:D414" si="253">D410-1</f>
        <v>2012</v>
      </c>
      <c r="E409" s="91"/>
      <c r="F409" s="92" t="str">
        <f>F366</f>
        <v>Actual</v>
      </c>
      <c r="G409" s="93">
        <v>1185</v>
      </c>
      <c r="H409" s="32" t="str">
        <f t="shared" ref="H409:H415" si="254">IF(D409=RebaseYear,"Board-approved","")</f>
        <v/>
      </c>
      <c r="I409" s="35"/>
      <c r="J409" s="91"/>
      <c r="K409" s="94" t="str">
        <f>F409</f>
        <v>Actual</v>
      </c>
      <c r="L409" s="95">
        <v>677205538.33000004</v>
      </c>
      <c r="M409" s="95">
        <v>693742215.57408094</v>
      </c>
      <c r="N409" s="37" t="str">
        <f>H409</f>
        <v/>
      </c>
      <c r="O409" s="35"/>
      <c r="P409" s="91"/>
      <c r="Q409" s="96" t="str">
        <f>K409</f>
        <v>Actual</v>
      </c>
      <c r="R409" s="97">
        <f>IF(G409=0,"",L409/G409)</f>
        <v>571481.46694514772</v>
      </c>
      <c r="S409" s="63">
        <f>IF(G409=0,"",M409/G409)</f>
        <v>585436.46883888682</v>
      </c>
      <c r="T409" s="63" t="str">
        <f>N409</f>
        <v/>
      </c>
      <c r="U409" s="63" t="str">
        <f>IF(T409="","",IF(I409=0,"",O409/I409))</f>
        <v/>
      </c>
      <c r="V409" s="28"/>
    </row>
    <row r="410" spans="2:22" x14ac:dyDescent="0.25">
      <c r="C410" s="26" t="s">
        <v>27</v>
      </c>
      <c r="D410" s="27">
        <f t="shared" si="253"/>
        <v>2013</v>
      </c>
      <c r="E410" s="91"/>
      <c r="F410" s="98" t="str">
        <f t="shared" ref="F410:F415" si="255">F367</f>
        <v>Actual</v>
      </c>
      <c r="G410" s="93">
        <v>1183.5989058301743</v>
      </c>
      <c r="H410" s="32" t="str">
        <f t="shared" si="254"/>
        <v/>
      </c>
      <c r="I410" s="35"/>
      <c r="J410" s="91"/>
      <c r="K410" s="94" t="str">
        <f t="shared" ref="K410:K415" si="256">F410</f>
        <v>Actual</v>
      </c>
      <c r="L410" s="95">
        <v>606535860.29025757</v>
      </c>
      <c r="M410" s="95">
        <v>601842664.41736758</v>
      </c>
      <c r="N410" s="37" t="str">
        <f t="shared" ref="N410:N415" si="257">H410</f>
        <v/>
      </c>
      <c r="O410" s="35"/>
      <c r="P410" s="91"/>
      <c r="Q410" s="96" t="str">
        <f t="shared" ref="Q410:Q415" si="258">K410</f>
        <v>Actual</v>
      </c>
      <c r="R410" s="97">
        <f t="shared" ref="R410:R415" si="259">IF(G410=0,"",L410/G410)</f>
        <v>512450.50777132506</v>
      </c>
      <c r="S410" s="63">
        <f t="shared" ref="S410:S415" si="260">IF(G410=0,"",M410/G410)</f>
        <v>508485.31664976163</v>
      </c>
      <c r="T410" s="63" t="str">
        <f t="shared" ref="T410:T415" si="261">N410</f>
        <v/>
      </c>
      <c r="U410" s="63" t="str">
        <f t="shared" ref="U410:U415" si="262">IF(T410="","",IF(I410=0,"",O410/I410))</f>
        <v/>
      </c>
      <c r="V410" s="28"/>
    </row>
    <row r="411" spans="2:22" x14ac:dyDescent="0.25">
      <c r="C411" s="26" t="s">
        <v>27</v>
      </c>
      <c r="D411" s="27">
        <f t="shared" si="253"/>
        <v>2014</v>
      </c>
      <c r="E411" s="91"/>
      <c r="F411" s="98" t="str">
        <f t="shared" si="255"/>
        <v>Actual</v>
      </c>
      <c r="G411" s="93">
        <v>1167</v>
      </c>
      <c r="H411" s="32" t="str">
        <f t="shared" si="254"/>
        <v/>
      </c>
      <c r="I411" s="36"/>
      <c r="J411" s="91"/>
      <c r="K411" s="94" t="str">
        <f t="shared" si="256"/>
        <v>Actual</v>
      </c>
      <c r="L411" s="95">
        <v>627727054.79736102</v>
      </c>
      <c r="M411" s="95">
        <v>593507659.33110428</v>
      </c>
      <c r="N411" s="37" t="str">
        <f t="shared" si="257"/>
        <v/>
      </c>
      <c r="O411" s="36"/>
      <c r="P411" s="91"/>
      <c r="Q411" s="96" t="str">
        <f t="shared" si="258"/>
        <v>Actual</v>
      </c>
      <c r="R411" s="97">
        <f t="shared" si="259"/>
        <v>537898.07609028369</v>
      </c>
      <c r="S411" s="63">
        <f t="shared" si="260"/>
        <v>508575.54355707305</v>
      </c>
      <c r="T411" s="63" t="str">
        <f t="shared" si="261"/>
        <v/>
      </c>
      <c r="U411" s="63" t="str">
        <f t="shared" si="262"/>
        <v/>
      </c>
      <c r="V411" s="28"/>
    </row>
    <row r="412" spans="2:22" x14ac:dyDescent="0.25">
      <c r="C412" s="26" t="s">
        <v>27</v>
      </c>
      <c r="D412" s="27">
        <f t="shared" si="253"/>
        <v>2015</v>
      </c>
      <c r="E412" s="91"/>
      <c r="F412" s="98" t="str">
        <f t="shared" si="255"/>
        <v>Actual</v>
      </c>
      <c r="G412" s="93">
        <v>1893.422474724623</v>
      </c>
      <c r="H412" s="32" t="s">
        <v>29</v>
      </c>
      <c r="I412" s="100">
        <v>1912.6699858357695</v>
      </c>
      <c r="J412" s="91"/>
      <c r="K412" s="94" t="str">
        <f t="shared" si="256"/>
        <v>Actual</v>
      </c>
      <c r="L412" s="95">
        <v>1063583542.5323808</v>
      </c>
      <c r="M412" s="95">
        <v>1054032667.266134</v>
      </c>
      <c r="N412" s="37" t="str">
        <f t="shared" si="257"/>
        <v>Board-approved</v>
      </c>
      <c r="O412" s="35">
        <v>1085625235.6860096</v>
      </c>
      <c r="P412" s="91"/>
      <c r="Q412" s="96" t="str">
        <f t="shared" si="258"/>
        <v>Actual</v>
      </c>
      <c r="R412" s="97">
        <f t="shared" si="259"/>
        <v>561725.4240562804</v>
      </c>
      <c r="S412" s="63">
        <f t="shared" si="260"/>
        <v>556681.18517470919</v>
      </c>
      <c r="T412" s="63" t="str">
        <f t="shared" si="261"/>
        <v>Board-approved</v>
      </c>
      <c r="U412" s="63">
        <f t="shared" si="262"/>
        <v>567596.73321878875</v>
      </c>
      <c r="V412" s="28"/>
    </row>
    <row r="413" spans="2:22" x14ac:dyDescent="0.25">
      <c r="C413" s="26" t="s">
        <v>27</v>
      </c>
      <c r="D413" s="27">
        <f t="shared" si="253"/>
        <v>2016</v>
      </c>
      <c r="E413" s="91"/>
      <c r="F413" s="98" t="str">
        <f t="shared" si="255"/>
        <v>Actual</v>
      </c>
      <c r="G413" s="93">
        <v>1715</v>
      </c>
      <c r="H413" s="32" t="str">
        <f t="shared" si="254"/>
        <v/>
      </c>
      <c r="I413" s="35"/>
      <c r="J413" s="91"/>
      <c r="K413" s="94" t="str">
        <f t="shared" si="256"/>
        <v>Actual</v>
      </c>
      <c r="L413" s="95">
        <v>1035844241.9053931</v>
      </c>
      <c r="M413" s="95">
        <v>1047096703.9213717</v>
      </c>
      <c r="N413" s="37" t="str">
        <f t="shared" si="257"/>
        <v/>
      </c>
      <c r="O413" s="35"/>
      <c r="P413" s="91"/>
      <c r="Q413" s="96" t="str">
        <f t="shared" si="258"/>
        <v>Actual</v>
      </c>
      <c r="R413" s="97">
        <f t="shared" si="259"/>
        <v>603990.81160664326</v>
      </c>
      <c r="S413" s="63">
        <f t="shared" si="260"/>
        <v>610552.01394832169</v>
      </c>
      <c r="T413" s="63" t="str">
        <f t="shared" si="261"/>
        <v/>
      </c>
      <c r="U413" s="63" t="str">
        <f t="shared" si="262"/>
        <v/>
      </c>
      <c r="V413" s="28"/>
    </row>
    <row r="414" spans="2:22" x14ac:dyDescent="0.25">
      <c r="C414" s="26" t="s">
        <v>30</v>
      </c>
      <c r="D414" s="27">
        <f t="shared" si="253"/>
        <v>2017</v>
      </c>
      <c r="E414" s="91"/>
      <c r="F414" s="98" t="str">
        <f t="shared" si="255"/>
        <v>Forecast</v>
      </c>
      <c r="G414" s="93">
        <v>1714.5902134534044</v>
      </c>
      <c r="H414" s="32" t="str">
        <f t="shared" si="254"/>
        <v/>
      </c>
      <c r="I414" s="35"/>
      <c r="J414" s="91"/>
      <c r="K414" s="94" t="str">
        <f t="shared" si="256"/>
        <v>Forecast</v>
      </c>
      <c r="L414" s="102"/>
      <c r="M414" s="103">
        <v>1046372417.856056</v>
      </c>
      <c r="N414" s="37" t="str">
        <f t="shared" si="257"/>
        <v/>
      </c>
      <c r="O414" s="35"/>
      <c r="P414" s="91"/>
      <c r="Q414" s="96" t="str">
        <f t="shared" si="258"/>
        <v>Forecast</v>
      </c>
      <c r="R414" s="97">
        <f t="shared" si="259"/>
        <v>0</v>
      </c>
      <c r="S414" s="63">
        <f t="shared" si="260"/>
        <v>610275.51052477304</v>
      </c>
      <c r="T414" s="63" t="str">
        <f t="shared" si="261"/>
        <v/>
      </c>
      <c r="U414" s="63" t="str">
        <f t="shared" si="262"/>
        <v/>
      </c>
      <c r="V414" s="28"/>
    </row>
    <row r="415" spans="2:22" ht="15.75" thickBot="1" x14ac:dyDescent="0.3">
      <c r="C415" s="39" t="s">
        <v>32</v>
      </c>
      <c r="D415" s="104">
        <v>2018</v>
      </c>
      <c r="E415" s="18"/>
      <c r="F415" s="105" t="str">
        <f t="shared" si="255"/>
        <v>Forecast</v>
      </c>
      <c r="G415" s="106">
        <v>1744.2364648136806</v>
      </c>
      <c r="H415" s="44" t="str">
        <f t="shared" si="254"/>
        <v/>
      </c>
      <c r="I415" s="46"/>
      <c r="J415" s="18"/>
      <c r="K415" s="108" t="str">
        <f t="shared" si="256"/>
        <v>Forecast</v>
      </c>
      <c r="L415" s="109"/>
      <c r="M415" s="110">
        <v>1057526027.8163948</v>
      </c>
      <c r="N415" s="111" t="str">
        <f t="shared" si="257"/>
        <v/>
      </c>
      <c r="O415" s="46"/>
      <c r="P415" s="18"/>
      <c r="Q415" s="112" t="str">
        <f t="shared" si="258"/>
        <v>Forecast</v>
      </c>
      <c r="R415" s="113">
        <f t="shared" si="259"/>
        <v>0</v>
      </c>
      <c r="S415" s="71">
        <f t="shared" si="260"/>
        <v>606297.39668317267</v>
      </c>
      <c r="T415" s="71" t="str">
        <f t="shared" si="261"/>
        <v/>
      </c>
      <c r="U415" s="71" t="str">
        <f t="shared" si="262"/>
        <v/>
      </c>
      <c r="V415" s="28"/>
    </row>
    <row r="416" spans="2:22" ht="15.75" thickBot="1" x14ac:dyDescent="0.3">
      <c r="B416" s="63"/>
      <c r="C416" s="114"/>
      <c r="I416" s="52">
        <f>SUM(I409:I414)</f>
        <v>1912.6699858357695</v>
      </c>
      <c r="O416" s="52">
        <f>SUM(O409:O414)</f>
        <v>1085625235.6860096</v>
      </c>
      <c r="U416" s="52">
        <f>SUM(U409:U414)</f>
        <v>567596.73321878875</v>
      </c>
    </row>
    <row r="417" spans="3:21" ht="39" thickBot="1" x14ac:dyDescent="0.3">
      <c r="C417" s="115" t="s">
        <v>33</v>
      </c>
      <c r="D417" s="116" t="s">
        <v>34</v>
      </c>
      <c r="E417" s="48"/>
      <c r="F417" s="48"/>
      <c r="G417" s="270" t="s">
        <v>35</v>
      </c>
      <c r="H417" s="48"/>
      <c r="I417" s="60" t="s">
        <v>44</v>
      </c>
      <c r="J417" s="117"/>
      <c r="K417" s="58" t="s">
        <v>34</v>
      </c>
      <c r="L417" s="308" t="s">
        <v>35</v>
      </c>
      <c r="M417" s="308"/>
      <c r="N417" s="48"/>
      <c r="O417" s="60" t="str">
        <f>I417</f>
        <v>Test Year Versus Board-approved</v>
      </c>
      <c r="P417" s="118"/>
      <c r="Q417" s="58" t="s">
        <v>34</v>
      </c>
      <c r="R417" s="308" t="s">
        <v>35</v>
      </c>
      <c r="S417" s="308"/>
      <c r="T417" s="48"/>
      <c r="U417" s="60" t="str">
        <f>O417</f>
        <v>Test Year Versus Board-approved</v>
      </c>
    </row>
    <row r="418" spans="3:21" x14ac:dyDescent="0.25">
      <c r="C418" s="91"/>
      <c r="D418" s="119">
        <f t="shared" ref="D418:D424" si="263">D409</f>
        <v>2012</v>
      </c>
      <c r="E418" s="63"/>
      <c r="F418" s="63"/>
      <c r="G418" s="120"/>
      <c r="H418" s="63"/>
      <c r="I418" s="121"/>
      <c r="J418" s="122"/>
      <c r="K418" s="27">
        <f>D418</f>
        <v>2012</v>
      </c>
      <c r="L418" s="65"/>
      <c r="M418" s="65"/>
      <c r="N418" s="63"/>
      <c r="O418" s="35"/>
      <c r="P418" s="91"/>
      <c r="Q418" s="27">
        <f>K418</f>
        <v>2012</v>
      </c>
      <c r="R418" s="123"/>
      <c r="S418" s="123"/>
      <c r="T418" s="63"/>
      <c r="U418" s="35"/>
    </row>
    <row r="419" spans="3:21" x14ac:dyDescent="0.25">
      <c r="C419" s="91"/>
      <c r="D419" s="124">
        <f t="shared" si="263"/>
        <v>2013</v>
      </c>
      <c r="E419" s="63"/>
      <c r="F419" s="63"/>
      <c r="G419" s="125">
        <f t="shared" ref="G419:G424" si="264">IF(G409=0,"",G410/G409-1)</f>
        <v>-1.1823579492199476E-3</v>
      </c>
      <c r="H419" s="63"/>
      <c r="I419" s="121"/>
      <c r="J419" s="122"/>
      <c r="K419" s="27">
        <f t="shared" ref="K419:K425" si="265">D419</f>
        <v>2013</v>
      </c>
      <c r="L419" s="67">
        <f t="shared" ref="L419:M422" si="266">IF(L409=0,"",L410/L409-1)</f>
        <v>-0.10435484360333946</v>
      </c>
      <c r="M419" s="67">
        <f t="shared" si="266"/>
        <v>-0.13246930789798517</v>
      </c>
      <c r="N419" s="63"/>
      <c r="O419" s="35"/>
      <c r="P419" s="91"/>
      <c r="Q419" s="27">
        <f t="shared" ref="Q419:Q425" si="267">K419</f>
        <v>2013</v>
      </c>
      <c r="R419" s="125">
        <f>IF(R409="","",IF(R409=0,"",R410/R409-1))</f>
        <v>-0.10329461686548203</v>
      </c>
      <c r="S419" s="125">
        <f>IF(S409="","",IF(S409=0,"",S410/S409-1))</f>
        <v>-0.13144236187018665</v>
      </c>
      <c r="T419" s="63"/>
      <c r="U419" s="35"/>
    </row>
    <row r="420" spans="3:21" x14ac:dyDescent="0.25">
      <c r="C420" s="91"/>
      <c r="D420" s="124">
        <f t="shared" si="263"/>
        <v>2014</v>
      </c>
      <c r="E420" s="63"/>
      <c r="F420" s="63"/>
      <c r="G420" s="125">
        <f t="shared" si="264"/>
        <v>-1.4024096971035904E-2</v>
      </c>
      <c r="H420" s="63"/>
      <c r="I420" s="121"/>
      <c r="J420" s="122"/>
      <c r="K420" s="27">
        <f t="shared" si="265"/>
        <v>2014</v>
      </c>
      <c r="L420" s="67">
        <f t="shared" si="266"/>
        <v>3.4938073565778049E-2</v>
      </c>
      <c r="M420" s="67">
        <f t="shared" si="266"/>
        <v>-1.3849142938931136E-2</v>
      </c>
      <c r="N420" s="63"/>
      <c r="O420" s="35"/>
      <c r="P420" s="91"/>
      <c r="Q420" s="27">
        <f t="shared" si="267"/>
        <v>2014</v>
      </c>
      <c r="R420" s="125">
        <f t="shared" ref="R420:S424" si="268">IF(R410="","",IF(R410=0,"",R411/R410-1))</f>
        <v>4.9658587381699482E-2</v>
      </c>
      <c r="S420" s="125">
        <f t="shared" si="268"/>
        <v>1.7744250297302422E-4</v>
      </c>
      <c r="T420" s="63"/>
      <c r="U420" s="35"/>
    </row>
    <row r="421" spans="3:21" x14ac:dyDescent="0.25">
      <c r="C421" s="91"/>
      <c r="D421" s="124">
        <f t="shared" si="263"/>
        <v>2015</v>
      </c>
      <c r="E421" s="63"/>
      <c r="F421" s="63"/>
      <c r="G421" s="125">
        <f t="shared" si="264"/>
        <v>0.62246998691055966</v>
      </c>
      <c r="H421" s="63"/>
      <c r="I421" s="121"/>
      <c r="J421" s="122"/>
      <c r="K421" s="27">
        <f t="shared" si="265"/>
        <v>2015</v>
      </c>
      <c r="L421" s="67">
        <f t="shared" si="266"/>
        <v>0.69434077184345711</v>
      </c>
      <c r="M421" s="67">
        <f t="shared" si="266"/>
        <v>0.77593776709478557</v>
      </c>
      <c r="N421" s="63"/>
      <c r="O421" s="35"/>
      <c r="P421" s="91"/>
      <c r="Q421" s="27">
        <f t="shared" si="267"/>
        <v>2015</v>
      </c>
      <c r="R421" s="125">
        <f t="shared" si="268"/>
        <v>4.4297142944228263E-2</v>
      </c>
      <c r="S421" s="125">
        <f t="shared" si="268"/>
        <v>9.4588979409383711E-2</v>
      </c>
      <c r="T421" s="63"/>
      <c r="U421" s="35"/>
    </row>
    <row r="422" spans="3:21" x14ac:dyDescent="0.25">
      <c r="C422" s="91"/>
      <c r="D422" s="124">
        <f t="shared" si="263"/>
        <v>2016</v>
      </c>
      <c r="E422" s="63"/>
      <c r="F422" s="63"/>
      <c r="G422" s="125">
        <f t="shared" si="264"/>
        <v>-9.4232785924109552E-2</v>
      </c>
      <c r="H422" s="63"/>
      <c r="I422" s="121"/>
      <c r="J422" s="122"/>
      <c r="K422" s="27">
        <f t="shared" si="265"/>
        <v>2016</v>
      </c>
      <c r="L422" s="67">
        <f t="shared" si="266"/>
        <v>-2.6080979554216066E-2</v>
      </c>
      <c r="M422" s="67">
        <f t="shared" si="266"/>
        <v>-6.5804064334669121E-3</v>
      </c>
      <c r="N422" s="63"/>
      <c r="O422" s="35"/>
      <c r="P422" s="91"/>
      <c r="Q422" s="27">
        <f t="shared" si="267"/>
        <v>2016</v>
      </c>
      <c r="R422" s="125">
        <f t="shared" si="268"/>
        <v>7.5242076894365795E-2</v>
      </c>
      <c r="S422" s="125">
        <f t="shared" si="268"/>
        <v>9.6771419994562402E-2</v>
      </c>
      <c r="T422" s="63"/>
      <c r="U422" s="35"/>
    </row>
    <row r="423" spans="3:21" x14ac:dyDescent="0.25">
      <c r="C423" s="91"/>
      <c r="D423" s="124">
        <f t="shared" si="263"/>
        <v>2017</v>
      </c>
      <c r="E423" s="63"/>
      <c r="F423" s="63"/>
      <c r="G423" s="125">
        <f t="shared" si="264"/>
        <v>-2.3894259276713292E-4</v>
      </c>
      <c r="H423" s="63"/>
      <c r="I423" s="121"/>
      <c r="J423" s="122"/>
      <c r="K423" s="27">
        <f t="shared" si="265"/>
        <v>2017</v>
      </c>
      <c r="L423" s="67" t="str">
        <f>IF(K414="Forecast","",IF(L413=0,"",L414/L413-1))</f>
        <v/>
      </c>
      <c r="M423" s="67">
        <f>IF(M413=0,"",M414/M413-1)</f>
        <v>-6.9170885802927184E-4</v>
      </c>
      <c r="N423" s="63"/>
      <c r="O423" s="35"/>
      <c r="P423" s="91"/>
      <c r="Q423" s="27">
        <f t="shared" si="267"/>
        <v>2017</v>
      </c>
      <c r="R423" s="125" t="str">
        <f>IF(Q414="Forecast","",IF(R413=0,"",R414/R413-1))</f>
        <v/>
      </c>
      <c r="S423" s="125">
        <f t="shared" si="268"/>
        <v>-4.5287447626374266E-4</v>
      </c>
      <c r="T423" s="63"/>
      <c r="U423" s="35"/>
    </row>
    <row r="424" spans="3:21" x14ac:dyDescent="0.25">
      <c r="C424" s="91"/>
      <c r="D424" s="124">
        <f t="shared" si="263"/>
        <v>2018</v>
      </c>
      <c r="E424" s="63"/>
      <c r="F424" s="63"/>
      <c r="G424" s="125">
        <f t="shared" si="264"/>
        <v>1.7290575396767816E-2</v>
      </c>
      <c r="H424" s="63"/>
      <c r="I424" s="127">
        <f>IF(I416=0,"",G415/I416-1)</f>
        <v>-8.8061987833457533E-2</v>
      </c>
      <c r="J424" s="122"/>
      <c r="K424" s="27">
        <f t="shared" si="265"/>
        <v>2018</v>
      </c>
      <c r="L424" s="67" t="str">
        <f>IF(K415="Forecast","",IF(L414=0,"",L415/L414-1))</f>
        <v/>
      </c>
      <c r="M424" s="67">
        <f>IF(M414=0,"",M415/M414-1)</f>
        <v>1.0659311895081958E-2</v>
      </c>
      <c r="N424" s="63"/>
      <c r="O424" s="127">
        <f>IF(O416=0,"",M415/O416-1)</f>
        <v>-2.5882972268840843E-2</v>
      </c>
      <c r="P424" s="91"/>
      <c r="Q424" s="27">
        <f t="shared" si="267"/>
        <v>2018</v>
      </c>
      <c r="R424" s="125" t="str">
        <f>IF(Q415="Forecast","",IF(R414=0,"",R415/R414-1))</f>
        <v/>
      </c>
      <c r="S424" s="125">
        <f t="shared" si="268"/>
        <v>-6.5185539530819847E-3</v>
      </c>
      <c r="T424" s="63"/>
      <c r="U424" s="127">
        <f>IF(U416=0,"",S415/U416-1)</f>
        <v>6.8183379500646568E-2</v>
      </c>
    </row>
    <row r="425" spans="3:21" ht="30.75" thickBot="1" x14ac:dyDescent="0.3">
      <c r="C425" s="18"/>
      <c r="D425" s="128" t="s">
        <v>37</v>
      </c>
      <c r="E425" s="71"/>
      <c r="F425" s="71"/>
      <c r="G425" s="129">
        <f>IF(G409=0,"",(G415/G409)^(1/($D415-$D409-1))-1)</f>
        <v>8.0382155104821607E-2</v>
      </c>
      <c r="H425" s="71"/>
      <c r="I425" s="286">
        <f>IF(I416=0,"",(G415/I416)^(1/(TestYear-RebaseYear-1))-1)</f>
        <v>-8.8061987833457533E-2</v>
      </c>
      <c r="J425" s="74"/>
      <c r="K425" s="75" t="str">
        <f t="shared" si="265"/>
        <v>Geometric Mean</v>
      </c>
      <c r="L425" s="129">
        <f>IF(L409=0,"",(L413/L409)^(1/($D413-$D409-1))-1)</f>
        <v>0.15219145931575695</v>
      </c>
      <c r="M425" s="129">
        <f>IF(M409=0,"",(M415/M409)^(1/($D415-$D409-1))-1)</f>
        <v>8.7974179202251257E-2</v>
      </c>
      <c r="N425" s="71"/>
      <c r="O425" s="286">
        <f>IF(O416=0,"",(M415/O416)^(1/(TestYear-RebaseYear-1))-1)</f>
        <v>-2.5882972268840843E-2</v>
      </c>
      <c r="P425" s="18"/>
      <c r="Q425" s="75" t="str">
        <f t="shared" si="267"/>
        <v>Geometric Mean</v>
      </c>
      <c r="R425" s="129">
        <f>IF(R409="","",IF(R409=0,"",(R413/R409)^(1/($D413-$D409-1))-1))</f>
        <v>1.8613420118133162E-2</v>
      </c>
      <c r="S425" s="129">
        <f>IF(S409="","",IF(S409=0,"",(S415/S409)^(1/($D415-$D409-1))-1))</f>
        <v>7.0271653984259608E-3</v>
      </c>
      <c r="T425" s="287"/>
      <c r="U425" s="286">
        <f>IF(U416=0,"",(S415/U416)^(1/(TestYear-RebaseYear-1))-1)</f>
        <v>6.8183379500646568E-2</v>
      </c>
    </row>
    <row r="427" spans="3:21" ht="15.75" thickBot="1" x14ac:dyDescent="0.3">
      <c r="Q427" s="71"/>
      <c r="R427" s="71"/>
      <c r="S427" s="71"/>
      <c r="T427" s="71"/>
      <c r="U427" s="71"/>
    </row>
    <row r="428" spans="3:21" ht="14.65" customHeight="1" x14ac:dyDescent="0.25">
      <c r="C428" s="13"/>
      <c r="D428" s="14" t="s">
        <v>23</v>
      </c>
      <c r="E428" s="14"/>
      <c r="F428" s="297" t="s">
        <v>10</v>
      </c>
      <c r="G428" s="298"/>
      <c r="H428" s="298"/>
      <c r="I428" s="299"/>
      <c r="K428" s="300" t="str">
        <f>IF(ISBLANK(N405),"",CONCATENATE("Demand (",N405,")"))</f>
        <v>Demand (kW)</v>
      </c>
      <c r="L428" s="301"/>
      <c r="M428" s="301"/>
      <c r="N428" s="301"/>
      <c r="O428" s="302"/>
      <c r="Q428" s="303" t="str">
        <f>CONCATENATE("Demand (",N405,") per ",LEFT(F407,LEN(F407)-1))</f>
        <v>Demand (kW) per Customer</v>
      </c>
      <c r="R428" s="304"/>
      <c r="S428" s="304"/>
      <c r="T428" s="304"/>
      <c r="U428" s="305"/>
    </row>
    <row r="429" spans="3:21" ht="39" thickBot="1" x14ac:dyDescent="0.3">
      <c r="C429" s="18"/>
      <c r="D429" s="19" t="str">
        <f>CONCATENATE("(for ",TestYear," Cost of Service")</f>
        <v>(for 2017 Cost of Service</v>
      </c>
      <c r="E429" s="26"/>
      <c r="F429" s="306"/>
      <c r="G429" s="307"/>
      <c r="H429" s="307"/>
      <c r="I429" s="86"/>
      <c r="K429" s="22"/>
      <c r="L429" s="23" t="s">
        <v>25</v>
      </c>
      <c r="M429" s="23" t="s">
        <v>26</v>
      </c>
      <c r="N429" s="24"/>
      <c r="O429" s="25" t="str">
        <f>M429</f>
        <v>Weather-normalized</v>
      </c>
      <c r="Q429" s="132"/>
      <c r="R429" s="23" t="str">
        <f>L429</f>
        <v>Actual (Weather actual)</v>
      </c>
      <c r="S429" s="23" t="str">
        <f>M429</f>
        <v>Weather-normalized</v>
      </c>
      <c r="T429" s="23"/>
      <c r="U429" s="133" t="str">
        <f>O429</f>
        <v>Weather-normalized</v>
      </c>
    </row>
    <row r="430" spans="3:21" x14ac:dyDescent="0.25">
      <c r="C430" s="26" t="s">
        <v>27</v>
      </c>
      <c r="D430" s="27">
        <f t="shared" ref="D430:D435" si="269">D431-1</f>
        <v>2012</v>
      </c>
      <c r="E430" s="91"/>
      <c r="F430" s="92" t="str">
        <f t="shared" ref="F430:F436" si="270">F409</f>
        <v>Actual</v>
      </c>
      <c r="G430" s="134">
        <v>16125897.284940522</v>
      </c>
      <c r="H430" s="31" t="s">
        <v>50</v>
      </c>
      <c r="I430" s="135"/>
      <c r="K430" s="94" t="str">
        <f t="shared" ref="K430:K436" si="271">K409</f>
        <v>Actual</v>
      </c>
      <c r="L430" s="95">
        <v>1914574.9278038079</v>
      </c>
      <c r="M430" s="95">
        <v>1885788</v>
      </c>
      <c r="N430" s="37" t="str">
        <f t="shared" ref="N430:N436" si="272">N409</f>
        <v/>
      </c>
      <c r="O430" s="35"/>
      <c r="Q430" s="96" t="str">
        <f>K430</f>
        <v>Actual</v>
      </c>
      <c r="R430" s="63">
        <f>IF(G430=0,"",L430/G430)</f>
        <v>0.11872672223900188</v>
      </c>
      <c r="S430" s="28">
        <f>IF(G430=0,"",M430/G430)</f>
        <v>0.1169415857411593</v>
      </c>
      <c r="T430" s="28" t="str">
        <f>N430</f>
        <v/>
      </c>
      <c r="U430" s="91" t="str">
        <f>IF(T430="","",IF(I430=0,"",O430/I430))</f>
        <v/>
      </c>
    </row>
    <row r="431" spans="3:21" x14ac:dyDescent="0.25">
      <c r="C431" s="26" t="s">
        <v>27</v>
      </c>
      <c r="D431" s="27">
        <f t="shared" si="269"/>
        <v>2013</v>
      </c>
      <c r="E431" s="91"/>
      <c r="F431" s="98" t="str">
        <f t="shared" si="270"/>
        <v>Actual</v>
      </c>
      <c r="G431" s="134">
        <v>13391581.670117944</v>
      </c>
      <c r="H431" s="31" t="s">
        <v>50</v>
      </c>
      <c r="I431" s="35"/>
      <c r="K431" s="94" t="str">
        <f t="shared" si="271"/>
        <v>Actual</v>
      </c>
      <c r="L431" s="95">
        <v>1878537.917704805</v>
      </c>
      <c r="M431" s="95">
        <v>1862275.0083318797</v>
      </c>
      <c r="N431" s="37" t="str">
        <f t="shared" si="272"/>
        <v/>
      </c>
      <c r="O431" s="35"/>
      <c r="Q431" s="96" t="str">
        <f t="shared" ref="Q431:Q436" si="273">K431</f>
        <v>Actual</v>
      </c>
      <c r="R431" s="63">
        <f t="shared" ref="R431:R436" si="274">IF(G431=0,"",L431/G431)</f>
        <v>0.14027752389372988</v>
      </c>
      <c r="S431" s="28">
        <f t="shared" ref="S431:S436" si="275">IF(G431=0,"",M431/G431)</f>
        <v>0.13906311100557833</v>
      </c>
      <c r="T431" s="28" t="str">
        <f t="shared" ref="T431:T436" si="276">N431</f>
        <v/>
      </c>
      <c r="U431" s="91" t="str">
        <f t="shared" ref="U431:U436" si="277">IF(T431="","",IF(I431=0,"",O431/I431))</f>
        <v/>
      </c>
    </row>
    <row r="432" spans="3:21" x14ac:dyDescent="0.25">
      <c r="C432" s="26" t="s">
        <v>27</v>
      </c>
      <c r="D432" s="27">
        <f t="shared" si="269"/>
        <v>2014</v>
      </c>
      <c r="E432" s="91"/>
      <c r="F432" s="98" t="str">
        <f t="shared" si="270"/>
        <v>Actual</v>
      </c>
      <c r="G432" s="134">
        <v>13492583.504916931</v>
      </c>
      <c r="H432" s="31" t="s">
        <v>50</v>
      </c>
      <c r="I432" s="136"/>
      <c r="K432" s="94" t="str">
        <f t="shared" si="271"/>
        <v>Actual</v>
      </c>
      <c r="L432" s="95">
        <v>1872750.8819623648</v>
      </c>
      <c r="M432" s="95">
        <v>1866224.309300648</v>
      </c>
      <c r="N432" s="37" t="str">
        <f t="shared" si="272"/>
        <v/>
      </c>
      <c r="O432" s="36"/>
      <c r="Q432" s="96" t="str">
        <f t="shared" si="273"/>
        <v>Actual</v>
      </c>
      <c r="R432" s="63">
        <f t="shared" si="274"/>
        <v>0.13879853930716102</v>
      </c>
      <c r="S432" s="28">
        <f t="shared" si="275"/>
        <v>0.13831482374154391</v>
      </c>
      <c r="T432" s="28" t="str">
        <f t="shared" si="276"/>
        <v/>
      </c>
      <c r="U432" s="91" t="str">
        <f t="shared" si="277"/>
        <v/>
      </c>
    </row>
    <row r="433" spans="2:21" x14ac:dyDescent="0.25">
      <c r="C433" s="26" t="s">
        <v>27</v>
      </c>
      <c r="D433" s="27">
        <f t="shared" si="269"/>
        <v>2015</v>
      </c>
      <c r="E433" s="91"/>
      <c r="F433" s="98" t="str">
        <f t="shared" si="270"/>
        <v>Actual</v>
      </c>
      <c r="G433" s="134">
        <v>25300089.371405914</v>
      </c>
      <c r="H433" s="31" t="s">
        <v>29</v>
      </c>
      <c r="I433" s="137">
        <v>29852701.742031399</v>
      </c>
      <c r="K433" s="94" t="str">
        <f t="shared" si="271"/>
        <v>Actual</v>
      </c>
      <c r="L433" s="95">
        <v>3076836.7088699713</v>
      </c>
      <c r="M433" s="95">
        <v>3058267.4992196742</v>
      </c>
      <c r="N433" s="37" t="str">
        <f t="shared" si="272"/>
        <v>Board-approved</v>
      </c>
      <c r="O433" s="35">
        <v>3048496.2309397054</v>
      </c>
      <c r="Q433" s="96" t="str">
        <f t="shared" si="273"/>
        <v>Actual</v>
      </c>
      <c r="R433" s="63">
        <f t="shared" si="274"/>
        <v>0.12161366956859065</v>
      </c>
      <c r="S433" s="28">
        <f t="shared" si="275"/>
        <v>0.12087971130553075</v>
      </c>
      <c r="T433" s="28" t="str">
        <f t="shared" si="276"/>
        <v>Board-approved</v>
      </c>
      <c r="U433" s="91">
        <f t="shared" si="277"/>
        <v>0.10211793415828577</v>
      </c>
    </row>
    <row r="434" spans="2:21" x14ac:dyDescent="0.25">
      <c r="C434" s="26" t="s">
        <v>27</v>
      </c>
      <c r="D434" s="27">
        <f t="shared" si="269"/>
        <v>2016</v>
      </c>
      <c r="E434" s="91"/>
      <c r="F434" s="98" t="str">
        <f t="shared" si="270"/>
        <v>Actual</v>
      </c>
      <c r="G434" s="134">
        <v>26335521.470680807</v>
      </c>
      <c r="H434" s="31" t="s">
        <v>50</v>
      </c>
      <c r="I434" s="35"/>
      <c r="K434" s="94" t="str">
        <f t="shared" si="271"/>
        <v>Actual</v>
      </c>
      <c r="L434" s="95">
        <v>2846791.5186151941</v>
      </c>
      <c r="M434" s="95">
        <v>2846321.3063353873</v>
      </c>
      <c r="N434" s="37" t="str">
        <f t="shared" si="272"/>
        <v/>
      </c>
      <c r="O434" s="35"/>
      <c r="Q434" s="96" t="str">
        <f t="shared" si="273"/>
        <v>Actual</v>
      </c>
      <c r="R434" s="63">
        <f t="shared" si="274"/>
        <v>0.10809702484093629</v>
      </c>
      <c r="S434" s="28">
        <f t="shared" si="275"/>
        <v>0.10807917016202551</v>
      </c>
      <c r="T434" s="28" t="str">
        <f t="shared" si="276"/>
        <v/>
      </c>
      <c r="U434" s="91" t="str">
        <f t="shared" si="277"/>
        <v/>
      </c>
    </row>
    <row r="435" spans="2:21" x14ac:dyDescent="0.25">
      <c r="C435" s="26" t="s">
        <v>45</v>
      </c>
      <c r="D435" s="27">
        <f t="shared" si="269"/>
        <v>2017</v>
      </c>
      <c r="E435" s="91"/>
      <c r="F435" s="98" t="str">
        <f t="shared" si="270"/>
        <v>Forecast</v>
      </c>
      <c r="G435" s="134">
        <v>28037296.528954983</v>
      </c>
      <c r="H435" s="31" t="s">
        <v>50</v>
      </c>
      <c r="I435" s="35"/>
      <c r="K435" s="94" t="str">
        <f t="shared" si="271"/>
        <v>Forecast</v>
      </c>
      <c r="L435" s="102"/>
      <c r="M435" s="138">
        <v>2842411.6663933257</v>
      </c>
      <c r="N435" s="37" t="str">
        <f t="shared" si="272"/>
        <v/>
      </c>
      <c r="O435" s="35"/>
      <c r="Q435" s="96" t="str">
        <f t="shared" si="273"/>
        <v>Forecast</v>
      </c>
      <c r="R435" s="63">
        <f t="shared" si="274"/>
        <v>0</v>
      </c>
      <c r="S435" s="28">
        <f t="shared" si="275"/>
        <v>0.10137966274522507</v>
      </c>
      <c r="T435" s="28" t="str">
        <f t="shared" si="276"/>
        <v/>
      </c>
      <c r="U435" s="91" t="str">
        <f t="shared" si="277"/>
        <v/>
      </c>
    </row>
    <row r="436" spans="2:21" ht="15.75" thickBot="1" x14ac:dyDescent="0.3">
      <c r="C436" s="39" t="s">
        <v>46</v>
      </c>
      <c r="D436" s="104">
        <v>2018</v>
      </c>
      <c r="E436" s="18"/>
      <c r="F436" s="105" t="str">
        <f t="shared" si="270"/>
        <v>Forecast</v>
      </c>
      <c r="G436" s="139">
        <v>29300516.497063532</v>
      </c>
      <c r="H436" s="43" t="s">
        <v>50</v>
      </c>
      <c r="I436" s="46"/>
      <c r="K436" s="108" t="str">
        <f t="shared" si="271"/>
        <v>Forecast</v>
      </c>
      <c r="L436" s="109"/>
      <c r="M436" s="140">
        <v>2832322.4440301014</v>
      </c>
      <c r="N436" s="111" t="str">
        <f t="shared" si="272"/>
        <v/>
      </c>
      <c r="O436" s="46"/>
      <c r="Q436" s="141" t="str">
        <f t="shared" si="273"/>
        <v>Forecast</v>
      </c>
      <c r="R436" s="40">
        <f t="shared" si="274"/>
        <v>0</v>
      </c>
      <c r="S436" s="40">
        <f t="shared" si="275"/>
        <v>9.6664591025689042E-2</v>
      </c>
      <c r="T436" s="40" t="str">
        <f t="shared" si="276"/>
        <v/>
      </c>
      <c r="U436" s="18" t="str">
        <f t="shared" si="277"/>
        <v/>
      </c>
    </row>
    <row r="437" spans="2:21" ht="15.75" thickBot="1" x14ac:dyDescent="0.3">
      <c r="C437" s="114"/>
      <c r="I437" s="52">
        <f>SUM(I430:I435)</f>
        <v>29852701.742031399</v>
      </c>
      <c r="J437" s="63"/>
      <c r="O437" s="52">
        <f>SUM(O430:O435)</f>
        <v>3048496.2309397054</v>
      </c>
      <c r="U437" s="52">
        <f>SUM(U430:U435)</f>
        <v>0.10211793415828577</v>
      </c>
    </row>
    <row r="438" spans="2:21" ht="39" thickBot="1" x14ac:dyDescent="0.3">
      <c r="C438" s="115" t="s">
        <v>33</v>
      </c>
      <c r="D438" s="116" t="s">
        <v>34</v>
      </c>
      <c r="E438" s="270"/>
      <c r="F438" s="270"/>
      <c r="G438" s="270" t="s">
        <v>35</v>
      </c>
      <c r="H438" s="270"/>
      <c r="I438" s="60" t="str">
        <f>I417</f>
        <v>Test Year Versus Board-approved</v>
      </c>
      <c r="J438" s="142"/>
      <c r="K438" s="58" t="s">
        <v>34</v>
      </c>
      <c r="L438" s="308" t="s">
        <v>35</v>
      </c>
      <c r="M438" s="308"/>
      <c r="N438" s="270"/>
      <c r="O438" s="60" t="str">
        <f>I438</f>
        <v>Test Year Versus Board-approved</v>
      </c>
      <c r="P438" s="143"/>
      <c r="Q438" s="58" t="s">
        <v>34</v>
      </c>
      <c r="R438" s="308" t="s">
        <v>35</v>
      </c>
      <c r="S438" s="308"/>
      <c r="T438" s="270"/>
      <c r="U438" s="60" t="str">
        <f>O438</f>
        <v>Test Year Versus Board-approved</v>
      </c>
    </row>
    <row r="439" spans="2:21" x14ac:dyDescent="0.25">
      <c r="C439" s="91"/>
      <c r="D439" s="144">
        <f>D430</f>
        <v>2012</v>
      </c>
      <c r="E439" s="51"/>
      <c r="F439" s="63"/>
      <c r="G439" s="120"/>
      <c r="H439" s="63"/>
      <c r="I439" s="121"/>
      <c r="J439" s="91"/>
      <c r="K439" s="27">
        <f>D439</f>
        <v>2012</v>
      </c>
      <c r="L439" s="65"/>
      <c r="M439" s="65"/>
      <c r="N439" s="63"/>
      <c r="O439" s="145"/>
      <c r="P439" s="91"/>
      <c r="Q439" s="27">
        <f>K439</f>
        <v>2012</v>
      </c>
      <c r="R439" s="123"/>
      <c r="S439" s="123"/>
      <c r="T439" s="63"/>
      <c r="U439" s="35"/>
    </row>
    <row r="440" spans="2:21" x14ac:dyDescent="0.25">
      <c r="C440" s="91"/>
      <c r="D440" s="124">
        <f>D431</f>
        <v>2013</v>
      </c>
      <c r="E440" s="63"/>
      <c r="F440" s="63"/>
      <c r="G440" s="125">
        <f>IF(G430=0,"",G431/G430-1)</f>
        <v>-0.1695605253157646</v>
      </c>
      <c r="H440" s="63"/>
      <c r="I440" s="121"/>
      <c r="J440" s="91"/>
      <c r="K440" s="27">
        <f t="shared" ref="K440:K446" si="278">D440</f>
        <v>2013</v>
      </c>
      <c r="L440" s="67">
        <f>IF(L430=0,"",L431/L430-1)</f>
        <v>-1.8822460054013446E-2</v>
      </c>
      <c r="M440" s="67">
        <f>IF(M430=0,"",M431/M430-1)</f>
        <v>-1.2468523327182179E-2</v>
      </c>
      <c r="N440" s="63"/>
      <c r="O440" s="145"/>
      <c r="P440" s="91"/>
      <c r="Q440" s="27">
        <f t="shared" ref="Q440:Q446" si="279">K440</f>
        <v>2013</v>
      </c>
      <c r="R440" s="125">
        <f>IF(R430="","",IF(R430=0,"",R431/R430-1))</f>
        <v>0.18151601634672709</v>
      </c>
      <c r="S440" s="125">
        <f>IF(S430="","",IF(S430=0,"",S431/S430-1))</f>
        <v>0.1891673105355629</v>
      </c>
      <c r="T440" s="63"/>
      <c r="U440" s="35"/>
    </row>
    <row r="441" spans="2:21" x14ac:dyDescent="0.25">
      <c r="C441" s="91"/>
      <c r="D441" s="146">
        <f t="shared" ref="D441:D445" si="280">D432</f>
        <v>2014</v>
      </c>
      <c r="E441" s="63"/>
      <c r="F441" s="63"/>
      <c r="G441" s="125">
        <f t="shared" ref="G441:G445" si="281">IF(G431=0,"",G432/G431-1)</f>
        <v>7.5421886142368333E-3</v>
      </c>
      <c r="H441" s="63"/>
      <c r="I441" s="121"/>
      <c r="J441" s="91"/>
      <c r="K441" s="27">
        <f t="shared" si="278"/>
        <v>2014</v>
      </c>
      <c r="L441" s="67">
        <f t="shared" ref="L441:M445" si="282">IF(L431=0,"",L432/L431-1)</f>
        <v>-3.0806062991323158E-3</v>
      </c>
      <c r="M441" s="67">
        <f t="shared" si="282"/>
        <v>2.1206862311415886E-3</v>
      </c>
      <c r="N441" s="63"/>
      <c r="O441" s="145"/>
      <c r="P441" s="91"/>
      <c r="Q441" s="27">
        <f t="shared" si="279"/>
        <v>2014</v>
      </c>
      <c r="R441" s="125">
        <f t="shared" ref="R441:S445" si="283">IF(R431="","",IF(R431=0,"",R432/R431-1))</f>
        <v>-1.0543275540629726E-2</v>
      </c>
      <c r="S441" s="125">
        <f t="shared" si="283"/>
        <v>-5.3809184809938682E-3</v>
      </c>
      <c r="T441" s="63"/>
      <c r="U441" s="35"/>
    </row>
    <row r="442" spans="2:21" x14ac:dyDescent="0.25">
      <c r="C442" s="91"/>
      <c r="D442" s="124">
        <f t="shared" si="280"/>
        <v>2015</v>
      </c>
      <c r="E442" s="63"/>
      <c r="F442" s="63"/>
      <c r="G442" s="125">
        <f t="shared" si="281"/>
        <v>0.87511082382303762</v>
      </c>
      <c r="H442" s="63"/>
      <c r="I442" s="121"/>
      <c r="J442" s="91"/>
      <c r="K442" s="27">
        <f t="shared" si="278"/>
        <v>2015</v>
      </c>
      <c r="L442" s="67">
        <f t="shared" si="282"/>
        <v>0.64295034566792109</v>
      </c>
      <c r="M442" s="67">
        <f t="shared" si="282"/>
        <v>0.63874593422573867</v>
      </c>
      <c r="N442" s="63"/>
      <c r="O442" s="145"/>
      <c r="P442" s="91"/>
      <c r="Q442" s="27">
        <f t="shared" si="279"/>
        <v>2015</v>
      </c>
      <c r="R442" s="125">
        <f t="shared" si="283"/>
        <v>-0.12381160366925958</v>
      </c>
      <c r="S442" s="125">
        <f t="shared" si="283"/>
        <v>-0.12605382390966668</v>
      </c>
      <c r="T442" s="63"/>
      <c r="U442" s="35"/>
    </row>
    <row r="443" spans="2:21" x14ac:dyDescent="0.25">
      <c r="C443" s="91"/>
      <c r="D443" s="124">
        <f t="shared" si="280"/>
        <v>2016</v>
      </c>
      <c r="E443" s="63"/>
      <c r="F443" s="63"/>
      <c r="G443" s="125">
        <f t="shared" si="281"/>
        <v>4.0926025361994745E-2</v>
      </c>
      <c r="H443" s="63"/>
      <c r="I443" s="121"/>
      <c r="J443" s="91"/>
      <c r="K443" s="27">
        <f t="shared" si="278"/>
        <v>2016</v>
      </c>
      <c r="L443" s="67">
        <f t="shared" si="282"/>
        <v>-7.4766785507855538E-2</v>
      </c>
      <c r="M443" s="67">
        <f t="shared" si="282"/>
        <v>-6.9302699302257076E-2</v>
      </c>
      <c r="N443" s="63"/>
      <c r="O443" s="145"/>
      <c r="P443" s="91"/>
      <c r="Q443" s="27">
        <f t="shared" si="279"/>
        <v>2016</v>
      </c>
      <c r="R443" s="125">
        <f t="shared" si="283"/>
        <v>-0.11114412364665072</v>
      </c>
      <c r="S443" s="125">
        <f t="shared" si="283"/>
        <v>-0.10589486858676478</v>
      </c>
      <c r="T443" s="63"/>
      <c r="U443" s="35"/>
    </row>
    <row r="444" spans="2:21" x14ac:dyDescent="0.25">
      <c r="C444" s="91"/>
      <c r="D444" s="124">
        <f t="shared" si="280"/>
        <v>2017</v>
      </c>
      <c r="E444" s="63"/>
      <c r="F444" s="63"/>
      <c r="G444" s="125">
        <f t="shared" si="281"/>
        <v>6.4618999861793203E-2</v>
      </c>
      <c r="H444" s="63"/>
      <c r="I444" s="121"/>
      <c r="J444" s="91"/>
      <c r="K444" s="27">
        <f t="shared" si="278"/>
        <v>2017</v>
      </c>
      <c r="L444" s="67" t="str">
        <f>IF(K435="Forecast","",IF(L434=0,"",L435/L434-1))</f>
        <v/>
      </c>
      <c r="M444" s="67">
        <f t="shared" si="282"/>
        <v>-1.3735764593264532E-3</v>
      </c>
      <c r="N444" s="63"/>
      <c r="O444" s="145"/>
      <c r="P444" s="91"/>
      <c r="Q444" s="27">
        <f t="shared" si="279"/>
        <v>2017</v>
      </c>
      <c r="R444" s="125" t="str">
        <f>IF(Q435="Forecast","",IF(R434=0,"",R435/R434-1))</f>
        <v/>
      </c>
      <c r="S444" s="125">
        <f t="shared" si="283"/>
        <v>-6.1987036047343347E-2</v>
      </c>
      <c r="T444" s="63"/>
      <c r="U444" s="35"/>
    </row>
    <row r="445" spans="2:21" x14ac:dyDescent="0.25">
      <c r="C445" s="91"/>
      <c r="D445" s="146">
        <f t="shared" si="280"/>
        <v>2018</v>
      </c>
      <c r="E445" s="63"/>
      <c r="F445" s="63"/>
      <c r="G445" s="125">
        <f t="shared" si="281"/>
        <v>4.50549847701609E-2</v>
      </c>
      <c r="H445" s="63"/>
      <c r="I445" s="127">
        <f>IF(I437=0,"",G436/I437-1)</f>
        <v>-1.8496993998717737E-2</v>
      </c>
      <c r="J445" s="91"/>
      <c r="K445" s="27">
        <f t="shared" si="278"/>
        <v>2018</v>
      </c>
      <c r="L445" s="67" t="str">
        <f>IF(K436="Forecast","",IF(L435=0,"",L436/L435-1))</f>
        <v/>
      </c>
      <c r="M445" s="67">
        <f t="shared" si="282"/>
        <v>-3.5495289026963306E-3</v>
      </c>
      <c r="N445" s="63"/>
      <c r="O445" s="127">
        <f>IF(O437=0,"",M436/O437-1)</f>
        <v>-7.0911613639413229E-2</v>
      </c>
      <c r="P445" s="91"/>
      <c r="Q445" s="27">
        <f t="shared" si="279"/>
        <v>2018</v>
      </c>
      <c r="R445" s="125" t="str">
        <f>IF(Q436="Forecast","",IF(R435=0,"",R436/R435-1))</f>
        <v/>
      </c>
      <c r="S445" s="125">
        <f t="shared" si="283"/>
        <v>-4.650904917079246E-2</v>
      </c>
      <c r="T445" s="63"/>
      <c r="U445" s="127">
        <f>IF(U437=0,"",S436/U437-1)</f>
        <v>-5.3402403579217328E-2</v>
      </c>
    </row>
    <row r="446" spans="2:21" ht="30.75" thickBot="1" x14ac:dyDescent="0.3">
      <c r="C446" s="18"/>
      <c r="D446" s="128" t="s">
        <v>37</v>
      </c>
      <c r="E446" s="71"/>
      <c r="F446" s="71"/>
      <c r="G446" s="129">
        <f>IF(G430=0,"",(G436/G430)^(1/($D436-$D430-1))-1)</f>
        <v>0.12686081547474992</v>
      </c>
      <c r="H446" s="71"/>
      <c r="I446" s="286">
        <f>IF(I437=0,"",(G436/I437)^(1/(TestYear-RebaseYear-1))-1)</f>
        <v>-1.8496993998717737E-2</v>
      </c>
      <c r="J446" s="91"/>
      <c r="K446" s="75" t="str">
        <f t="shared" si="278"/>
        <v>Geometric Mean</v>
      </c>
      <c r="L446" s="129">
        <f>IF(L430=0,"",(L434/L430)^(1/($D434-$D430-1))-1)</f>
        <v>0.14137344815997666</v>
      </c>
      <c r="M446" s="129">
        <f>IF(M430=0,"",(M436/M430)^(1/($D436-$D430-1))-1)</f>
        <v>8.4750765300461328E-2</v>
      </c>
      <c r="N446" s="287"/>
      <c r="O446" s="286">
        <f>IF(O437=0,"",(M436/O437)^(1/(TestYear-RebaseYear-1))-1)</f>
        <v>-7.0911613639413229E-2</v>
      </c>
      <c r="P446" s="18"/>
      <c r="Q446" s="75" t="str">
        <f t="shared" si="279"/>
        <v>Geometric Mean</v>
      </c>
      <c r="R446" s="129">
        <f>IF(R430="","",IF(R430=0,"",(R434/R430)^(1/($D434-$D430-1))-1))</f>
        <v>-3.0781368032850365E-2</v>
      </c>
      <c r="S446" s="129">
        <f>IF(S430="","",IF(S430=0,"",(S436/S430)^(1/($D436-$D430-1))-1))</f>
        <v>-3.7369344639557434E-2</v>
      </c>
      <c r="T446" s="71"/>
      <c r="U446" s="286">
        <f>IF(U437=0,"",(S436/U437)^(1/(TestYear-RebaseYear-1))-1)</f>
        <v>-5.3402403579217328E-2</v>
      </c>
    </row>
    <row r="447" spans="2:21" ht="15.75" thickBot="1" x14ac:dyDescent="0.3"/>
    <row r="448" spans="2:21" ht="15.75" thickBot="1" x14ac:dyDescent="0.3">
      <c r="B448" s="79">
        <f>B405+1</f>
        <v>10</v>
      </c>
      <c r="C448" s="80" t="s">
        <v>39</v>
      </c>
      <c r="D448" s="309" t="s">
        <v>57</v>
      </c>
      <c r="E448" s="310"/>
      <c r="F448" s="311"/>
      <c r="G448" s="81"/>
      <c r="H448" s="82" t="s">
        <v>41</v>
      </c>
      <c r="N448" s="83" t="s">
        <v>42</v>
      </c>
      <c r="O448" s="84"/>
      <c r="P448" s="84"/>
      <c r="Q448" s="84"/>
      <c r="R448" s="84"/>
      <c r="S448" s="84"/>
      <c r="T448" s="84"/>
      <c r="U448" s="84"/>
    </row>
    <row r="449" spans="2:22" ht="15.75" thickBot="1" x14ac:dyDescent="0.3">
      <c r="Q449" s="71"/>
      <c r="R449" s="71"/>
      <c r="S449" s="71"/>
      <c r="T449" s="71"/>
      <c r="U449" s="71"/>
    </row>
    <row r="450" spans="2:22" ht="14.65" customHeight="1" x14ac:dyDescent="0.25">
      <c r="C450" s="13"/>
      <c r="D450" s="14" t="s">
        <v>23</v>
      </c>
      <c r="E450" s="14"/>
      <c r="F450" s="312" t="s">
        <v>43</v>
      </c>
      <c r="G450" s="313"/>
      <c r="H450" s="313"/>
      <c r="I450" s="314"/>
      <c r="J450" s="14"/>
      <c r="K450" s="300" t="s">
        <v>24</v>
      </c>
      <c r="L450" s="301"/>
      <c r="M450" s="301"/>
      <c r="N450" s="301"/>
      <c r="O450" s="302"/>
      <c r="P450" s="15"/>
      <c r="Q450" s="303" t="str">
        <f>CONCATENATE("Consumption (kWh) per ",LEFT(F450,LEN(F450)-1))</f>
        <v>Consumption (kWh) per Customer</v>
      </c>
      <c r="R450" s="304"/>
      <c r="S450" s="304"/>
      <c r="T450" s="304"/>
      <c r="U450" s="305"/>
      <c r="V450" s="85"/>
    </row>
    <row r="451" spans="2:22" ht="39" thickBot="1" x14ac:dyDescent="0.3">
      <c r="C451" s="18"/>
      <c r="D451" s="19" t="str">
        <f>CONCATENATE("(for ",TestYear," Cost of Service")</f>
        <v>(for 2017 Cost of Service</v>
      </c>
      <c r="E451" s="26"/>
      <c r="F451" s="306"/>
      <c r="G451" s="307"/>
      <c r="H451" s="315"/>
      <c r="I451" s="86"/>
      <c r="J451" s="26"/>
      <c r="K451" s="22"/>
      <c r="L451" s="23" t="s">
        <v>25</v>
      </c>
      <c r="M451" s="23" t="s">
        <v>26</v>
      </c>
      <c r="N451" s="24"/>
      <c r="O451" s="25" t="s">
        <v>26</v>
      </c>
      <c r="P451" s="26"/>
      <c r="Q451" s="87"/>
      <c r="R451" s="88" t="str">
        <f>L451</f>
        <v>Actual (Weather actual)</v>
      </c>
      <c r="S451" s="89" t="str">
        <f>M451</f>
        <v>Weather-normalized</v>
      </c>
      <c r="T451" s="89"/>
      <c r="U451" s="90" t="str">
        <f>O451</f>
        <v>Weather-normalized</v>
      </c>
      <c r="V451" s="85"/>
    </row>
    <row r="452" spans="2:22" x14ac:dyDescent="0.25">
      <c r="C452" s="26" t="s">
        <v>27</v>
      </c>
      <c r="D452" s="27">
        <f t="shared" ref="D452:D457" si="284">D453-1</f>
        <v>2012</v>
      </c>
      <c r="E452" s="91"/>
      <c r="F452" s="92" t="str">
        <f>F409</f>
        <v>Actual</v>
      </c>
      <c r="G452" s="93">
        <v>12308</v>
      </c>
      <c r="H452" s="32" t="str">
        <f t="shared" ref="H452:H458" si="285">IF(D452=RebaseYear,"Board-approved","")</f>
        <v/>
      </c>
      <c r="I452" s="35"/>
      <c r="J452" s="91"/>
      <c r="K452" s="94" t="str">
        <f>F452</f>
        <v>Actual</v>
      </c>
      <c r="L452" s="95">
        <v>415217868.34000003</v>
      </c>
      <c r="M452" s="95">
        <v>425357070.52615798</v>
      </c>
      <c r="N452" s="37" t="str">
        <f>H452</f>
        <v/>
      </c>
      <c r="O452" s="35"/>
      <c r="P452" s="91"/>
      <c r="Q452" s="96" t="str">
        <f>K452</f>
        <v>Actual</v>
      </c>
      <c r="R452" s="97">
        <f>IF(G452=0,"",L452/G452)</f>
        <v>33735.608412414695</v>
      </c>
      <c r="S452" s="63">
        <f>IF(G452=0,"",M452/G452)</f>
        <v>34559.397995300453</v>
      </c>
      <c r="T452" s="63" t="str">
        <f>N452</f>
        <v/>
      </c>
      <c r="U452" s="63" t="str">
        <f>IF(T452="","",IF(I452=0,"",O452/I452))</f>
        <v/>
      </c>
      <c r="V452" s="28"/>
    </row>
    <row r="453" spans="2:22" x14ac:dyDescent="0.25">
      <c r="C453" s="26" t="s">
        <v>27</v>
      </c>
      <c r="D453" s="27">
        <f t="shared" si="284"/>
        <v>2013</v>
      </c>
      <c r="E453" s="91"/>
      <c r="F453" s="98" t="str">
        <f t="shared" ref="F453:F458" si="286">F410</f>
        <v>Actual</v>
      </c>
      <c r="G453" s="93">
        <v>12307.462524572995</v>
      </c>
      <c r="H453" s="32" t="str">
        <f t="shared" si="285"/>
        <v/>
      </c>
      <c r="I453" s="35"/>
      <c r="J453" s="91"/>
      <c r="K453" s="94" t="str">
        <f t="shared" ref="K453:K458" si="287">F453</f>
        <v>Actual</v>
      </c>
      <c r="L453" s="95">
        <v>399648117.06976855</v>
      </c>
      <c r="M453" s="95">
        <v>396555757.62915361</v>
      </c>
      <c r="N453" s="37" t="str">
        <f t="shared" ref="N453:N458" si="288">H453</f>
        <v/>
      </c>
      <c r="O453" s="35"/>
      <c r="P453" s="91"/>
      <c r="Q453" s="96" t="str">
        <f t="shared" ref="Q453:Q458" si="289">K453</f>
        <v>Actual</v>
      </c>
      <c r="R453" s="97">
        <f t="shared" ref="R453:R458" si="290">IF(G453=0,"",L453/G453)</f>
        <v>32472.015760505779</v>
      </c>
      <c r="S453" s="63">
        <f t="shared" ref="S453:S458" si="291">IF(G453=0,"",M453/G453)</f>
        <v>32220.756864982781</v>
      </c>
      <c r="T453" s="63" t="str">
        <f t="shared" ref="T453:T458" si="292">N453</f>
        <v/>
      </c>
      <c r="U453" s="63" t="str">
        <f t="shared" ref="U453:U458" si="293">IF(T453="","",IF(I453=0,"",O453/I453))</f>
        <v/>
      </c>
      <c r="V453" s="28"/>
    </row>
    <row r="454" spans="2:22" x14ac:dyDescent="0.25">
      <c r="C454" s="26" t="s">
        <v>27</v>
      </c>
      <c r="D454" s="27">
        <f t="shared" si="284"/>
        <v>2014</v>
      </c>
      <c r="E454" s="91"/>
      <c r="F454" s="98" t="str">
        <f t="shared" si="286"/>
        <v>Actual</v>
      </c>
      <c r="G454" s="93">
        <v>10807</v>
      </c>
      <c r="H454" s="32" t="str">
        <f t="shared" si="285"/>
        <v/>
      </c>
      <c r="I454" s="36"/>
      <c r="J454" s="91"/>
      <c r="K454" s="94" t="str">
        <f t="shared" si="287"/>
        <v>Actual</v>
      </c>
      <c r="L454" s="95">
        <v>382434769.89010984</v>
      </c>
      <c r="M454" s="95">
        <v>361587035.94125032</v>
      </c>
      <c r="N454" s="37" t="str">
        <f t="shared" si="288"/>
        <v/>
      </c>
      <c r="O454" s="36"/>
      <c r="P454" s="91"/>
      <c r="Q454" s="96" t="str">
        <f t="shared" si="289"/>
        <v>Actual</v>
      </c>
      <c r="R454" s="97">
        <f t="shared" si="290"/>
        <v>35387.690375692589</v>
      </c>
      <c r="S454" s="63">
        <f t="shared" si="291"/>
        <v>33458.594979295856</v>
      </c>
      <c r="T454" s="63" t="str">
        <f t="shared" si="292"/>
        <v/>
      </c>
      <c r="U454" s="63" t="str">
        <f t="shared" si="293"/>
        <v/>
      </c>
      <c r="V454" s="28"/>
    </row>
    <row r="455" spans="2:22" x14ac:dyDescent="0.25">
      <c r="C455" s="26" t="s">
        <v>27</v>
      </c>
      <c r="D455" s="27">
        <f t="shared" si="284"/>
        <v>2015</v>
      </c>
      <c r="E455" s="91"/>
      <c r="F455" s="98" t="str">
        <f t="shared" si="286"/>
        <v>Actual</v>
      </c>
      <c r="G455" s="93">
        <v>17703.144937735557</v>
      </c>
      <c r="H455" s="32" t="str">
        <f t="shared" si="285"/>
        <v>Board-approved</v>
      </c>
      <c r="I455" s="100">
        <v>17850.99352861544</v>
      </c>
      <c r="J455" s="91"/>
      <c r="K455" s="94" t="str">
        <f t="shared" si="287"/>
        <v>Actual</v>
      </c>
      <c r="L455" s="95">
        <v>600045628.01536083</v>
      </c>
      <c r="M455" s="95">
        <v>594657277.48336029</v>
      </c>
      <c r="N455" s="37" t="str">
        <f t="shared" si="288"/>
        <v>Board-approved</v>
      </c>
      <c r="O455" s="93">
        <v>613411739</v>
      </c>
      <c r="P455" s="91"/>
      <c r="Q455" s="96" t="str">
        <f t="shared" si="289"/>
        <v>Actual</v>
      </c>
      <c r="R455" s="97">
        <f t="shared" si="290"/>
        <v>33894.860496584392</v>
      </c>
      <c r="S455" s="63">
        <f t="shared" si="291"/>
        <v>33590.487993791685</v>
      </c>
      <c r="T455" s="63" t="str">
        <f t="shared" si="292"/>
        <v>Board-approved</v>
      </c>
      <c r="U455" s="63">
        <f t="shared" si="293"/>
        <v>34362.890671417859</v>
      </c>
      <c r="V455" s="28"/>
    </row>
    <row r="456" spans="2:22" x14ac:dyDescent="0.25">
      <c r="C456" s="26" t="s">
        <v>27</v>
      </c>
      <c r="D456" s="27">
        <f t="shared" si="284"/>
        <v>2016</v>
      </c>
      <c r="E456" s="91"/>
      <c r="F456" s="98" t="str">
        <f t="shared" si="286"/>
        <v>Actual</v>
      </c>
      <c r="G456" s="93">
        <v>17780</v>
      </c>
      <c r="H456" s="32" t="str">
        <f t="shared" si="285"/>
        <v/>
      </c>
      <c r="I456" s="35"/>
      <c r="J456" s="91"/>
      <c r="K456" s="94" t="str">
        <f t="shared" si="287"/>
        <v>Actual</v>
      </c>
      <c r="L456" s="95">
        <v>588747807.51886106</v>
      </c>
      <c r="M456" s="95">
        <v>595143423.84135985</v>
      </c>
      <c r="N456" s="37" t="str">
        <f t="shared" si="288"/>
        <v/>
      </c>
      <c r="O456" s="35"/>
      <c r="P456" s="91"/>
      <c r="Q456" s="96" t="str">
        <f t="shared" si="289"/>
        <v>Actual</v>
      </c>
      <c r="R456" s="97">
        <f t="shared" si="290"/>
        <v>33112.925057303772</v>
      </c>
      <c r="S456" s="63">
        <f t="shared" si="291"/>
        <v>33472.633511887507</v>
      </c>
      <c r="T456" s="63" t="str">
        <f t="shared" si="292"/>
        <v/>
      </c>
      <c r="U456" s="63" t="str">
        <f t="shared" si="293"/>
        <v/>
      </c>
      <c r="V456" s="28"/>
    </row>
    <row r="457" spans="2:22" x14ac:dyDescent="0.25">
      <c r="C457" s="26" t="s">
        <v>30</v>
      </c>
      <c r="D457" s="27">
        <f t="shared" si="284"/>
        <v>2017</v>
      </c>
      <c r="E457" s="91"/>
      <c r="F457" s="98" t="str">
        <f t="shared" si="286"/>
        <v>Forecast</v>
      </c>
      <c r="G457" s="93">
        <v>17762.957113487584</v>
      </c>
      <c r="H457" s="32" t="str">
        <f t="shared" si="285"/>
        <v/>
      </c>
      <c r="I457" s="35"/>
      <c r="J457" s="91"/>
      <c r="K457" s="94" t="str">
        <f t="shared" si="287"/>
        <v>Forecast</v>
      </c>
      <c r="L457" s="102"/>
      <c r="M457" s="103">
        <v>594362748.31426597</v>
      </c>
      <c r="N457" s="37" t="str">
        <f t="shared" si="288"/>
        <v/>
      </c>
      <c r="O457" s="35"/>
      <c r="P457" s="91"/>
      <c r="Q457" s="96" t="str">
        <f t="shared" si="289"/>
        <v>Forecast</v>
      </c>
      <c r="R457" s="97">
        <f t="shared" si="290"/>
        <v>0</v>
      </c>
      <c r="S457" s="63">
        <f t="shared" si="291"/>
        <v>33460.799602052779</v>
      </c>
      <c r="T457" s="63" t="str">
        <f t="shared" si="292"/>
        <v/>
      </c>
      <c r="U457" s="63" t="str">
        <f t="shared" si="293"/>
        <v/>
      </c>
      <c r="V457" s="28"/>
    </row>
    <row r="458" spans="2:22" ht="15.75" thickBot="1" x14ac:dyDescent="0.3">
      <c r="C458" s="39" t="s">
        <v>32</v>
      </c>
      <c r="D458" s="104">
        <v>2018</v>
      </c>
      <c r="E458" s="18"/>
      <c r="F458" s="105" t="str">
        <f t="shared" si="286"/>
        <v>Forecast</v>
      </c>
      <c r="G458" s="106">
        <v>18073.874182670519</v>
      </c>
      <c r="H458" s="44" t="str">
        <f t="shared" si="285"/>
        <v/>
      </c>
      <c r="I458" s="46"/>
      <c r="J458" s="18"/>
      <c r="K458" s="108" t="str">
        <f t="shared" si="287"/>
        <v>Forecast</v>
      </c>
      <c r="L458" s="109"/>
      <c r="M458" s="110">
        <v>598366765.36535084</v>
      </c>
      <c r="N458" s="111" t="str">
        <f t="shared" si="288"/>
        <v/>
      </c>
      <c r="O458" s="46"/>
      <c r="P458" s="18"/>
      <c r="Q458" s="112" t="str">
        <f t="shared" si="289"/>
        <v>Forecast</v>
      </c>
      <c r="R458" s="113">
        <f t="shared" si="290"/>
        <v>0</v>
      </c>
      <c r="S458" s="71">
        <f t="shared" si="291"/>
        <v>33106.724065782932</v>
      </c>
      <c r="T458" s="71" t="str">
        <f t="shared" si="292"/>
        <v/>
      </c>
      <c r="U458" s="71" t="str">
        <f t="shared" si="293"/>
        <v/>
      </c>
      <c r="V458" s="28"/>
    </row>
    <row r="459" spans="2:22" ht="15.75" thickBot="1" x14ac:dyDescent="0.3">
      <c r="B459" s="63"/>
      <c r="C459" s="114"/>
      <c r="I459" s="52">
        <f>SUM(I452:I457)</f>
        <v>17850.99352861544</v>
      </c>
      <c r="O459" s="52">
        <f>SUM(O452:O457)</f>
        <v>613411739</v>
      </c>
      <c r="U459" s="52">
        <f>SUM(U452:U457)</f>
        <v>34362.890671417859</v>
      </c>
    </row>
    <row r="460" spans="2:22" ht="39" thickBot="1" x14ac:dyDescent="0.3">
      <c r="C460" s="115" t="s">
        <v>33</v>
      </c>
      <c r="D460" s="116" t="s">
        <v>34</v>
      </c>
      <c r="E460" s="48"/>
      <c r="F460" s="48"/>
      <c r="G460" s="270" t="s">
        <v>35</v>
      </c>
      <c r="H460" s="48"/>
      <c r="I460" s="60" t="s">
        <v>44</v>
      </c>
      <c r="J460" s="117"/>
      <c r="K460" s="58" t="s">
        <v>34</v>
      </c>
      <c r="L460" s="308" t="s">
        <v>35</v>
      </c>
      <c r="M460" s="308"/>
      <c r="N460" s="48"/>
      <c r="O460" s="60" t="str">
        <f>I460</f>
        <v>Test Year Versus Board-approved</v>
      </c>
      <c r="P460" s="118"/>
      <c r="Q460" s="58" t="s">
        <v>34</v>
      </c>
      <c r="R460" s="308" t="s">
        <v>35</v>
      </c>
      <c r="S460" s="308"/>
      <c r="T460" s="48"/>
      <c r="U460" s="60" t="str">
        <f>O460</f>
        <v>Test Year Versus Board-approved</v>
      </c>
    </row>
    <row r="461" spans="2:22" x14ac:dyDescent="0.25">
      <c r="C461" s="91"/>
      <c r="D461" s="119">
        <f t="shared" ref="D461:D467" si="294">D452</f>
        <v>2012</v>
      </c>
      <c r="E461" s="63"/>
      <c r="F461" s="63"/>
      <c r="G461" s="120"/>
      <c r="H461" s="63"/>
      <c r="I461" s="121"/>
      <c r="J461" s="122"/>
      <c r="K461" s="27">
        <f>D461</f>
        <v>2012</v>
      </c>
      <c r="L461" s="65"/>
      <c r="M461" s="65"/>
      <c r="N461" s="63"/>
      <c r="O461" s="35"/>
      <c r="P461" s="91"/>
      <c r="Q461" s="27">
        <f>K461</f>
        <v>2012</v>
      </c>
      <c r="R461" s="123"/>
      <c r="S461" s="123"/>
      <c r="T461" s="63"/>
      <c r="U461" s="35"/>
    </row>
    <row r="462" spans="2:22" x14ac:dyDescent="0.25">
      <c r="C462" s="91"/>
      <c r="D462" s="124">
        <f t="shared" si="294"/>
        <v>2013</v>
      </c>
      <c r="E462" s="63"/>
      <c r="F462" s="63"/>
      <c r="G462" s="125">
        <f t="shared" ref="G462:G467" si="295">IF(G452=0,"",G453/G452-1)</f>
        <v>-4.3668786724460062E-5</v>
      </c>
      <c r="H462" s="63"/>
      <c r="I462" s="121"/>
      <c r="J462" s="122"/>
      <c r="K462" s="27">
        <f t="shared" ref="K462:K468" si="296">D462</f>
        <v>2013</v>
      </c>
      <c r="L462" s="67">
        <f t="shared" ref="L462:M465" si="297">IF(L452=0,"",L453/L452-1)</f>
        <v>-3.7497787203806587E-2</v>
      </c>
      <c r="M462" s="67">
        <f t="shared" si="297"/>
        <v>-6.7710906653973613E-2</v>
      </c>
      <c r="N462" s="63"/>
      <c r="O462" s="35"/>
      <c r="P462" s="91"/>
      <c r="Q462" s="27">
        <f t="shared" ref="Q462:Q468" si="298">K462</f>
        <v>2013</v>
      </c>
      <c r="R462" s="125">
        <f>IF(R452="","",IF(R452=0,"",R453/R452-1))</f>
        <v>-3.7455754064418034E-2</v>
      </c>
      <c r="S462" s="125">
        <f>IF(S452="","",IF(S452=0,"",S453/S452-1))</f>
        <v>-6.767019294247234E-2</v>
      </c>
      <c r="T462" s="63"/>
      <c r="U462" s="35"/>
    </row>
    <row r="463" spans="2:22" x14ac:dyDescent="0.25">
      <c r="C463" s="91"/>
      <c r="D463" s="124">
        <f t="shared" si="294"/>
        <v>2014</v>
      </c>
      <c r="E463" s="63"/>
      <c r="F463" s="63"/>
      <c r="G463" s="125">
        <f t="shared" si="295"/>
        <v>-0.12191485625710274</v>
      </c>
      <c r="H463" s="63"/>
      <c r="I463" s="121"/>
      <c r="J463" s="122"/>
      <c r="K463" s="27">
        <f t="shared" si="296"/>
        <v>2014</v>
      </c>
      <c r="L463" s="67">
        <f t="shared" si="297"/>
        <v>-4.3071258050375594E-2</v>
      </c>
      <c r="M463" s="67">
        <f t="shared" si="297"/>
        <v>-8.8181096895344813E-2</v>
      </c>
      <c r="N463" s="63"/>
      <c r="O463" s="35"/>
      <c r="P463" s="91"/>
      <c r="Q463" s="27">
        <f t="shared" si="298"/>
        <v>2014</v>
      </c>
      <c r="R463" s="125">
        <f t="shared" ref="R463:S467" si="299">IF(R453="","",IF(R453=0,"",R454/R453-1))</f>
        <v>8.979037940518042E-2</v>
      </c>
      <c r="S463" s="125">
        <f t="shared" si="299"/>
        <v>3.8417412710076482E-2</v>
      </c>
      <c r="T463" s="63"/>
      <c r="U463" s="35"/>
    </row>
    <row r="464" spans="2:22" x14ac:dyDescent="0.25">
      <c r="C464" s="91"/>
      <c r="D464" s="124">
        <f t="shared" si="294"/>
        <v>2015</v>
      </c>
      <c r="E464" s="63"/>
      <c r="F464" s="63"/>
      <c r="G464" s="125">
        <f t="shared" si="295"/>
        <v>0.63811834345660734</v>
      </c>
      <c r="H464" s="63"/>
      <c r="I464" s="121"/>
      <c r="J464" s="122"/>
      <c r="K464" s="27">
        <f t="shared" si="296"/>
        <v>2015</v>
      </c>
      <c r="L464" s="67">
        <f t="shared" si="297"/>
        <v>0.56901431370317113</v>
      </c>
      <c r="M464" s="67">
        <f t="shared" si="297"/>
        <v>0.64457576841880626</v>
      </c>
      <c r="N464" s="63"/>
      <c r="O464" s="35"/>
      <c r="P464" s="91"/>
      <c r="Q464" s="27">
        <f t="shared" si="298"/>
        <v>2015</v>
      </c>
      <c r="R464" s="125">
        <f t="shared" si="299"/>
        <v>-4.2185004538572768E-2</v>
      </c>
      <c r="S464" s="125">
        <f t="shared" si="299"/>
        <v>3.9419770787578745E-3</v>
      </c>
      <c r="T464" s="63"/>
      <c r="U464" s="35"/>
    </row>
    <row r="465" spans="3:21" x14ac:dyDescent="0.25">
      <c r="C465" s="91"/>
      <c r="D465" s="124">
        <f t="shared" si="294"/>
        <v>2016</v>
      </c>
      <c r="E465" s="63"/>
      <c r="F465" s="63"/>
      <c r="G465" s="125">
        <f t="shared" si="295"/>
        <v>4.3413225466295557E-3</v>
      </c>
      <c r="H465" s="63"/>
      <c r="I465" s="121"/>
      <c r="J465" s="122"/>
      <c r="K465" s="27">
        <f t="shared" si="296"/>
        <v>2016</v>
      </c>
      <c r="L465" s="67">
        <f t="shared" si="297"/>
        <v>-1.8828268999921072E-2</v>
      </c>
      <c r="M465" s="67">
        <f t="shared" si="297"/>
        <v>8.1752359957154574E-4</v>
      </c>
      <c r="N465" s="63"/>
      <c r="O465" s="35"/>
      <c r="P465" s="91"/>
      <c r="Q465" s="27">
        <f t="shared" si="298"/>
        <v>2016</v>
      </c>
      <c r="R465" s="125">
        <f t="shared" si="299"/>
        <v>-2.3069439667982028E-2</v>
      </c>
      <c r="S465" s="125">
        <f t="shared" si="299"/>
        <v>-3.5085671254898587E-3</v>
      </c>
      <c r="T465" s="63"/>
      <c r="U465" s="35"/>
    </row>
    <row r="466" spans="3:21" x14ac:dyDescent="0.25">
      <c r="C466" s="91"/>
      <c r="D466" s="124">
        <f t="shared" si="294"/>
        <v>2017</v>
      </c>
      <c r="E466" s="63"/>
      <c r="F466" s="63"/>
      <c r="G466" s="125">
        <f t="shared" si="295"/>
        <v>-9.585425485048038E-4</v>
      </c>
      <c r="H466" s="63"/>
      <c r="I466" s="121"/>
      <c r="J466" s="122"/>
      <c r="K466" s="27">
        <f t="shared" si="296"/>
        <v>2017</v>
      </c>
      <c r="L466" s="67" t="str">
        <f>IF(K457="Forecast","",IF(L456=0,"",L457/L456-1))</f>
        <v/>
      </c>
      <c r="M466" s="67">
        <f>IF(M456=0,"",M457/M456-1)</f>
        <v>-1.3117435156302371E-3</v>
      </c>
      <c r="N466" s="63"/>
      <c r="O466" s="35"/>
      <c r="P466" s="91"/>
      <c r="Q466" s="27">
        <f t="shared" si="298"/>
        <v>2017</v>
      </c>
      <c r="R466" s="125" t="str">
        <f>IF(Q457="Forecast","",IF(R456=0,"",R457/R456-1))</f>
        <v/>
      </c>
      <c r="S466" s="125">
        <f t="shared" si="299"/>
        <v>-3.5353985011443712E-4</v>
      </c>
      <c r="T466" s="63"/>
      <c r="U466" s="35"/>
    </row>
    <row r="467" spans="3:21" x14ac:dyDescent="0.25">
      <c r="C467" s="91"/>
      <c r="D467" s="124">
        <f t="shared" si="294"/>
        <v>2018</v>
      </c>
      <c r="E467" s="63"/>
      <c r="F467" s="63"/>
      <c r="G467" s="125">
        <f t="shared" si="295"/>
        <v>1.7503677298576159E-2</v>
      </c>
      <c r="H467" s="63"/>
      <c r="I467" s="127">
        <f>IF(I459=0,"",G458/I459-1)</f>
        <v>1.2485616203815164E-2</v>
      </c>
      <c r="J467" s="122"/>
      <c r="K467" s="27">
        <f t="shared" si="296"/>
        <v>2018</v>
      </c>
      <c r="L467" s="67" t="str">
        <f>IF(K458="Forecast","",IF(L457=0,"",L458/L457-1))</f>
        <v/>
      </c>
      <c r="M467" s="67">
        <f>IF(M457=0,"",M458/M457-1)</f>
        <v>6.7366554556811398E-3</v>
      </c>
      <c r="N467" s="63"/>
      <c r="O467" s="127">
        <f>IF(O459=0,"",M458/O459-1)</f>
        <v>-2.4526712937016582E-2</v>
      </c>
      <c r="P467" s="91"/>
      <c r="Q467" s="27">
        <f t="shared" si="298"/>
        <v>2018</v>
      </c>
      <c r="R467" s="125" t="str">
        <f>IF(Q458="Forecast","",IF(R457=0,"",R458/R457-1))</f>
        <v/>
      </c>
      <c r="S467" s="125">
        <f t="shared" si="299"/>
        <v>-1.0581801405849411E-2</v>
      </c>
      <c r="T467" s="63"/>
      <c r="U467" s="127">
        <f>IF(U459=0,"",S458/U459-1)</f>
        <v>-3.6555906126948035E-2</v>
      </c>
    </row>
    <row r="468" spans="3:21" ht="30.75" thickBot="1" x14ac:dyDescent="0.3">
      <c r="C468" s="18"/>
      <c r="D468" s="128" t="s">
        <v>37</v>
      </c>
      <c r="E468" s="71"/>
      <c r="F468" s="71"/>
      <c r="G468" s="129">
        <f>IF(G452=0,"",(G458/G452)^(1/($D458-$D452-1))-1)</f>
        <v>7.9873175936720608E-2</v>
      </c>
      <c r="H468" s="71"/>
      <c r="I468" s="286">
        <f>IF(I459=0,"",(G458/I459)^(1/(TestYear-RebaseYear-1))-1)</f>
        <v>1.2485616203815164E-2</v>
      </c>
      <c r="J468" s="74"/>
      <c r="K468" s="75" t="str">
        <f t="shared" si="296"/>
        <v>Geometric Mean</v>
      </c>
      <c r="L468" s="129">
        <f>IF(L452=0,"",(L456/L452)^(1/($D456-$D452-1))-1)</f>
        <v>0.12344312125926704</v>
      </c>
      <c r="M468" s="129">
        <f>IF(M452=0,"",(M458/M452)^(1/($D458-$D452-1))-1)</f>
        <v>7.0638265842831283E-2</v>
      </c>
      <c r="N468" s="71"/>
      <c r="O468" s="286">
        <f>IF(O459=0,"",(M458/O459)^(1/(TestYear-RebaseYear-1))-1)</f>
        <v>-2.4526712937016582E-2</v>
      </c>
      <c r="P468" s="18"/>
      <c r="Q468" s="75" t="str">
        <f t="shared" si="298"/>
        <v>Geometric Mean</v>
      </c>
      <c r="R468" s="129">
        <f>IF(R452="","",IF(R452=0,"",(R456/R452)^(1/($D456-$D452-1))-1))</f>
        <v>-6.1908299155272184E-3</v>
      </c>
      <c r="S468" s="129">
        <f>IF(S452="","",IF(S452=0,"",(S458/S452)^(1/($D458-$D452-1))-1))</f>
        <v>-8.5518469202445768E-3</v>
      </c>
      <c r="T468" s="287"/>
      <c r="U468" s="286">
        <f>IF(U459=0,"",(S458/U459)^(1/(TestYear-RebaseYear-1))-1)</f>
        <v>-3.6555906126948035E-2</v>
      </c>
    </row>
    <row r="470" spans="3:21" ht="15.75" thickBot="1" x14ac:dyDescent="0.3">
      <c r="Q470" s="71"/>
      <c r="R470" s="71"/>
      <c r="S470" s="71"/>
      <c r="T470" s="71"/>
      <c r="U470" s="71"/>
    </row>
    <row r="471" spans="3:21" ht="14.65" customHeight="1" x14ac:dyDescent="0.25">
      <c r="C471" s="13"/>
      <c r="D471" s="14" t="s">
        <v>23</v>
      </c>
      <c r="E471" s="14"/>
      <c r="F471" s="297" t="s">
        <v>10</v>
      </c>
      <c r="G471" s="298"/>
      <c r="H471" s="298"/>
      <c r="I471" s="299"/>
      <c r="K471" s="300" t="str">
        <f>IF(ISBLANK(N448),"",CONCATENATE("Demand (",N448,")"))</f>
        <v>Demand (kWh)</v>
      </c>
      <c r="L471" s="301"/>
      <c r="M471" s="301"/>
      <c r="N471" s="301"/>
      <c r="O471" s="302"/>
      <c r="Q471" s="303" t="str">
        <f>CONCATENATE("Demand (",N448,") per ",LEFT(F450,LEN(F450)-1))</f>
        <v>Demand (kWh) per Customer</v>
      </c>
      <c r="R471" s="304"/>
      <c r="S471" s="304"/>
      <c r="T471" s="304"/>
      <c r="U471" s="305"/>
    </row>
    <row r="472" spans="3:21" ht="39" thickBot="1" x14ac:dyDescent="0.3">
      <c r="C472" s="18"/>
      <c r="D472" s="19" t="str">
        <f>CONCATENATE("(for ",TestYear," Cost of Service")</f>
        <v>(for 2017 Cost of Service</v>
      </c>
      <c r="E472" s="26"/>
      <c r="F472" s="306"/>
      <c r="G472" s="307"/>
      <c r="H472" s="307"/>
      <c r="I472" s="86"/>
      <c r="K472" s="22"/>
      <c r="L472" s="23" t="s">
        <v>25</v>
      </c>
      <c r="M472" s="23" t="s">
        <v>26</v>
      </c>
      <c r="N472" s="24"/>
      <c r="O472" s="25" t="str">
        <f>M472</f>
        <v>Weather-normalized</v>
      </c>
      <c r="Q472" s="132"/>
      <c r="R472" s="23" t="str">
        <f>L472</f>
        <v>Actual (Weather actual)</v>
      </c>
      <c r="S472" s="23" t="str">
        <f>M472</f>
        <v>Weather-normalized</v>
      </c>
      <c r="T472" s="23"/>
      <c r="U472" s="133" t="str">
        <f>O472</f>
        <v>Weather-normalized</v>
      </c>
    </row>
    <row r="473" spans="3:21" x14ac:dyDescent="0.25">
      <c r="C473" s="26" t="s">
        <v>27</v>
      </c>
      <c r="D473" s="27">
        <f t="shared" ref="D473:D478" si="300">D474-1</f>
        <v>2012</v>
      </c>
      <c r="E473" s="91"/>
      <c r="F473" s="92" t="str">
        <f t="shared" ref="F473:F479" si="301">F452</f>
        <v>Actual</v>
      </c>
      <c r="G473" s="134">
        <v>11733375.118905</v>
      </c>
      <c r="H473" s="31" t="s">
        <v>50</v>
      </c>
      <c r="I473" s="135"/>
      <c r="K473" s="94" t="str">
        <f t="shared" ref="K473:K479" si="302">K452</f>
        <v>Actual</v>
      </c>
      <c r="L473" s="95"/>
      <c r="M473" s="95"/>
      <c r="N473" s="37" t="str">
        <f t="shared" ref="N473:N479" si="303">N452</f>
        <v/>
      </c>
      <c r="O473" s="35"/>
      <c r="Q473" s="96" t="str">
        <f>K473</f>
        <v>Actual</v>
      </c>
      <c r="R473" s="63">
        <f>IF(G473=0,"",L473/G473)</f>
        <v>0</v>
      </c>
      <c r="S473" s="28">
        <f>IF(G473=0,"",M473/G473)</f>
        <v>0</v>
      </c>
      <c r="T473" s="28" t="str">
        <f>N473</f>
        <v/>
      </c>
      <c r="U473" s="91" t="str">
        <f>IF(T473="","",IF(I473=0,"",O473/I473))</f>
        <v/>
      </c>
    </row>
    <row r="474" spans="3:21" x14ac:dyDescent="0.25">
      <c r="C474" s="26" t="s">
        <v>27</v>
      </c>
      <c r="D474" s="27">
        <f t="shared" si="300"/>
        <v>2013</v>
      </c>
      <c r="E474" s="91"/>
      <c r="F474" s="98" t="str">
        <f t="shared" si="301"/>
        <v>Actual</v>
      </c>
      <c r="G474" s="134">
        <v>8148325.1928576417</v>
      </c>
      <c r="H474" s="31" t="s">
        <v>50</v>
      </c>
      <c r="I474" s="35"/>
      <c r="K474" s="94" t="str">
        <f t="shared" si="302"/>
        <v>Actual</v>
      </c>
      <c r="L474" s="95"/>
      <c r="M474" s="95"/>
      <c r="N474" s="37" t="str">
        <f t="shared" si="303"/>
        <v/>
      </c>
      <c r="O474" s="35"/>
      <c r="Q474" s="96" t="str">
        <f t="shared" ref="Q474:Q479" si="304">K474</f>
        <v>Actual</v>
      </c>
      <c r="R474" s="63">
        <f t="shared" ref="R474:R479" si="305">IF(G474=0,"",L474/G474)</f>
        <v>0</v>
      </c>
      <c r="S474" s="28">
        <f t="shared" ref="S474:S479" si="306">IF(G474=0,"",M474/G474)</f>
        <v>0</v>
      </c>
      <c r="T474" s="28" t="str">
        <f t="shared" ref="T474:T479" si="307">N474</f>
        <v/>
      </c>
      <c r="U474" s="91" t="str">
        <f t="shared" ref="U474:U479" si="308">IF(T474="","",IF(I474=0,"",O474/I474))</f>
        <v/>
      </c>
    </row>
    <row r="475" spans="3:21" x14ac:dyDescent="0.25">
      <c r="C475" s="26" t="s">
        <v>27</v>
      </c>
      <c r="D475" s="27">
        <f t="shared" si="300"/>
        <v>2014</v>
      </c>
      <c r="E475" s="91"/>
      <c r="F475" s="98" t="str">
        <f t="shared" si="301"/>
        <v>Actual</v>
      </c>
      <c r="G475" s="134">
        <v>7762978.3249494499</v>
      </c>
      <c r="H475" s="31" t="s">
        <v>50</v>
      </c>
      <c r="I475" s="136"/>
      <c r="K475" s="94" t="str">
        <f t="shared" si="302"/>
        <v>Actual</v>
      </c>
      <c r="L475" s="95"/>
      <c r="M475" s="95"/>
      <c r="N475" s="37" t="str">
        <f t="shared" si="303"/>
        <v/>
      </c>
      <c r="O475" s="36"/>
      <c r="Q475" s="96" t="str">
        <f t="shared" si="304"/>
        <v>Actual</v>
      </c>
      <c r="R475" s="63">
        <f t="shared" si="305"/>
        <v>0</v>
      </c>
      <c r="S475" s="28">
        <f t="shared" si="306"/>
        <v>0</v>
      </c>
      <c r="T475" s="28" t="str">
        <f t="shared" si="307"/>
        <v/>
      </c>
      <c r="U475" s="91" t="str">
        <f t="shared" si="308"/>
        <v/>
      </c>
    </row>
    <row r="476" spans="3:21" x14ac:dyDescent="0.25">
      <c r="C476" s="26" t="s">
        <v>27</v>
      </c>
      <c r="D476" s="27">
        <f t="shared" si="300"/>
        <v>2015</v>
      </c>
      <c r="E476" s="91"/>
      <c r="F476" s="98" t="str">
        <f t="shared" si="301"/>
        <v>Actual</v>
      </c>
      <c r="G476" s="134">
        <v>17940416.990769401</v>
      </c>
      <c r="H476" s="31" t="s">
        <v>29</v>
      </c>
      <c r="I476" s="137">
        <v>21051994.334752195</v>
      </c>
      <c r="K476" s="94" t="str">
        <f t="shared" si="302"/>
        <v>Actual</v>
      </c>
      <c r="L476" s="95"/>
      <c r="M476" s="95"/>
      <c r="N476" s="37" t="str">
        <f t="shared" si="303"/>
        <v>Board-approved</v>
      </c>
      <c r="O476" s="35"/>
      <c r="Q476" s="96" t="str">
        <f t="shared" si="304"/>
        <v>Actual</v>
      </c>
      <c r="R476" s="63">
        <f t="shared" si="305"/>
        <v>0</v>
      </c>
      <c r="S476" s="28">
        <f t="shared" si="306"/>
        <v>0</v>
      </c>
      <c r="T476" s="28" t="str">
        <f t="shared" si="307"/>
        <v>Board-approved</v>
      </c>
      <c r="U476" s="91">
        <f t="shared" si="308"/>
        <v>0</v>
      </c>
    </row>
    <row r="477" spans="3:21" x14ac:dyDescent="0.25">
      <c r="C477" s="26" t="s">
        <v>27</v>
      </c>
      <c r="D477" s="27">
        <f t="shared" si="300"/>
        <v>2016</v>
      </c>
      <c r="E477" s="91"/>
      <c r="F477" s="98" t="str">
        <f t="shared" si="301"/>
        <v>Actual</v>
      </c>
      <c r="G477" s="134">
        <v>19590105.549475297</v>
      </c>
      <c r="H477" s="31" t="s">
        <v>50</v>
      </c>
      <c r="I477" s="35"/>
      <c r="K477" s="94" t="str">
        <f t="shared" si="302"/>
        <v>Actual</v>
      </c>
      <c r="L477" s="95"/>
      <c r="M477" s="95"/>
      <c r="N477" s="37" t="str">
        <f t="shared" si="303"/>
        <v/>
      </c>
      <c r="O477" s="35"/>
      <c r="Q477" s="96" t="str">
        <f t="shared" si="304"/>
        <v>Actual</v>
      </c>
      <c r="R477" s="63">
        <f t="shared" si="305"/>
        <v>0</v>
      </c>
      <c r="S477" s="28">
        <f t="shared" si="306"/>
        <v>0</v>
      </c>
      <c r="T477" s="28" t="str">
        <f t="shared" si="307"/>
        <v/>
      </c>
      <c r="U477" s="91" t="str">
        <f t="shared" si="308"/>
        <v/>
      </c>
    </row>
    <row r="478" spans="3:21" x14ac:dyDescent="0.25">
      <c r="C478" s="26" t="s">
        <v>45</v>
      </c>
      <c r="D478" s="27">
        <f t="shared" si="300"/>
        <v>2017</v>
      </c>
      <c r="E478" s="91"/>
      <c r="F478" s="98" t="str">
        <f t="shared" si="301"/>
        <v>Forecast</v>
      </c>
      <c r="G478" s="134">
        <v>20538826.814764898</v>
      </c>
      <c r="H478" s="31" t="s">
        <v>50</v>
      </c>
      <c r="I478" s="35"/>
      <c r="K478" s="94" t="str">
        <f t="shared" si="302"/>
        <v>Forecast</v>
      </c>
      <c r="L478" s="102"/>
      <c r="M478" s="138"/>
      <c r="N478" s="37" t="str">
        <f t="shared" si="303"/>
        <v/>
      </c>
      <c r="O478" s="35"/>
      <c r="Q478" s="96" t="str">
        <f t="shared" si="304"/>
        <v>Forecast</v>
      </c>
      <c r="R478" s="63">
        <f t="shared" si="305"/>
        <v>0</v>
      </c>
      <c r="S478" s="28">
        <f t="shared" si="306"/>
        <v>0</v>
      </c>
      <c r="T478" s="28" t="str">
        <f t="shared" si="307"/>
        <v/>
      </c>
      <c r="U478" s="91" t="str">
        <f t="shared" si="308"/>
        <v/>
      </c>
    </row>
    <row r="479" spans="3:21" ht="15.75" thickBot="1" x14ac:dyDescent="0.3">
      <c r="C479" s="39" t="s">
        <v>46</v>
      </c>
      <c r="D479" s="104">
        <v>2018</v>
      </c>
      <c r="E479" s="18"/>
      <c r="F479" s="105" t="str">
        <f t="shared" si="301"/>
        <v>Forecast</v>
      </c>
      <c r="G479" s="139">
        <v>21929437.40899206</v>
      </c>
      <c r="H479" s="43" t="s">
        <v>50</v>
      </c>
      <c r="I479" s="46"/>
      <c r="K479" s="108" t="str">
        <f t="shared" si="302"/>
        <v>Forecast</v>
      </c>
      <c r="L479" s="109"/>
      <c r="M479" s="140"/>
      <c r="N479" s="111" t="str">
        <f t="shared" si="303"/>
        <v/>
      </c>
      <c r="O479" s="46"/>
      <c r="Q479" s="141" t="str">
        <f t="shared" si="304"/>
        <v>Forecast</v>
      </c>
      <c r="R479" s="40">
        <f t="shared" si="305"/>
        <v>0</v>
      </c>
      <c r="S479" s="40">
        <f t="shared" si="306"/>
        <v>0</v>
      </c>
      <c r="T479" s="40" t="str">
        <f t="shared" si="307"/>
        <v/>
      </c>
      <c r="U479" s="18" t="str">
        <f t="shared" si="308"/>
        <v/>
      </c>
    </row>
    <row r="480" spans="3:21" ht="15.75" thickBot="1" x14ac:dyDescent="0.3">
      <c r="C480" s="114"/>
      <c r="I480" s="52">
        <f>SUM(I473:I478)</f>
        <v>21051994.334752195</v>
      </c>
      <c r="J480" s="63"/>
      <c r="O480" s="52">
        <f>SUM(O473:O478)</f>
        <v>0</v>
      </c>
      <c r="U480" s="52">
        <f>SUM(U473:U478)</f>
        <v>0</v>
      </c>
    </row>
    <row r="481" spans="2:21" ht="39" thickBot="1" x14ac:dyDescent="0.3">
      <c r="C481" s="115" t="s">
        <v>33</v>
      </c>
      <c r="D481" s="116" t="s">
        <v>34</v>
      </c>
      <c r="E481" s="270"/>
      <c r="F481" s="270"/>
      <c r="G481" s="270" t="s">
        <v>35</v>
      </c>
      <c r="H481" s="270"/>
      <c r="I481" s="60" t="str">
        <f>I460</f>
        <v>Test Year Versus Board-approved</v>
      </c>
      <c r="J481" s="142"/>
      <c r="K481" s="58" t="s">
        <v>34</v>
      </c>
      <c r="L481" s="308" t="s">
        <v>35</v>
      </c>
      <c r="M481" s="308"/>
      <c r="N481" s="270"/>
      <c r="O481" s="60" t="str">
        <f>I481</f>
        <v>Test Year Versus Board-approved</v>
      </c>
      <c r="P481" s="143"/>
      <c r="Q481" s="58" t="s">
        <v>34</v>
      </c>
      <c r="R481" s="308" t="s">
        <v>35</v>
      </c>
      <c r="S481" s="308"/>
      <c r="T481" s="270"/>
      <c r="U481" s="60" t="str">
        <f>O481</f>
        <v>Test Year Versus Board-approved</v>
      </c>
    </row>
    <row r="482" spans="2:21" x14ac:dyDescent="0.25">
      <c r="C482" s="91"/>
      <c r="D482" s="144">
        <f>D473</f>
        <v>2012</v>
      </c>
      <c r="E482" s="51"/>
      <c r="F482" s="63"/>
      <c r="G482" s="120"/>
      <c r="H482" s="63"/>
      <c r="I482" s="121"/>
      <c r="J482" s="91"/>
      <c r="K482" s="27">
        <f>D482</f>
        <v>2012</v>
      </c>
      <c r="L482" s="65"/>
      <c r="M482" s="65"/>
      <c r="N482" s="63"/>
      <c r="O482" s="145"/>
      <c r="P482" s="91"/>
      <c r="Q482" s="27">
        <f>K482</f>
        <v>2012</v>
      </c>
      <c r="R482" s="123"/>
      <c r="S482" s="123"/>
      <c r="T482" s="63"/>
      <c r="U482" s="35"/>
    </row>
    <row r="483" spans="2:21" x14ac:dyDescent="0.25">
      <c r="C483" s="91"/>
      <c r="D483" s="124">
        <f>D474</f>
        <v>2013</v>
      </c>
      <c r="E483" s="63"/>
      <c r="F483" s="63"/>
      <c r="G483" s="125">
        <f>IF(G473=0,"",G474/G473-1)</f>
        <v>-0.30554293966712687</v>
      </c>
      <c r="H483" s="63"/>
      <c r="I483" s="121"/>
      <c r="J483" s="91"/>
      <c r="K483" s="27">
        <f t="shared" ref="K483:K489" si="309">D483</f>
        <v>2013</v>
      </c>
      <c r="L483" s="67" t="str">
        <f>IF(L473=0,"",L474/L473-1)</f>
        <v/>
      </c>
      <c r="M483" s="67" t="str">
        <f>IF(M473=0,"",M474/M473-1)</f>
        <v/>
      </c>
      <c r="N483" s="63"/>
      <c r="O483" s="145"/>
      <c r="P483" s="91"/>
      <c r="Q483" s="27">
        <f t="shared" ref="Q483:Q489" si="310">K483</f>
        <v>2013</v>
      </c>
      <c r="R483" s="126" t="str">
        <f>IF(R473="","",IF(R473=0,"",R474/R473-1))</f>
        <v/>
      </c>
      <c r="S483" s="126" t="str">
        <f>IF(S473="","",IF(S473=0,"",S474/S473-1))</f>
        <v/>
      </c>
      <c r="T483" s="63"/>
      <c r="U483" s="35"/>
    </row>
    <row r="484" spans="2:21" x14ac:dyDescent="0.25">
      <c r="C484" s="91"/>
      <c r="D484" s="146">
        <f t="shared" ref="D484:D488" si="311">D475</f>
        <v>2014</v>
      </c>
      <c r="E484" s="63"/>
      <c r="F484" s="63"/>
      <c r="G484" s="125">
        <f t="shared" ref="G484:G488" si="312">IF(G474=0,"",G475/G474-1)</f>
        <v>-4.7291542591594737E-2</v>
      </c>
      <c r="H484" s="63"/>
      <c r="I484" s="121"/>
      <c r="J484" s="91"/>
      <c r="K484" s="27">
        <f t="shared" si="309"/>
        <v>2014</v>
      </c>
      <c r="L484" s="67" t="str">
        <f t="shared" ref="L484:M488" si="313">IF(L474=0,"",L475/L474-1)</f>
        <v/>
      </c>
      <c r="M484" s="67" t="str">
        <f t="shared" si="313"/>
        <v/>
      </c>
      <c r="N484" s="63"/>
      <c r="O484" s="145"/>
      <c r="P484" s="91"/>
      <c r="Q484" s="27">
        <f t="shared" si="310"/>
        <v>2014</v>
      </c>
      <c r="R484" s="126" t="str">
        <f t="shared" ref="R484:S488" si="314">IF(R474="","",IF(R474=0,"",R475/R474-1))</f>
        <v/>
      </c>
      <c r="S484" s="126" t="str">
        <f t="shared" si="314"/>
        <v/>
      </c>
      <c r="T484" s="63"/>
      <c r="U484" s="35"/>
    </row>
    <row r="485" spans="2:21" x14ac:dyDescent="0.25">
      <c r="C485" s="91"/>
      <c r="D485" s="124">
        <f t="shared" si="311"/>
        <v>2015</v>
      </c>
      <c r="E485" s="63"/>
      <c r="F485" s="63"/>
      <c r="G485" s="125">
        <f t="shared" si="312"/>
        <v>1.311022424616421</v>
      </c>
      <c r="H485" s="63"/>
      <c r="I485" s="121"/>
      <c r="J485" s="91"/>
      <c r="K485" s="27">
        <f t="shared" si="309"/>
        <v>2015</v>
      </c>
      <c r="L485" s="67" t="str">
        <f t="shared" si="313"/>
        <v/>
      </c>
      <c r="M485" s="67" t="str">
        <f t="shared" si="313"/>
        <v/>
      </c>
      <c r="N485" s="63"/>
      <c r="O485" s="145"/>
      <c r="P485" s="91"/>
      <c r="Q485" s="27">
        <f t="shared" si="310"/>
        <v>2015</v>
      </c>
      <c r="R485" s="126" t="str">
        <f t="shared" si="314"/>
        <v/>
      </c>
      <c r="S485" s="126" t="str">
        <f t="shared" si="314"/>
        <v/>
      </c>
      <c r="T485" s="63"/>
      <c r="U485" s="35"/>
    </row>
    <row r="486" spans="2:21" x14ac:dyDescent="0.25">
      <c r="C486" s="91"/>
      <c r="D486" s="124">
        <f t="shared" si="311"/>
        <v>2016</v>
      </c>
      <c r="E486" s="63"/>
      <c r="F486" s="63"/>
      <c r="G486" s="125">
        <f t="shared" si="312"/>
        <v>9.1953746646729728E-2</v>
      </c>
      <c r="H486" s="63"/>
      <c r="I486" s="121"/>
      <c r="J486" s="91"/>
      <c r="K486" s="27">
        <f t="shared" si="309"/>
        <v>2016</v>
      </c>
      <c r="L486" s="67" t="str">
        <f t="shared" si="313"/>
        <v/>
      </c>
      <c r="M486" s="67" t="str">
        <f t="shared" si="313"/>
        <v/>
      </c>
      <c r="N486" s="63"/>
      <c r="O486" s="145"/>
      <c r="P486" s="91"/>
      <c r="Q486" s="27">
        <f t="shared" si="310"/>
        <v>2016</v>
      </c>
      <c r="R486" s="126" t="str">
        <f t="shared" si="314"/>
        <v/>
      </c>
      <c r="S486" s="126" t="str">
        <f t="shared" si="314"/>
        <v/>
      </c>
      <c r="T486" s="63"/>
      <c r="U486" s="35"/>
    </row>
    <row r="487" spans="2:21" x14ac:dyDescent="0.25">
      <c r="C487" s="91"/>
      <c r="D487" s="124">
        <f t="shared" si="311"/>
        <v>2017</v>
      </c>
      <c r="E487" s="63"/>
      <c r="F487" s="63"/>
      <c r="G487" s="125">
        <f t="shared" si="312"/>
        <v>4.8428593857934077E-2</v>
      </c>
      <c r="H487" s="63"/>
      <c r="I487" s="121"/>
      <c r="J487" s="91"/>
      <c r="K487" s="27">
        <f t="shared" si="309"/>
        <v>2017</v>
      </c>
      <c r="L487" s="67" t="str">
        <f>IF(K478="Forecast","",IF(L477=0,"",L478/L477-1))</f>
        <v/>
      </c>
      <c r="M487" s="67" t="str">
        <f t="shared" si="313"/>
        <v/>
      </c>
      <c r="N487" s="63"/>
      <c r="O487" s="145"/>
      <c r="P487" s="91"/>
      <c r="Q487" s="27">
        <f t="shared" si="310"/>
        <v>2017</v>
      </c>
      <c r="R487" s="126" t="str">
        <f>IF(Q478="Forecast","",IF(R477=0,"",R478/R477-1))</f>
        <v/>
      </c>
      <c r="S487" s="126" t="str">
        <f t="shared" si="314"/>
        <v/>
      </c>
      <c r="T487" s="63"/>
      <c r="U487" s="35"/>
    </row>
    <row r="488" spans="2:21" x14ac:dyDescent="0.25">
      <c r="C488" s="91"/>
      <c r="D488" s="146">
        <f t="shared" si="311"/>
        <v>2018</v>
      </c>
      <c r="E488" s="63"/>
      <c r="F488" s="63"/>
      <c r="G488" s="125">
        <f t="shared" si="312"/>
        <v>6.7706427770620303E-2</v>
      </c>
      <c r="H488" s="63"/>
      <c r="I488" s="127">
        <f>IF(I480=0,"",G479/I480-1)</f>
        <v>4.1679807636628485E-2</v>
      </c>
      <c r="J488" s="91"/>
      <c r="K488" s="27">
        <f t="shared" si="309"/>
        <v>2018</v>
      </c>
      <c r="L488" s="67" t="str">
        <f>IF(K479="Forecast","",IF(L478=0,"",L479/L478-1))</f>
        <v/>
      </c>
      <c r="M488" s="67" t="str">
        <f t="shared" si="313"/>
        <v/>
      </c>
      <c r="N488" s="63"/>
      <c r="O488" s="147" t="str">
        <f>IF(O480=0,"",M479/O480-1)</f>
        <v/>
      </c>
      <c r="P488" s="91"/>
      <c r="Q488" s="27">
        <f t="shared" si="310"/>
        <v>2018</v>
      </c>
      <c r="R488" s="126" t="str">
        <f>IF(Q479="Forecast","",IF(R478=0,"",R479/R478-1))</f>
        <v/>
      </c>
      <c r="S488" s="126" t="str">
        <f t="shared" si="314"/>
        <v/>
      </c>
      <c r="T488" s="63"/>
      <c r="U488" s="68" t="str">
        <f>IF(U480=0,"",S479/U480-1)</f>
        <v/>
      </c>
    </row>
    <row r="489" spans="2:21" ht="30.75" thickBot="1" x14ac:dyDescent="0.3">
      <c r="C489" s="18"/>
      <c r="D489" s="128" t="s">
        <v>37</v>
      </c>
      <c r="E489" s="71"/>
      <c r="F489" s="71"/>
      <c r="G489" s="129">
        <f>IF(G473=0,"",(G479/G473)^(1/($D479-$D473-1))-1)</f>
        <v>0.13323742071421885</v>
      </c>
      <c r="H489" s="71"/>
      <c r="I489" s="286">
        <f>IF(I480=0,"",(G479/I480)^(1/(TestYear-RebaseYear-1))-1)</f>
        <v>4.1679807636628485E-2</v>
      </c>
      <c r="J489" s="91"/>
      <c r="K489" s="75" t="str">
        <f t="shared" si="309"/>
        <v>Geometric Mean</v>
      </c>
      <c r="L489" s="76" t="str">
        <f>IF(L473=0,"",(L477/L473)^(1/($D477-$D473-1))-1)</f>
        <v/>
      </c>
      <c r="M489" s="76" t="str">
        <f>IF(M473=0,"",(M479/M473)^(1/($D479-$D473-1))-1)</f>
        <v/>
      </c>
      <c r="N489" s="71"/>
      <c r="O489" s="77" t="str">
        <f>IF(O480=0,"",(M479/O480)^(1/(TestYear-RebaseYear-1))-1)</f>
        <v/>
      </c>
      <c r="P489" s="18"/>
      <c r="Q489" s="75" t="str">
        <f t="shared" si="310"/>
        <v>Geometric Mean</v>
      </c>
      <c r="R489" s="131" t="str">
        <f>IF(R473="","",IF(R473=0,"",(R477/R473)^(1/($D477-$D473-1))-1))</f>
        <v/>
      </c>
      <c r="S489" s="76" t="str">
        <f>IF(S473="","",IF(S473=0,"",(S479/S473)^(1/($D479-$D473-1))-1))</f>
        <v/>
      </c>
      <c r="T489" s="71"/>
      <c r="U489" s="77" t="str">
        <f>IF(U480=0,"",(S479/U480)^(1/(TestYear-RebaseYear-1))-1)</f>
        <v/>
      </c>
    </row>
    <row r="494" spans="2:21" ht="15.75" thickBot="1" x14ac:dyDescent="0.3"/>
    <row r="495" spans="2:21" ht="15.75" thickBot="1" x14ac:dyDescent="0.3">
      <c r="B495" s="79">
        <f>B448+1</f>
        <v>11</v>
      </c>
      <c r="C495" s="80" t="s">
        <v>39</v>
      </c>
      <c r="D495" s="309" t="s">
        <v>58</v>
      </c>
      <c r="E495" s="310"/>
      <c r="F495" s="311"/>
      <c r="G495" s="81"/>
      <c r="H495" s="82" t="s">
        <v>41</v>
      </c>
      <c r="N495" s="83" t="s">
        <v>42</v>
      </c>
      <c r="O495" s="84"/>
      <c r="P495" s="84"/>
      <c r="Q495" s="84"/>
      <c r="R495" s="84"/>
      <c r="S495" s="84"/>
      <c r="T495" s="84"/>
      <c r="U495" s="84"/>
    </row>
    <row r="496" spans="2:21" ht="15.75" thickBot="1" x14ac:dyDescent="0.3">
      <c r="Q496" s="71"/>
      <c r="R496" s="71"/>
      <c r="S496" s="71"/>
      <c r="T496" s="71"/>
      <c r="U496" s="71"/>
    </row>
    <row r="497" spans="2:22" ht="14.65" customHeight="1" x14ac:dyDescent="0.25">
      <c r="C497" s="13"/>
      <c r="D497" s="14" t="s">
        <v>23</v>
      </c>
      <c r="E497" s="14"/>
      <c r="F497" s="312" t="s">
        <v>43</v>
      </c>
      <c r="G497" s="313"/>
      <c r="H497" s="313"/>
      <c r="I497" s="314"/>
      <c r="J497" s="14"/>
      <c r="K497" s="300" t="s">
        <v>24</v>
      </c>
      <c r="L497" s="301"/>
      <c r="M497" s="301"/>
      <c r="N497" s="301"/>
      <c r="O497" s="302"/>
      <c r="P497" s="15"/>
      <c r="Q497" s="303" t="str">
        <f>CONCATENATE("Consumption (kWh) per ",LEFT(F497,LEN(F497)-1))</f>
        <v>Consumption (kWh) per Customer</v>
      </c>
      <c r="R497" s="304"/>
      <c r="S497" s="304"/>
      <c r="T497" s="304"/>
      <c r="U497" s="305"/>
      <c r="V497" s="85"/>
    </row>
    <row r="498" spans="2:22" ht="39" thickBot="1" x14ac:dyDescent="0.3">
      <c r="C498" s="18"/>
      <c r="D498" s="19" t="str">
        <f>CONCATENATE("(for ",TestYear," Cost of Service")</f>
        <v>(for 2017 Cost of Service</v>
      </c>
      <c r="E498" s="26"/>
      <c r="F498" s="306"/>
      <c r="G498" s="307"/>
      <c r="H498" s="315"/>
      <c r="I498" s="86"/>
      <c r="J498" s="26"/>
      <c r="K498" s="22"/>
      <c r="L498" s="23" t="s">
        <v>25</v>
      </c>
      <c r="M498" s="23" t="s">
        <v>26</v>
      </c>
      <c r="N498" s="24"/>
      <c r="O498" s="25" t="s">
        <v>26</v>
      </c>
      <c r="P498" s="26"/>
      <c r="Q498" s="87"/>
      <c r="R498" s="88" t="str">
        <f>L498</f>
        <v>Actual (Weather actual)</v>
      </c>
      <c r="S498" s="89" t="str">
        <f>M498</f>
        <v>Weather-normalized</v>
      </c>
      <c r="T498" s="89"/>
      <c r="U498" s="90" t="str">
        <f>O498</f>
        <v>Weather-normalized</v>
      </c>
      <c r="V498" s="85"/>
    </row>
    <row r="499" spans="2:22" ht="15.75" thickBot="1" x14ac:dyDescent="0.3">
      <c r="C499" s="26" t="s">
        <v>27</v>
      </c>
      <c r="D499" s="27">
        <f t="shared" ref="D499:D504" si="315">D500-1</f>
        <v>2012</v>
      </c>
      <c r="E499" s="91"/>
      <c r="F499" s="92" t="str">
        <f>F452</f>
        <v>Actual</v>
      </c>
      <c r="G499" s="93">
        <v>4724</v>
      </c>
      <c r="H499" s="32" t="str">
        <f t="shared" ref="H499:H505" si="316">IF(D499=RebaseYear,"Board-approved","")</f>
        <v/>
      </c>
      <c r="I499" s="35"/>
      <c r="J499" s="91"/>
      <c r="K499" s="94" t="str">
        <f>F499</f>
        <v>Actual</v>
      </c>
      <c r="L499" s="95">
        <v>126725176.14000002</v>
      </c>
      <c r="M499" s="95">
        <v>126725176.14000002</v>
      </c>
      <c r="N499" s="37" t="str">
        <f>H499</f>
        <v/>
      </c>
      <c r="O499" s="35"/>
      <c r="P499" s="91"/>
      <c r="Q499" s="96" t="str">
        <f>K499</f>
        <v>Actual</v>
      </c>
      <c r="R499" s="97">
        <f>IF(G499=0,"",L499/G499)</f>
        <v>26825.820520745136</v>
      </c>
      <c r="S499" s="63">
        <f>IF(G499=0,"",M499/G499)</f>
        <v>26825.820520745136</v>
      </c>
      <c r="T499" s="63" t="str">
        <f>N499</f>
        <v/>
      </c>
      <c r="U499" s="63" t="str">
        <f>IF(T499="","",IF(I499=0,"",O499/I499))</f>
        <v/>
      </c>
      <c r="V499" s="28"/>
    </row>
    <row r="500" spans="2:22" ht="15.75" thickBot="1" x14ac:dyDescent="0.3">
      <c r="C500" s="26" t="s">
        <v>27</v>
      </c>
      <c r="D500" s="27">
        <f t="shared" si="315"/>
        <v>2013</v>
      </c>
      <c r="E500" s="91"/>
      <c r="F500" s="92" t="str">
        <f t="shared" ref="F500:F505" si="317">F453</f>
        <v>Actual</v>
      </c>
      <c r="G500" s="93">
        <v>4803.5388962964362</v>
      </c>
      <c r="H500" s="32" t="str">
        <f t="shared" si="316"/>
        <v/>
      </c>
      <c r="I500" s="35"/>
      <c r="J500" s="91"/>
      <c r="K500" s="94" t="str">
        <f t="shared" ref="K500:K505" si="318">F500</f>
        <v>Actual</v>
      </c>
      <c r="L500" s="95">
        <v>124806098.21821229</v>
      </c>
      <c r="M500" s="95">
        <v>124806098.21821229</v>
      </c>
      <c r="N500" s="37" t="str">
        <f t="shared" ref="N500:N505" si="319">H500</f>
        <v/>
      </c>
      <c r="O500" s="35"/>
      <c r="P500" s="91"/>
      <c r="Q500" s="96" t="str">
        <f t="shared" ref="Q500:Q505" si="320">K500</f>
        <v>Actual</v>
      </c>
      <c r="R500" s="97">
        <f t="shared" ref="R500:R505" si="321">IF(G500=0,"",L500/G500)</f>
        <v>25982.114626872015</v>
      </c>
      <c r="S500" s="63">
        <f t="shared" ref="S500:S505" si="322">IF(G500=0,"",M500/G500)</f>
        <v>25982.114626872015</v>
      </c>
      <c r="T500" s="63" t="str">
        <f t="shared" ref="T500:T505" si="323">N500</f>
        <v/>
      </c>
      <c r="U500" s="63" t="str">
        <f t="shared" ref="U500:U505" si="324">IF(T500="","",IF(I500=0,"",O500/I500))</f>
        <v/>
      </c>
      <c r="V500" s="28"/>
    </row>
    <row r="501" spans="2:22" ht="15.75" thickBot="1" x14ac:dyDescent="0.3">
      <c r="C501" s="26" t="s">
        <v>27</v>
      </c>
      <c r="D501" s="27">
        <f t="shared" si="315"/>
        <v>2014</v>
      </c>
      <c r="E501" s="91"/>
      <c r="F501" s="92" t="str">
        <f t="shared" si="317"/>
        <v>Actual</v>
      </c>
      <c r="G501" s="93">
        <v>5104</v>
      </c>
      <c r="H501" s="32" t="str">
        <f t="shared" si="316"/>
        <v/>
      </c>
      <c r="I501" s="36"/>
      <c r="J501" s="91"/>
      <c r="K501" s="94" t="str">
        <f t="shared" si="318"/>
        <v>Actual</v>
      </c>
      <c r="L501" s="95">
        <v>122222252.82967031</v>
      </c>
      <c r="M501" s="95">
        <v>122222252.82967031</v>
      </c>
      <c r="N501" s="37" t="str">
        <f t="shared" si="319"/>
        <v/>
      </c>
      <c r="O501" s="36"/>
      <c r="P501" s="91"/>
      <c r="Q501" s="96" t="str">
        <f t="shared" si="320"/>
        <v>Actual</v>
      </c>
      <c r="R501" s="97">
        <f t="shared" si="321"/>
        <v>23946.366150013775</v>
      </c>
      <c r="S501" s="63">
        <f t="shared" si="322"/>
        <v>23946.366150013775</v>
      </c>
      <c r="T501" s="63" t="str">
        <f t="shared" si="323"/>
        <v/>
      </c>
      <c r="U501" s="63" t="str">
        <f t="shared" si="324"/>
        <v/>
      </c>
      <c r="V501" s="28"/>
    </row>
    <row r="502" spans="2:22" ht="15.75" thickBot="1" x14ac:dyDescent="0.3">
      <c r="C502" s="26" t="s">
        <v>27</v>
      </c>
      <c r="D502" s="27">
        <f t="shared" si="315"/>
        <v>2015</v>
      </c>
      <c r="E502" s="91"/>
      <c r="F502" s="92" t="str">
        <f t="shared" si="317"/>
        <v>Actual</v>
      </c>
      <c r="G502" s="93">
        <v>5118</v>
      </c>
      <c r="H502" s="32" t="str">
        <f t="shared" si="316"/>
        <v>Board-approved</v>
      </c>
      <c r="I502" s="100">
        <v>4972.9013381814475</v>
      </c>
      <c r="J502" s="91"/>
      <c r="K502" s="94" t="str">
        <f t="shared" si="318"/>
        <v>Actual</v>
      </c>
      <c r="L502" s="95">
        <v>122362125.02</v>
      </c>
      <c r="M502" s="95">
        <v>122362125.02</v>
      </c>
      <c r="N502" s="37" t="str">
        <f t="shared" si="319"/>
        <v>Board-approved</v>
      </c>
      <c r="O502" s="35">
        <v>125123039.93618226</v>
      </c>
      <c r="P502" s="91"/>
      <c r="Q502" s="96" t="str">
        <f t="shared" si="320"/>
        <v>Actual</v>
      </c>
      <c r="R502" s="97">
        <f t="shared" si="321"/>
        <v>23908.191680343883</v>
      </c>
      <c r="S502" s="63">
        <f t="shared" si="322"/>
        <v>23908.191680343883</v>
      </c>
      <c r="T502" s="63" t="str">
        <f t="shared" si="323"/>
        <v>Board-approved</v>
      </c>
      <c r="U502" s="63">
        <f t="shared" si="324"/>
        <v>25160.973730868107</v>
      </c>
      <c r="V502" s="28"/>
    </row>
    <row r="503" spans="2:22" ht="15.75" thickBot="1" x14ac:dyDescent="0.3">
      <c r="C503" s="26" t="s">
        <v>27</v>
      </c>
      <c r="D503" s="27">
        <f t="shared" si="315"/>
        <v>2016</v>
      </c>
      <c r="E503" s="91"/>
      <c r="F503" s="92" t="str">
        <f t="shared" si="317"/>
        <v>Actual</v>
      </c>
      <c r="G503" s="93">
        <v>5251</v>
      </c>
      <c r="H503" s="32" t="str">
        <f t="shared" si="316"/>
        <v/>
      </c>
      <c r="I503" s="35"/>
      <c r="J503" s="91"/>
      <c r="K503" s="94" t="str">
        <f t="shared" si="318"/>
        <v>Actual</v>
      </c>
      <c r="L503" s="95">
        <v>122143172.73307317</v>
      </c>
      <c r="M503" s="95">
        <v>122143172.73307317</v>
      </c>
      <c r="N503" s="37" t="str">
        <f t="shared" si="319"/>
        <v/>
      </c>
      <c r="O503" s="35"/>
      <c r="P503" s="91"/>
      <c r="Q503" s="96" t="str">
        <f t="shared" si="320"/>
        <v>Actual</v>
      </c>
      <c r="R503" s="97">
        <f t="shared" si="321"/>
        <v>23260.935580474801</v>
      </c>
      <c r="S503" s="63">
        <f t="shared" si="322"/>
        <v>23260.935580474801</v>
      </c>
      <c r="T503" s="63" t="str">
        <f t="shared" si="323"/>
        <v/>
      </c>
      <c r="U503" s="63" t="str">
        <f t="shared" si="324"/>
        <v/>
      </c>
      <c r="V503" s="28"/>
    </row>
    <row r="504" spans="2:22" ht="15.75" thickBot="1" x14ac:dyDescent="0.3">
      <c r="C504" s="26" t="s">
        <v>30</v>
      </c>
      <c r="D504" s="27">
        <f t="shared" si="315"/>
        <v>2017</v>
      </c>
      <c r="E504" s="91"/>
      <c r="F504" s="92" t="str">
        <f t="shared" si="317"/>
        <v>Forecast</v>
      </c>
      <c r="G504" s="93">
        <v>5285.8182279413568</v>
      </c>
      <c r="H504" s="32" t="str">
        <f t="shared" si="316"/>
        <v/>
      </c>
      <c r="I504" s="35"/>
      <c r="J504" s="91"/>
      <c r="K504" s="94" t="str">
        <f t="shared" si="318"/>
        <v>Forecast</v>
      </c>
      <c r="L504" s="102"/>
      <c r="M504" s="103">
        <v>121496045.41164054</v>
      </c>
      <c r="N504" s="37" t="str">
        <f t="shared" si="319"/>
        <v/>
      </c>
      <c r="O504" s="35"/>
      <c r="P504" s="91"/>
      <c r="Q504" s="96" t="str">
        <f t="shared" si="320"/>
        <v>Forecast</v>
      </c>
      <c r="R504" s="97">
        <f t="shared" si="321"/>
        <v>0</v>
      </c>
      <c r="S504" s="63">
        <f t="shared" si="322"/>
        <v>22985.286321311705</v>
      </c>
      <c r="T504" s="63" t="str">
        <f t="shared" si="323"/>
        <v/>
      </c>
      <c r="U504" s="63" t="str">
        <f t="shared" si="324"/>
        <v/>
      </c>
      <c r="V504" s="28"/>
    </row>
    <row r="505" spans="2:22" ht="15.75" thickBot="1" x14ac:dyDescent="0.3">
      <c r="C505" s="39" t="s">
        <v>32</v>
      </c>
      <c r="D505" s="104">
        <v>2018</v>
      </c>
      <c r="E505" s="18"/>
      <c r="F505" s="148" t="str">
        <f t="shared" si="317"/>
        <v>Forecast</v>
      </c>
      <c r="G505" s="106">
        <v>5323.2219730404177</v>
      </c>
      <c r="H505" s="44" t="str">
        <f t="shared" si="316"/>
        <v/>
      </c>
      <c r="I505" s="46"/>
      <c r="J505" s="18"/>
      <c r="K505" s="108" t="str">
        <f t="shared" si="318"/>
        <v>Forecast</v>
      </c>
      <c r="L505" s="109"/>
      <c r="M505" s="110">
        <v>121367847.68686277</v>
      </c>
      <c r="N505" s="111" t="str">
        <f t="shared" si="319"/>
        <v/>
      </c>
      <c r="O505" s="46"/>
      <c r="P505" s="18"/>
      <c r="Q505" s="112" t="str">
        <f t="shared" si="320"/>
        <v>Forecast</v>
      </c>
      <c r="R505" s="113">
        <f t="shared" si="321"/>
        <v>0</v>
      </c>
      <c r="S505" s="71">
        <f t="shared" si="322"/>
        <v>22799.69693195833</v>
      </c>
      <c r="T505" s="71" t="str">
        <f t="shared" si="323"/>
        <v/>
      </c>
      <c r="U505" s="71" t="str">
        <f t="shared" si="324"/>
        <v/>
      </c>
      <c r="V505" s="28"/>
    </row>
    <row r="506" spans="2:22" ht="15.75" thickBot="1" x14ac:dyDescent="0.3">
      <c r="B506" s="63"/>
      <c r="C506" s="114"/>
      <c r="I506" s="52">
        <f>SUM(I499:I504)</f>
        <v>4972.9013381814475</v>
      </c>
      <c r="O506" s="52">
        <f>SUM(O499:O504)</f>
        <v>125123039.93618226</v>
      </c>
      <c r="U506" s="52">
        <f>SUM(U499:U504)</f>
        <v>25160.973730868107</v>
      </c>
    </row>
    <row r="507" spans="2:22" ht="39" thickBot="1" x14ac:dyDescent="0.3">
      <c r="C507" s="115" t="s">
        <v>33</v>
      </c>
      <c r="D507" s="116" t="s">
        <v>34</v>
      </c>
      <c r="E507" s="48"/>
      <c r="F507" s="48"/>
      <c r="G507" s="270" t="s">
        <v>35</v>
      </c>
      <c r="H507" s="48"/>
      <c r="I507" s="60" t="s">
        <v>44</v>
      </c>
      <c r="J507" s="117"/>
      <c r="K507" s="58" t="s">
        <v>34</v>
      </c>
      <c r="L507" s="308" t="s">
        <v>35</v>
      </c>
      <c r="M507" s="308"/>
      <c r="N507" s="48"/>
      <c r="O507" s="60" t="str">
        <f>I507</f>
        <v>Test Year Versus Board-approved</v>
      </c>
      <c r="P507" s="118"/>
      <c r="Q507" s="58" t="s">
        <v>34</v>
      </c>
      <c r="R507" s="308" t="s">
        <v>35</v>
      </c>
      <c r="S507" s="308"/>
      <c r="T507" s="48"/>
      <c r="U507" s="60" t="str">
        <f>O507</f>
        <v>Test Year Versus Board-approved</v>
      </c>
    </row>
    <row r="508" spans="2:22" x14ac:dyDescent="0.25">
      <c r="C508" s="91"/>
      <c r="D508" s="119">
        <f t="shared" ref="D508:D514" si="325">D499</f>
        <v>2012</v>
      </c>
      <c r="E508" s="63"/>
      <c r="F508" s="63"/>
      <c r="G508" s="120"/>
      <c r="H508" s="63"/>
      <c r="I508" s="121"/>
      <c r="J508" s="122"/>
      <c r="K508" s="27">
        <f>D508</f>
        <v>2012</v>
      </c>
      <c r="L508" s="65"/>
      <c r="M508" s="65"/>
      <c r="N508" s="63"/>
      <c r="O508" s="35"/>
      <c r="P508" s="91"/>
      <c r="Q508" s="27">
        <f>K508</f>
        <v>2012</v>
      </c>
      <c r="R508" s="123"/>
      <c r="S508" s="123"/>
      <c r="T508" s="63"/>
      <c r="U508" s="35"/>
    </row>
    <row r="509" spans="2:22" x14ac:dyDescent="0.25">
      <c r="C509" s="91"/>
      <c r="D509" s="124">
        <f t="shared" si="325"/>
        <v>2013</v>
      </c>
      <c r="E509" s="63"/>
      <c r="F509" s="63"/>
      <c r="G509" s="125">
        <f t="shared" ref="G509:G514" si="326">IF(G499=0,"",G500/G499-1)</f>
        <v>1.6837192272742607E-2</v>
      </c>
      <c r="H509" s="63"/>
      <c r="I509" s="121"/>
      <c r="J509" s="122"/>
      <c r="K509" s="27">
        <f t="shared" ref="K509:K515" si="327">D509</f>
        <v>2013</v>
      </c>
      <c r="L509" s="67">
        <f t="shared" ref="L509:M512" si="328">IF(L499=0,"",L500/L499-1)</f>
        <v>-1.5143620078046816E-2</v>
      </c>
      <c r="M509" s="67">
        <f t="shared" si="328"/>
        <v>-1.5143620078046816E-2</v>
      </c>
      <c r="N509" s="63"/>
      <c r="O509" s="35"/>
      <c r="P509" s="91"/>
      <c r="Q509" s="27">
        <f t="shared" ref="Q509:Q515" si="329">K509</f>
        <v>2013</v>
      </c>
      <c r="R509" s="125">
        <f>IF(R499="","",IF(R499=0,"",R500/R499-1))</f>
        <v>-3.1451261415122778E-2</v>
      </c>
      <c r="S509" s="125">
        <f>IF(S499="","",IF(S499=0,"",S500/S499-1))</f>
        <v>-3.1451261415122778E-2</v>
      </c>
      <c r="T509" s="63"/>
      <c r="U509" s="35"/>
    </row>
    <row r="510" spans="2:22" x14ac:dyDescent="0.25">
      <c r="C510" s="91"/>
      <c r="D510" s="124">
        <f t="shared" si="325"/>
        <v>2014</v>
      </c>
      <c r="E510" s="63"/>
      <c r="F510" s="63"/>
      <c r="G510" s="125">
        <f t="shared" si="326"/>
        <v>6.2549947068237799E-2</v>
      </c>
      <c r="H510" s="63"/>
      <c r="I510" s="121"/>
      <c r="J510" s="122"/>
      <c r="K510" s="27">
        <f t="shared" si="327"/>
        <v>2014</v>
      </c>
      <c r="L510" s="67">
        <f t="shared" si="328"/>
        <v>-2.0702877707340583E-2</v>
      </c>
      <c r="M510" s="67">
        <f t="shared" si="328"/>
        <v>-2.0702877707340583E-2</v>
      </c>
      <c r="N510" s="63"/>
      <c r="O510" s="35"/>
      <c r="P510" s="91"/>
      <c r="Q510" s="27">
        <f t="shared" si="329"/>
        <v>2014</v>
      </c>
      <c r="R510" s="125">
        <f t="shared" ref="R510:S514" si="330">IF(R500="","",IF(R500=0,"",R501/R500-1))</f>
        <v>-7.8351916543111799E-2</v>
      </c>
      <c r="S510" s="125">
        <f t="shared" si="330"/>
        <v>-7.8351916543111799E-2</v>
      </c>
      <c r="T510" s="63"/>
      <c r="U510" s="35"/>
    </row>
    <row r="511" spans="2:22" x14ac:dyDescent="0.25">
      <c r="C511" s="91"/>
      <c r="D511" s="124">
        <f t="shared" si="325"/>
        <v>2015</v>
      </c>
      <c r="E511" s="63"/>
      <c r="F511" s="63"/>
      <c r="G511" s="125">
        <f t="shared" si="326"/>
        <v>2.742946708463867E-3</v>
      </c>
      <c r="H511" s="63"/>
      <c r="I511" s="121"/>
      <c r="J511" s="122"/>
      <c r="K511" s="27">
        <f t="shared" si="327"/>
        <v>2015</v>
      </c>
      <c r="L511" s="67">
        <f t="shared" si="328"/>
        <v>1.1444085433820472E-3</v>
      </c>
      <c r="M511" s="67">
        <f t="shared" si="328"/>
        <v>1.1444085433820472E-3</v>
      </c>
      <c r="N511" s="63"/>
      <c r="O511" s="35"/>
      <c r="P511" s="91"/>
      <c r="Q511" s="27">
        <f t="shared" si="329"/>
        <v>2015</v>
      </c>
      <c r="R511" s="125">
        <f t="shared" si="330"/>
        <v>-1.594165454196439E-3</v>
      </c>
      <c r="S511" s="125">
        <f t="shared" si="330"/>
        <v>-1.594165454196439E-3</v>
      </c>
      <c r="T511" s="63"/>
      <c r="U511" s="35"/>
    </row>
    <row r="512" spans="2:22" x14ac:dyDescent="0.25">
      <c r="C512" s="91"/>
      <c r="D512" s="124">
        <f t="shared" si="325"/>
        <v>2016</v>
      </c>
      <c r="E512" s="63"/>
      <c r="F512" s="63"/>
      <c r="G512" s="125">
        <f t="shared" si="326"/>
        <v>2.5986713559984276E-2</v>
      </c>
      <c r="H512" s="63"/>
      <c r="I512" s="121"/>
      <c r="J512" s="122"/>
      <c r="K512" s="27">
        <f t="shared" si="327"/>
        <v>2016</v>
      </c>
      <c r="L512" s="67">
        <f t="shared" si="328"/>
        <v>-1.7893795722412342E-3</v>
      </c>
      <c r="M512" s="67">
        <f t="shared" si="328"/>
        <v>-1.7893795722412342E-3</v>
      </c>
      <c r="N512" s="63"/>
      <c r="O512" s="35"/>
      <c r="P512" s="91"/>
      <c r="Q512" s="27">
        <f t="shared" si="329"/>
        <v>2016</v>
      </c>
      <c r="R512" s="125">
        <f t="shared" si="330"/>
        <v>-2.7072566111356E-2</v>
      </c>
      <c r="S512" s="125">
        <f t="shared" si="330"/>
        <v>-2.7072566111356E-2</v>
      </c>
      <c r="T512" s="63"/>
      <c r="U512" s="35"/>
    </row>
    <row r="513" spans="3:21" x14ac:dyDescent="0.25">
      <c r="C513" s="91"/>
      <c r="D513" s="124">
        <f t="shared" si="325"/>
        <v>2017</v>
      </c>
      <c r="E513" s="63"/>
      <c r="F513" s="63"/>
      <c r="G513" s="125">
        <f t="shared" si="326"/>
        <v>6.6307804116085833E-3</v>
      </c>
      <c r="H513" s="63"/>
      <c r="I513" s="121"/>
      <c r="J513" s="122"/>
      <c r="K513" s="27">
        <f t="shared" si="327"/>
        <v>2017</v>
      </c>
      <c r="L513" s="67" t="str">
        <f>IF(K504="Forecast","",IF(L503=0,"",L504/L503-1))</f>
        <v/>
      </c>
      <c r="M513" s="67">
        <f>IF(M503=0,"",M504/M503-1)</f>
        <v>-5.2981047319512475E-3</v>
      </c>
      <c r="N513" s="63"/>
      <c r="O513" s="35"/>
      <c r="P513" s="91"/>
      <c r="Q513" s="27">
        <f t="shared" si="329"/>
        <v>2017</v>
      </c>
      <c r="R513" s="125" t="str">
        <f>IF(Q504="Forecast","",IF(R503=0,"",R504/R503-1))</f>
        <v/>
      </c>
      <c r="S513" s="125">
        <f t="shared" si="330"/>
        <v>-1.1850308351074035E-2</v>
      </c>
      <c r="T513" s="63"/>
      <c r="U513" s="35"/>
    </row>
    <row r="514" spans="3:21" x14ac:dyDescent="0.25">
      <c r="C514" s="91"/>
      <c r="D514" s="124">
        <f t="shared" si="325"/>
        <v>2018</v>
      </c>
      <c r="E514" s="63"/>
      <c r="F514" s="63"/>
      <c r="G514" s="125">
        <f t="shared" si="326"/>
        <v>7.0762450553711886E-3</v>
      </c>
      <c r="H514" s="63"/>
      <c r="I514" s="127">
        <f>IF(I506=0,"",G505/I506-1)</f>
        <v>7.0445925031579204E-2</v>
      </c>
      <c r="J514" s="122"/>
      <c r="K514" s="27">
        <f t="shared" si="327"/>
        <v>2018</v>
      </c>
      <c r="L514" s="67" t="str">
        <f>IF(K505="Forecast","",IF(L504=0,"",L505/L504-1))</f>
        <v/>
      </c>
      <c r="M514" s="67">
        <f>IF(M504=0,"",M505/M504-1)</f>
        <v>-1.055159650204418E-3</v>
      </c>
      <c r="N514" s="63"/>
      <c r="O514" s="127">
        <f>IF(O506=0,"",M505/O506-1)</f>
        <v>-3.001199660138365E-2</v>
      </c>
      <c r="P514" s="91"/>
      <c r="Q514" s="27">
        <f t="shared" si="329"/>
        <v>2018</v>
      </c>
      <c r="R514" s="125" t="str">
        <f>IF(Q505="Forecast","",IF(R504=0,"",R505/R504-1))</f>
        <v/>
      </c>
      <c r="S514" s="125">
        <f t="shared" si="330"/>
        <v>-8.0742691980869585E-3</v>
      </c>
      <c r="T514" s="63"/>
      <c r="U514" s="127">
        <f>IF(U506=0,"",S505/U506-1)</f>
        <v>-9.384679719342115E-2</v>
      </c>
    </row>
    <row r="515" spans="3:21" ht="30.75" thickBot="1" x14ac:dyDescent="0.3">
      <c r="C515" s="18"/>
      <c r="D515" s="128" t="s">
        <v>37</v>
      </c>
      <c r="E515" s="71"/>
      <c r="F515" s="71"/>
      <c r="G515" s="129">
        <f>IF(G499=0,"",(G505/G499)^(1/($D505-$D499-1))-1)</f>
        <v>2.4172092055776861E-2</v>
      </c>
      <c r="H515" s="71"/>
      <c r="I515" s="286">
        <f>IF(I506=0,"",(G505/I506)^(1/(TestYear-RebaseYear-1))-1)</f>
        <v>7.0445925031579204E-2</v>
      </c>
      <c r="J515" s="74"/>
      <c r="K515" s="75" t="str">
        <f t="shared" si="327"/>
        <v>Geometric Mean</v>
      </c>
      <c r="L515" s="129">
        <f>IF(L499=0,"",(L503/L499)^(1/($D503-$D499-1))-1)</f>
        <v>-1.2200585439844591E-2</v>
      </c>
      <c r="M515" s="129">
        <f>IF(M499=0,"",(M505/M499)^(1/($D505-$D499-1))-1)</f>
        <v>-8.6017468140242581E-3</v>
      </c>
      <c r="N515" s="287"/>
      <c r="O515" s="286">
        <f>IF(O506=0,"",(M505/O506)^(1/(TestYear-RebaseYear-1))-1)</f>
        <v>-3.001199660138365E-2</v>
      </c>
      <c r="P515" s="18"/>
      <c r="Q515" s="75" t="str">
        <f t="shared" si="329"/>
        <v>Geometric Mean</v>
      </c>
      <c r="R515" s="129">
        <f>IF(R499="","",IF(R499=0,"",(R503/R499)^(1/($D503-$D499-1))-1))</f>
        <v>-4.6417978034192453E-2</v>
      </c>
      <c r="S515" s="129">
        <f>IF(S499="","",IF(S499=0,"",(S505/S499)^(1/($D505-$D499-1))-1))</f>
        <v>-3.2000324090081023E-2</v>
      </c>
      <c r="T515" s="287"/>
      <c r="U515" s="286">
        <f>IF(U506=0,"",(S505/U506)^(1/(TestYear-RebaseYear-1))-1)</f>
        <v>-9.384679719342115E-2</v>
      </c>
    </row>
    <row r="517" spans="3:21" ht="15.75" thickBot="1" x14ac:dyDescent="0.3">
      <c r="Q517" s="71"/>
      <c r="R517" s="71"/>
      <c r="S517" s="71"/>
      <c r="T517" s="71"/>
      <c r="U517" s="71"/>
    </row>
    <row r="518" spans="3:21" ht="14.65" customHeight="1" x14ac:dyDescent="0.25">
      <c r="C518" s="13"/>
      <c r="D518" s="14" t="s">
        <v>23</v>
      </c>
      <c r="E518" s="14"/>
      <c r="F518" s="297" t="s">
        <v>10</v>
      </c>
      <c r="G518" s="298"/>
      <c r="H518" s="298"/>
      <c r="I518" s="299"/>
      <c r="K518" s="300" t="str">
        <f>IF(ISBLANK(N495),"",CONCATENATE("Demand (",N495,")"))</f>
        <v>Demand (kWh)</v>
      </c>
      <c r="L518" s="301"/>
      <c r="M518" s="301"/>
      <c r="N518" s="301"/>
      <c r="O518" s="302"/>
      <c r="Q518" s="303" t="str">
        <f>CONCATENATE("Demand (",N495,") per ",LEFT(F497,LEN(F497)-1))</f>
        <v>Demand (kWh) per Customer</v>
      </c>
      <c r="R518" s="304"/>
      <c r="S518" s="304"/>
      <c r="T518" s="304"/>
      <c r="U518" s="305"/>
    </row>
    <row r="519" spans="3:21" ht="39" thickBot="1" x14ac:dyDescent="0.3">
      <c r="C519" s="18"/>
      <c r="D519" s="19" t="str">
        <f>CONCATENATE("(for ",TestYear," Cost of Service")</f>
        <v>(for 2017 Cost of Service</v>
      </c>
      <c r="E519" s="26"/>
      <c r="F519" s="306"/>
      <c r="G519" s="307"/>
      <c r="H519" s="307"/>
      <c r="I519" s="86"/>
      <c r="K519" s="22"/>
      <c r="L519" s="23" t="s">
        <v>25</v>
      </c>
      <c r="M519" s="23" t="s">
        <v>26</v>
      </c>
      <c r="N519" s="24"/>
      <c r="O519" s="25" t="str">
        <f>M519</f>
        <v>Weather-normalized</v>
      </c>
      <c r="Q519" s="132"/>
      <c r="R519" s="23" t="str">
        <f>L519</f>
        <v>Actual (Weather actual)</v>
      </c>
      <c r="S519" s="23" t="str">
        <f>M519</f>
        <v>Weather-normalized</v>
      </c>
      <c r="T519" s="23"/>
      <c r="U519" s="133" t="str">
        <f>O519</f>
        <v>Weather-normalized</v>
      </c>
    </row>
    <row r="520" spans="3:21" x14ac:dyDescent="0.25">
      <c r="C520" s="26" t="s">
        <v>27</v>
      </c>
      <c r="D520" s="27">
        <f t="shared" ref="D520:D525" si="331">D521-1</f>
        <v>2012</v>
      </c>
      <c r="E520" s="91"/>
      <c r="F520" s="92" t="str">
        <f t="shared" ref="F520:F526" si="332">F499</f>
        <v>Actual</v>
      </c>
      <c r="G520" s="134">
        <v>6673309.3427466014</v>
      </c>
      <c r="H520" s="31" t="s">
        <v>50</v>
      </c>
      <c r="I520" s="135"/>
      <c r="K520" s="94" t="str">
        <f t="shared" ref="K520:K526" si="333">K499</f>
        <v>Actual</v>
      </c>
      <c r="L520" s="95"/>
      <c r="M520" s="95"/>
      <c r="N520" s="37" t="str">
        <f t="shared" ref="N520:N526" si="334">N499</f>
        <v/>
      </c>
      <c r="O520" s="35"/>
      <c r="Q520" s="96" t="str">
        <f>K520</f>
        <v>Actual</v>
      </c>
      <c r="R520" s="63">
        <f>IF(G520=0,"",L520/G520)</f>
        <v>0</v>
      </c>
      <c r="S520" s="28">
        <f>IF(G520=0,"",M520/G520)</f>
        <v>0</v>
      </c>
      <c r="T520" s="28" t="str">
        <f>N520</f>
        <v/>
      </c>
      <c r="U520" s="91" t="str">
        <f>IF(T520="","",IF(I520=0,"",O520/I520))</f>
        <v/>
      </c>
    </row>
    <row r="521" spans="3:21" x14ac:dyDescent="0.25">
      <c r="C521" s="26" t="s">
        <v>27</v>
      </c>
      <c r="D521" s="27">
        <f t="shared" si="331"/>
        <v>2013</v>
      </c>
      <c r="E521" s="91"/>
      <c r="F521" s="98" t="str">
        <f t="shared" si="332"/>
        <v>Actual</v>
      </c>
      <c r="G521" s="134">
        <v>9080853.1973464824</v>
      </c>
      <c r="H521" s="31" t="s">
        <v>50</v>
      </c>
      <c r="I521" s="35"/>
      <c r="K521" s="94" t="str">
        <f t="shared" si="333"/>
        <v>Actual</v>
      </c>
      <c r="L521" s="95"/>
      <c r="M521" s="95"/>
      <c r="N521" s="37" t="str">
        <f t="shared" si="334"/>
        <v/>
      </c>
      <c r="O521" s="35"/>
      <c r="Q521" s="96" t="str">
        <f t="shared" ref="Q521:Q526" si="335">K521</f>
        <v>Actual</v>
      </c>
      <c r="R521" s="63">
        <f t="shared" ref="R521:R526" si="336">IF(G521=0,"",L521/G521)</f>
        <v>0</v>
      </c>
      <c r="S521" s="28">
        <f t="shared" ref="S521:S526" si="337">IF(G521=0,"",M521/G521)</f>
        <v>0</v>
      </c>
      <c r="T521" s="28" t="str">
        <f t="shared" ref="T521:T526" si="338">N521</f>
        <v/>
      </c>
      <c r="U521" s="91" t="str">
        <f t="shared" ref="U521:U526" si="339">IF(T521="","",IF(I521=0,"",O521/I521))</f>
        <v/>
      </c>
    </row>
    <row r="522" spans="3:21" x14ac:dyDescent="0.25">
      <c r="C522" s="26" t="s">
        <v>27</v>
      </c>
      <c r="D522" s="27">
        <f t="shared" si="331"/>
        <v>2014</v>
      </c>
      <c r="E522" s="91"/>
      <c r="F522" s="98" t="str">
        <f t="shared" si="332"/>
        <v>Actual</v>
      </c>
      <c r="G522" s="134">
        <v>8997592.3462263737</v>
      </c>
      <c r="H522" s="31" t="s">
        <v>50</v>
      </c>
      <c r="I522" s="136"/>
      <c r="K522" s="94" t="str">
        <f t="shared" si="333"/>
        <v>Actual</v>
      </c>
      <c r="L522" s="95"/>
      <c r="M522" s="95"/>
      <c r="N522" s="37" t="str">
        <f t="shared" si="334"/>
        <v/>
      </c>
      <c r="O522" s="36"/>
      <c r="Q522" s="96" t="str">
        <f t="shared" si="335"/>
        <v>Actual</v>
      </c>
      <c r="R522" s="63">
        <f t="shared" si="336"/>
        <v>0</v>
      </c>
      <c r="S522" s="28">
        <f t="shared" si="337"/>
        <v>0</v>
      </c>
      <c r="T522" s="28" t="str">
        <f t="shared" si="338"/>
        <v/>
      </c>
      <c r="U522" s="91" t="str">
        <f t="shared" si="339"/>
        <v/>
      </c>
    </row>
    <row r="523" spans="3:21" x14ac:dyDescent="0.25">
      <c r="C523" s="26" t="s">
        <v>27</v>
      </c>
      <c r="D523" s="27">
        <f t="shared" si="331"/>
        <v>2015</v>
      </c>
      <c r="E523" s="91"/>
      <c r="F523" s="98" t="str">
        <f t="shared" si="332"/>
        <v>Actual</v>
      </c>
      <c r="G523" s="134">
        <v>10353956.859153999</v>
      </c>
      <c r="H523" s="31" t="s">
        <v>29</v>
      </c>
      <c r="I523" s="137">
        <v>11813031.89660746</v>
      </c>
      <c r="K523" s="94" t="str">
        <f t="shared" si="333"/>
        <v>Actual</v>
      </c>
      <c r="L523" s="95"/>
      <c r="M523" s="95"/>
      <c r="N523" s="37" t="str">
        <f t="shared" si="334"/>
        <v>Board-approved</v>
      </c>
      <c r="O523" s="35"/>
      <c r="Q523" s="96" t="str">
        <f t="shared" si="335"/>
        <v>Actual</v>
      </c>
      <c r="R523" s="63">
        <f t="shared" si="336"/>
        <v>0</v>
      </c>
      <c r="S523" s="28">
        <f t="shared" si="337"/>
        <v>0</v>
      </c>
      <c r="T523" s="28" t="str">
        <f t="shared" si="338"/>
        <v>Board-approved</v>
      </c>
      <c r="U523" s="91">
        <f t="shared" si="339"/>
        <v>0</v>
      </c>
    </row>
    <row r="524" spans="3:21" x14ac:dyDescent="0.25">
      <c r="C524" s="26" t="s">
        <v>27</v>
      </c>
      <c r="D524" s="27">
        <f t="shared" si="331"/>
        <v>2016</v>
      </c>
      <c r="E524" s="91"/>
      <c r="F524" s="98" t="str">
        <f t="shared" si="332"/>
        <v>Actual</v>
      </c>
      <c r="G524" s="134">
        <v>11393783.795982966</v>
      </c>
      <c r="H524" s="31" t="s">
        <v>50</v>
      </c>
      <c r="I524" s="35"/>
      <c r="K524" s="94" t="str">
        <f t="shared" si="333"/>
        <v>Actual</v>
      </c>
      <c r="L524" s="95"/>
      <c r="M524" s="95"/>
      <c r="N524" s="37" t="str">
        <f t="shared" si="334"/>
        <v/>
      </c>
      <c r="O524" s="35"/>
      <c r="Q524" s="96" t="str">
        <f t="shared" si="335"/>
        <v>Actual</v>
      </c>
      <c r="R524" s="63">
        <f t="shared" si="336"/>
        <v>0</v>
      </c>
      <c r="S524" s="28">
        <f t="shared" si="337"/>
        <v>0</v>
      </c>
      <c r="T524" s="28" t="str">
        <f t="shared" si="338"/>
        <v/>
      </c>
      <c r="U524" s="91" t="str">
        <f t="shared" si="339"/>
        <v/>
      </c>
    </row>
    <row r="525" spans="3:21" x14ac:dyDescent="0.25">
      <c r="C525" s="26" t="s">
        <v>45</v>
      </c>
      <c r="D525" s="27">
        <f t="shared" si="331"/>
        <v>2017</v>
      </c>
      <c r="E525" s="91"/>
      <c r="F525" s="98" t="str">
        <f t="shared" si="332"/>
        <v>Forecast</v>
      </c>
      <c r="G525" s="134">
        <v>11495811.325660594</v>
      </c>
      <c r="H525" s="31" t="s">
        <v>50</v>
      </c>
      <c r="I525" s="35"/>
      <c r="K525" s="94" t="str">
        <f t="shared" si="333"/>
        <v>Forecast</v>
      </c>
      <c r="L525" s="102"/>
      <c r="M525" s="138"/>
      <c r="N525" s="37" t="str">
        <f t="shared" si="334"/>
        <v/>
      </c>
      <c r="O525" s="35"/>
      <c r="Q525" s="96" t="str">
        <f t="shared" si="335"/>
        <v>Forecast</v>
      </c>
      <c r="R525" s="63">
        <f t="shared" si="336"/>
        <v>0</v>
      </c>
      <c r="S525" s="28">
        <f t="shared" si="337"/>
        <v>0</v>
      </c>
      <c r="T525" s="28" t="str">
        <f t="shared" si="338"/>
        <v/>
      </c>
      <c r="U525" s="91" t="str">
        <f t="shared" si="339"/>
        <v/>
      </c>
    </row>
    <row r="526" spans="3:21" ht="15.75" thickBot="1" x14ac:dyDescent="0.3">
      <c r="C526" s="39" t="s">
        <v>46</v>
      </c>
      <c r="D526" s="104">
        <v>2018</v>
      </c>
      <c r="E526" s="18"/>
      <c r="F526" s="105" t="str">
        <f t="shared" si="332"/>
        <v>Forecast</v>
      </c>
      <c r="G526" s="139">
        <v>12150056.413123721</v>
      </c>
      <c r="H526" s="43" t="s">
        <v>50</v>
      </c>
      <c r="I526" s="46"/>
      <c r="K526" s="108" t="str">
        <f t="shared" si="333"/>
        <v>Forecast</v>
      </c>
      <c r="L526" s="109"/>
      <c r="M526" s="140"/>
      <c r="N526" s="111" t="str">
        <f t="shared" si="334"/>
        <v/>
      </c>
      <c r="O526" s="46"/>
      <c r="Q526" s="141" t="str">
        <f t="shared" si="335"/>
        <v>Forecast</v>
      </c>
      <c r="R526" s="40">
        <f t="shared" si="336"/>
        <v>0</v>
      </c>
      <c r="S526" s="40">
        <f t="shared" si="337"/>
        <v>0</v>
      </c>
      <c r="T526" s="40" t="str">
        <f t="shared" si="338"/>
        <v/>
      </c>
      <c r="U526" s="18" t="str">
        <f t="shared" si="339"/>
        <v/>
      </c>
    </row>
    <row r="527" spans="3:21" ht="15.75" thickBot="1" x14ac:dyDescent="0.3">
      <c r="C527" s="114"/>
      <c r="I527" s="52">
        <f>SUM(I520:I525)</f>
        <v>11813031.89660746</v>
      </c>
      <c r="J527" s="63"/>
      <c r="O527" s="52">
        <f>SUM(O520:O525)</f>
        <v>0</v>
      </c>
      <c r="U527" s="52">
        <f>SUM(U520:U525)</f>
        <v>0</v>
      </c>
    </row>
    <row r="528" spans="3:21" ht="39" thickBot="1" x14ac:dyDescent="0.3">
      <c r="C528" s="115" t="s">
        <v>33</v>
      </c>
      <c r="D528" s="116" t="s">
        <v>34</v>
      </c>
      <c r="E528" s="270"/>
      <c r="F528" s="270"/>
      <c r="G528" s="270" t="s">
        <v>35</v>
      </c>
      <c r="H528" s="270"/>
      <c r="I528" s="60" t="str">
        <f>I507</f>
        <v>Test Year Versus Board-approved</v>
      </c>
      <c r="J528" s="142"/>
      <c r="K528" s="58" t="s">
        <v>34</v>
      </c>
      <c r="L528" s="308" t="s">
        <v>35</v>
      </c>
      <c r="M528" s="308"/>
      <c r="N528" s="270"/>
      <c r="O528" s="60" t="str">
        <f>I528</f>
        <v>Test Year Versus Board-approved</v>
      </c>
      <c r="P528" s="143"/>
      <c r="Q528" s="58" t="s">
        <v>34</v>
      </c>
      <c r="R528" s="308" t="s">
        <v>35</v>
      </c>
      <c r="S528" s="308"/>
      <c r="T528" s="270"/>
      <c r="U528" s="60" t="str">
        <f>O528</f>
        <v>Test Year Versus Board-approved</v>
      </c>
    </row>
    <row r="529" spans="2:21" x14ac:dyDescent="0.25">
      <c r="C529" s="91"/>
      <c r="D529" s="144">
        <f>D520</f>
        <v>2012</v>
      </c>
      <c r="E529" s="51"/>
      <c r="F529" s="63"/>
      <c r="G529" s="120"/>
      <c r="H529" s="63"/>
      <c r="I529" s="121"/>
      <c r="J529" s="91"/>
      <c r="K529" s="27">
        <f>D529</f>
        <v>2012</v>
      </c>
      <c r="L529" s="65"/>
      <c r="M529" s="65"/>
      <c r="N529" s="63"/>
      <c r="O529" s="145"/>
      <c r="P529" s="91"/>
      <c r="Q529" s="27">
        <f>K529</f>
        <v>2012</v>
      </c>
      <c r="R529" s="123"/>
      <c r="S529" s="123"/>
      <c r="T529" s="63"/>
      <c r="U529" s="35"/>
    </row>
    <row r="530" spans="2:21" x14ac:dyDescent="0.25">
      <c r="C530" s="91"/>
      <c r="D530" s="124">
        <f>D521</f>
        <v>2013</v>
      </c>
      <c r="E530" s="63"/>
      <c r="F530" s="63"/>
      <c r="G530" s="125">
        <f>IF(G520=0,"",G521/G520-1)</f>
        <v>0.36077210435579543</v>
      </c>
      <c r="H530" s="63"/>
      <c r="I530" s="121"/>
      <c r="J530" s="91"/>
      <c r="K530" s="27">
        <f t="shared" ref="K530:K536" si="340">D530</f>
        <v>2013</v>
      </c>
      <c r="L530" s="67" t="str">
        <f>IF(L520=0,"",L521/L520-1)</f>
        <v/>
      </c>
      <c r="M530" s="67" t="str">
        <f>IF(M520=0,"",M521/M520-1)</f>
        <v/>
      </c>
      <c r="N530" s="63"/>
      <c r="O530" s="145"/>
      <c r="P530" s="91"/>
      <c r="Q530" s="27">
        <f t="shared" ref="Q530:Q536" si="341">K530</f>
        <v>2013</v>
      </c>
      <c r="R530" s="126" t="str">
        <f>IF(R520="","",IF(R520=0,"",R521/R520-1))</f>
        <v/>
      </c>
      <c r="S530" s="126" t="str">
        <f>IF(S520="","",IF(S520=0,"",S521/S520-1))</f>
        <v/>
      </c>
      <c r="T530" s="63"/>
      <c r="U530" s="35"/>
    </row>
    <row r="531" spans="2:21" x14ac:dyDescent="0.25">
      <c r="C531" s="91"/>
      <c r="D531" s="146">
        <f t="shared" ref="D531:D535" si="342">D522</f>
        <v>2014</v>
      </c>
      <c r="E531" s="63"/>
      <c r="F531" s="63"/>
      <c r="G531" s="125">
        <f t="shared" ref="G531:G535" si="343">IF(G521=0,"",G522/G521-1)</f>
        <v>-9.168835715176904E-3</v>
      </c>
      <c r="H531" s="63"/>
      <c r="I531" s="121"/>
      <c r="J531" s="91"/>
      <c r="K531" s="27">
        <f t="shared" si="340"/>
        <v>2014</v>
      </c>
      <c r="L531" s="67" t="str">
        <f t="shared" ref="L531:M535" si="344">IF(L521=0,"",L522/L521-1)</f>
        <v/>
      </c>
      <c r="M531" s="67" t="str">
        <f t="shared" si="344"/>
        <v/>
      </c>
      <c r="N531" s="63"/>
      <c r="O531" s="145"/>
      <c r="P531" s="91"/>
      <c r="Q531" s="27">
        <f t="shared" si="341"/>
        <v>2014</v>
      </c>
      <c r="R531" s="126" t="str">
        <f t="shared" ref="R531:S535" si="345">IF(R521="","",IF(R521=0,"",R522/R521-1))</f>
        <v/>
      </c>
      <c r="S531" s="126" t="str">
        <f t="shared" si="345"/>
        <v/>
      </c>
      <c r="T531" s="63"/>
      <c r="U531" s="35"/>
    </row>
    <row r="532" spans="2:21" x14ac:dyDescent="0.25">
      <c r="C532" s="91"/>
      <c r="D532" s="124">
        <f t="shared" si="342"/>
        <v>2015</v>
      </c>
      <c r="E532" s="63"/>
      <c r="F532" s="63"/>
      <c r="G532" s="125">
        <f t="shared" si="343"/>
        <v>0.15074749563381706</v>
      </c>
      <c r="H532" s="63"/>
      <c r="I532" s="121"/>
      <c r="J532" s="91"/>
      <c r="K532" s="27">
        <f t="shared" si="340"/>
        <v>2015</v>
      </c>
      <c r="L532" s="67" t="str">
        <f t="shared" si="344"/>
        <v/>
      </c>
      <c r="M532" s="67" t="str">
        <f t="shared" si="344"/>
        <v/>
      </c>
      <c r="N532" s="63"/>
      <c r="O532" s="145"/>
      <c r="P532" s="91"/>
      <c r="Q532" s="27">
        <f t="shared" si="341"/>
        <v>2015</v>
      </c>
      <c r="R532" s="126" t="str">
        <f t="shared" si="345"/>
        <v/>
      </c>
      <c r="S532" s="126" t="str">
        <f t="shared" si="345"/>
        <v/>
      </c>
      <c r="T532" s="63"/>
      <c r="U532" s="35"/>
    </row>
    <row r="533" spans="2:21" x14ac:dyDescent="0.25">
      <c r="C533" s="91"/>
      <c r="D533" s="124">
        <f t="shared" si="342"/>
        <v>2016</v>
      </c>
      <c r="E533" s="63"/>
      <c r="F533" s="63"/>
      <c r="G533" s="125">
        <f t="shared" si="343"/>
        <v>0.1004279765672047</v>
      </c>
      <c r="H533" s="63"/>
      <c r="I533" s="121"/>
      <c r="J533" s="91"/>
      <c r="K533" s="27">
        <f t="shared" si="340"/>
        <v>2016</v>
      </c>
      <c r="L533" s="67" t="str">
        <f t="shared" si="344"/>
        <v/>
      </c>
      <c r="M533" s="67" t="str">
        <f t="shared" si="344"/>
        <v/>
      </c>
      <c r="N533" s="63"/>
      <c r="O533" s="145"/>
      <c r="P533" s="91"/>
      <c r="Q533" s="27">
        <f t="shared" si="341"/>
        <v>2016</v>
      </c>
      <c r="R533" s="126" t="str">
        <f t="shared" si="345"/>
        <v/>
      </c>
      <c r="S533" s="126" t="str">
        <f t="shared" si="345"/>
        <v/>
      </c>
      <c r="T533" s="63"/>
      <c r="U533" s="35"/>
    </row>
    <row r="534" spans="2:21" x14ac:dyDescent="0.25">
      <c r="C534" s="91"/>
      <c r="D534" s="124">
        <f t="shared" si="342"/>
        <v>2017</v>
      </c>
      <c r="E534" s="63"/>
      <c r="F534" s="63"/>
      <c r="G534" s="125">
        <f t="shared" si="343"/>
        <v>8.9546661148334206E-3</v>
      </c>
      <c r="H534" s="63"/>
      <c r="I534" s="121"/>
      <c r="J534" s="91"/>
      <c r="K534" s="27">
        <f t="shared" si="340"/>
        <v>2017</v>
      </c>
      <c r="L534" s="67" t="str">
        <f>IF(K525="Forecast","",IF(L524=0,"",L525/L524-1))</f>
        <v/>
      </c>
      <c r="M534" s="67" t="str">
        <f t="shared" si="344"/>
        <v/>
      </c>
      <c r="N534" s="63"/>
      <c r="O534" s="145"/>
      <c r="P534" s="91"/>
      <c r="Q534" s="27">
        <f t="shared" si="341"/>
        <v>2017</v>
      </c>
      <c r="R534" s="126" t="str">
        <f>IF(Q525="Forecast","",IF(R524=0,"",R525/R524-1))</f>
        <v/>
      </c>
      <c r="S534" s="126" t="str">
        <f t="shared" si="345"/>
        <v/>
      </c>
      <c r="T534" s="63"/>
      <c r="U534" s="35"/>
    </row>
    <row r="535" spans="2:21" x14ac:dyDescent="0.25">
      <c r="C535" s="91"/>
      <c r="D535" s="146">
        <f t="shared" si="342"/>
        <v>2018</v>
      </c>
      <c r="E535" s="63"/>
      <c r="F535" s="63"/>
      <c r="G535" s="125">
        <f t="shared" si="343"/>
        <v>5.6911606230239942E-2</v>
      </c>
      <c r="H535" s="63"/>
      <c r="I535" s="127">
        <f>IF(I527=0,"",G526/I527-1)</f>
        <v>2.8529891349319936E-2</v>
      </c>
      <c r="J535" s="91"/>
      <c r="K535" s="27">
        <f t="shared" si="340"/>
        <v>2018</v>
      </c>
      <c r="L535" s="67" t="str">
        <f>IF(K526="Forecast","",IF(L525=0,"",L526/L525-1))</f>
        <v/>
      </c>
      <c r="M535" s="67" t="str">
        <f t="shared" si="344"/>
        <v/>
      </c>
      <c r="N535" s="63"/>
      <c r="O535" s="147" t="str">
        <f>IF(O527=0,"",M526/O527-1)</f>
        <v/>
      </c>
      <c r="P535" s="91"/>
      <c r="Q535" s="27">
        <f t="shared" si="341"/>
        <v>2018</v>
      </c>
      <c r="R535" s="126" t="str">
        <f>IF(Q526="Forecast","",IF(R525=0,"",R526/R525-1))</f>
        <v/>
      </c>
      <c r="S535" s="126" t="str">
        <f t="shared" si="345"/>
        <v/>
      </c>
      <c r="T535" s="63"/>
      <c r="U535" s="68" t="str">
        <f>IF(U527=0,"",S526/U527-1)</f>
        <v/>
      </c>
    </row>
    <row r="536" spans="2:21" ht="30.75" thickBot="1" x14ac:dyDescent="0.3">
      <c r="C536" s="18"/>
      <c r="D536" s="128" t="s">
        <v>37</v>
      </c>
      <c r="E536" s="71"/>
      <c r="F536" s="71"/>
      <c r="G536" s="129">
        <f>IF(G520=0,"",(G526/G520)^(1/($D526-$D520-1))-1)</f>
        <v>0.12732050741262335</v>
      </c>
      <c r="H536" s="287"/>
      <c r="I536" s="286">
        <f>IF(I527=0,"",(G526/I527)^(1/(TestYear-RebaseYear-1))-1)</f>
        <v>2.8529891349319936E-2</v>
      </c>
      <c r="J536" s="91"/>
      <c r="K536" s="75" t="str">
        <f t="shared" si="340"/>
        <v>Geometric Mean</v>
      </c>
      <c r="L536" s="76" t="str">
        <f>IF(L520=0,"",(L524/L520)^(1/($D524-$D520-1))-1)</f>
        <v/>
      </c>
      <c r="M536" s="76" t="str">
        <f>IF(M520=0,"",(M526/M520)^(1/($D526-$D520-1))-1)</f>
        <v/>
      </c>
      <c r="N536" s="71"/>
      <c r="O536" s="77" t="str">
        <f>IF(O527=0,"",(M526/O527)^(1/(TestYear-RebaseYear-1))-1)</f>
        <v/>
      </c>
      <c r="P536" s="18"/>
      <c r="Q536" s="75" t="str">
        <f t="shared" si="341"/>
        <v>Geometric Mean</v>
      </c>
      <c r="R536" s="131" t="str">
        <f>IF(R520="","",IF(R520=0,"",(R524/R520)^(1/($D524-$D520-1))-1))</f>
        <v/>
      </c>
      <c r="S536" s="76" t="str">
        <f>IF(S520="","",IF(S520=0,"",(S526/S520)^(1/($D526-$D520-1))-1))</f>
        <v/>
      </c>
      <c r="T536" s="71"/>
      <c r="U536" s="77" t="str">
        <f>IF(U527=0,"",(S526/U527)^(1/(TestYear-RebaseYear-1))-1)</f>
        <v/>
      </c>
    </row>
    <row r="539" spans="2:21" ht="15.75" thickBot="1" x14ac:dyDescent="0.3"/>
    <row r="540" spans="2:21" ht="15.75" thickBot="1" x14ac:dyDescent="0.3">
      <c r="B540" s="79">
        <f>B495+1</f>
        <v>12</v>
      </c>
      <c r="C540" s="80" t="s">
        <v>39</v>
      </c>
      <c r="D540" s="309" t="s">
        <v>59</v>
      </c>
      <c r="E540" s="310"/>
      <c r="F540" s="311"/>
      <c r="G540" s="81"/>
      <c r="H540" s="82" t="s">
        <v>41</v>
      </c>
      <c r="N540" s="83" t="s">
        <v>42</v>
      </c>
      <c r="O540" s="84"/>
      <c r="P540" s="84"/>
      <c r="Q540" s="84"/>
      <c r="R540" s="84"/>
      <c r="S540" s="84"/>
      <c r="T540" s="84"/>
      <c r="U540" s="84"/>
    </row>
    <row r="541" spans="2:21" ht="15.75" thickBot="1" x14ac:dyDescent="0.3">
      <c r="Q541" s="71"/>
      <c r="R541" s="71"/>
      <c r="S541" s="71"/>
      <c r="T541" s="71"/>
      <c r="U541" s="71"/>
    </row>
    <row r="542" spans="2:21" ht="14.65" customHeight="1" x14ac:dyDescent="0.25">
      <c r="C542" s="13"/>
      <c r="D542" s="14" t="s">
        <v>23</v>
      </c>
      <c r="E542" s="14"/>
      <c r="F542" s="312" t="s">
        <v>43</v>
      </c>
      <c r="G542" s="313"/>
      <c r="H542" s="313"/>
      <c r="I542" s="314"/>
      <c r="J542" s="14"/>
      <c r="K542" s="300" t="s">
        <v>24</v>
      </c>
      <c r="L542" s="301"/>
      <c r="M542" s="301"/>
      <c r="N542" s="301"/>
      <c r="O542" s="302"/>
      <c r="P542" s="15"/>
      <c r="Q542" s="303" t="str">
        <f>CONCATENATE("Consumption (kWh) per ",LEFT(F542,LEN(F542)-1))</f>
        <v>Consumption (kWh) per Customer</v>
      </c>
      <c r="R542" s="304"/>
      <c r="S542" s="304"/>
      <c r="T542" s="304"/>
      <c r="U542" s="305"/>
    </row>
    <row r="543" spans="2:21" ht="39" thickBot="1" x14ac:dyDescent="0.3">
      <c r="C543" s="18"/>
      <c r="D543" s="19" t="str">
        <f>CONCATENATE("(for ",TestYear," Cost of Service")</f>
        <v>(for 2017 Cost of Service</v>
      </c>
      <c r="E543" s="26"/>
      <c r="F543" s="306"/>
      <c r="G543" s="307"/>
      <c r="H543" s="315"/>
      <c r="I543" s="86"/>
      <c r="J543" s="26"/>
      <c r="K543" s="22"/>
      <c r="L543" s="23" t="s">
        <v>25</v>
      </c>
      <c r="M543" s="23" t="s">
        <v>26</v>
      </c>
      <c r="N543" s="24"/>
      <c r="O543" s="25" t="s">
        <v>26</v>
      </c>
      <c r="P543" s="26"/>
      <c r="Q543" s="87"/>
      <c r="R543" s="88" t="str">
        <f>L543</f>
        <v>Actual (Weather actual)</v>
      </c>
      <c r="S543" s="89" t="str">
        <f>M543</f>
        <v>Weather-normalized</v>
      </c>
      <c r="T543" s="89"/>
      <c r="U543" s="90" t="str">
        <f>O543</f>
        <v>Weather-normalized</v>
      </c>
    </row>
    <row r="544" spans="2:21" ht="15.75" thickBot="1" x14ac:dyDescent="0.3">
      <c r="C544" s="26" t="s">
        <v>27</v>
      </c>
      <c r="D544" s="27">
        <f t="shared" ref="D544:D549" si="346">D545-1</f>
        <v>2012</v>
      </c>
      <c r="E544" s="91"/>
      <c r="F544" s="92" t="str">
        <f>F499</f>
        <v>Actual</v>
      </c>
      <c r="G544" s="93">
        <v>30504</v>
      </c>
      <c r="H544" s="32" t="str">
        <f t="shared" ref="H544:H550" si="347">IF(D544=RebaseYear,"Board-approved","")</f>
        <v/>
      </c>
      <c r="I544" s="35"/>
      <c r="J544" s="91"/>
      <c r="K544" s="94" t="str">
        <f>F544</f>
        <v>Actual</v>
      </c>
      <c r="L544" s="95">
        <v>18671752.129999999</v>
      </c>
      <c r="M544" s="95">
        <v>18671752.129999999</v>
      </c>
      <c r="N544" s="37" t="str">
        <f>H544</f>
        <v/>
      </c>
      <c r="O544" s="35"/>
      <c r="P544" s="91"/>
      <c r="Q544" s="96" t="str">
        <f>K544</f>
        <v>Actual</v>
      </c>
      <c r="R544" s="97">
        <f>IF(G544=0,"",L544/G544)</f>
        <v>612.10831792551789</v>
      </c>
      <c r="S544" s="63">
        <f>IF(G544=0,"",M544/G544)</f>
        <v>612.10831792551789</v>
      </c>
      <c r="T544" s="63" t="str">
        <f>N544</f>
        <v/>
      </c>
      <c r="U544" s="122" t="str">
        <f>IF(T544="","",IF(I544=0,"",O544/I544))</f>
        <v/>
      </c>
    </row>
    <row r="545" spans="2:21" ht="15.75" thickBot="1" x14ac:dyDescent="0.3">
      <c r="C545" s="26" t="s">
        <v>27</v>
      </c>
      <c r="D545" s="27">
        <f t="shared" si="346"/>
        <v>2013</v>
      </c>
      <c r="E545" s="91"/>
      <c r="F545" s="92" t="str">
        <f t="shared" ref="F545:F550" si="348">F500</f>
        <v>Actual</v>
      </c>
      <c r="G545" s="93">
        <v>30380.186443043</v>
      </c>
      <c r="H545" s="32" t="str">
        <f t="shared" si="347"/>
        <v/>
      </c>
      <c r="I545" s="35"/>
      <c r="J545" s="91"/>
      <c r="K545" s="94" t="str">
        <f t="shared" ref="K545:K550" si="349">F545</f>
        <v>Actual</v>
      </c>
      <c r="L545" s="95">
        <v>19652645.620992307</v>
      </c>
      <c r="M545" s="95">
        <v>19652645.620992307</v>
      </c>
      <c r="N545" s="37" t="str">
        <f t="shared" ref="N545:N550" si="350">H545</f>
        <v/>
      </c>
      <c r="O545" s="35"/>
      <c r="P545" s="91"/>
      <c r="Q545" s="96" t="str">
        <f t="shared" ref="Q545:Q550" si="351">K545</f>
        <v>Actual</v>
      </c>
      <c r="R545" s="97">
        <f t="shared" ref="R545:R550" si="352">IF(G545=0,"",L545/G545)</f>
        <v>646.89022425314056</v>
      </c>
      <c r="S545" s="63">
        <f t="shared" ref="S545:S550" si="353">IF(G545=0,"",M545/G545)</f>
        <v>646.89022425314056</v>
      </c>
      <c r="T545" s="63" t="str">
        <f t="shared" ref="T545:T550" si="354">N545</f>
        <v/>
      </c>
      <c r="U545" s="122" t="str">
        <f t="shared" ref="U545:U550" si="355">IF(T545="","",IF(I545=0,"",O545/I545))</f>
        <v/>
      </c>
    </row>
    <row r="546" spans="2:21" ht="15.75" thickBot="1" x14ac:dyDescent="0.3">
      <c r="C546" s="26" t="s">
        <v>27</v>
      </c>
      <c r="D546" s="27">
        <f t="shared" si="346"/>
        <v>2014</v>
      </c>
      <c r="E546" s="91"/>
      <c r="F546" s="92" t="str">
        <f t="shared" si="348"/>
        <v>Actual</v>
      </c>
      <c r="G546" s="93">
        <v>26670</v>
      </c>
      <c r="H546" s="32" t="str">
        <f t="shared" si="347"/>
        <v/>
      </c>
      <c r="I546" s="36"/>
      <c r="J546" s="91"/>
      <c r="K546" s="94" t="str">
        <f t="shared" si="349"/>
        <v>Actual</v>
      </c>
      <c r="L546" s="95">
        <v>20010585.888278384</v>
      </c>
      <c r="M546" s="95">
        <v>20010585.888278384</v>
      </c>
      <c r="N546" s="37" t="str">
        <f t="shared" si="350"/>
        <v/>
      </c>
      <c r="O546" s="36"/>
      <c r="P546" s="91"/>
      <c r="Q546" s="96" t="str">
        <f t="shared" si="351"/>
        <v>Actual</v>
      </c>
      <c r="R546" s="97">
        <f t="shared" si="352"/>
        <v>750.30318291257527</v>
      </c>
      <c r="S546" s="63">
        <f t="shared" si="353"/>
        <v>750.30318291257527</v>
      </c>
      <c r="T546" s="63" t="str">
        <f t="shared" si="354"/>
        <v/>
      </c>
      <c r="U546" s="122" t="str">
        <f t="shared" si="355"/>
        <v/>
      </c>
    </row>
    <row r="547" spans="2:21" ht="15.75" thickBot="1" x14ac:dyDescent="0.3">
      <c r="C547" s="26" t="s">
        <v>27</v>
      </c>
      <c r="D547" s="27">
        <f t="shared" si="346"/>
        <v>2015</v>
      </c>
      <c r="E547" s="91"/>
      <c r="F547" s="92" t="str">
        <f t="shared" si="348"/>
        <v>Actual</v>
      </c>
      <c r="G547" s="93">
        <v>25689</v>
      </c>
      <c r="H547" s="32" t="str">
        <f t="shared" si="347"/>
        <v>Board-approved</v>
      </c>
      <c r="I547" s="100">
        <v>29671.140221185764</v>
      </c>
      <c r="J547" s="91"/>
      <c r="K547" s="94" t="str">
        <f t="shared" si="349"/>
        <v>Actual</v>
      </c>
      <c r="L547" s="95">
        <v>20521609.499999996</v>
      </c>
      <c r="M547" s="95">
        <v>20521609.499999996</v>
      </c>
      <c r="N547" s="37" t="str">
        <f t="shared" si="350"/>
        <v>Board-approved</v>
      </c>
      <c r="O547" s="35">
        <v>22080536.459326282</v>
      </c>
      <c r="P547" s="91"/>
      <c r="Q547" s="96" t="str">
        <f t="shared" si="351"/>
        <v>Actual</v>
      </c>
      <c r="R547" s="97">
        <f t="shared" si="352"/>
        <v>798.84812565689583</v>
      </c>
      <c r="S547" s="63">
        <f t="shared" si="353"/>
        <v>798.84812565689583</v>
      </c>
      <c r="T547" s="63" t="str">
        <f t="shared" si="354"/>
        <v>Board-approved</v>
      </c>
      <c r="U547" s="122">
        <f t="shared" si="355"/>
        <v>744.17552863574667</v>
      </c>
    </row>
    <row r="548" spans="2:21" ht="15.75" thickBot="1" x14ac:dyDescent="0.3">
      <c r="C548" s="26" t="s">
        <v>27</v>
      </c>
      <c r="D548" s="27">
        <f t="shared" si="346"/>
        <v>2016</v>
      </c>
      <c r="E548" s="91"/>
      <c r="F548" s="92" t="str">
        <f t="shared" si="348"/>
        <v>Actual</v>
      </c>
      <c r="G548" s="93">
        <v>24364</v>
      </c>
      <c r="H548" s="32" t="str">
        <f t="shared" si="347"/>
        <v/>
      </c>
      <c r="I548" s="35"/>
      <c r="J548" s="91"/>
      <c r="K548" s="94" t="str">
        <f t="shared" si="349"/>
        <v>Actual</v>
      </c>
      <c r="L548" s="95">
        <v>21025925.176091395</v>
      </c>
      <c r="M548" s="95">
        <v>21025925.176091395</v>
      </c>
      <c r="N548" s="37" t="str">
        <f t="shared" si="350"/>
        <v/>
      </c>
      <c r="O548" s="35"/>
      <c r="P548" s="91"/>
      <c r="Q548" s="96" t="str">
        <f t="shared" si="351"/>
        <v>Actual</v>
      </c>
      <c r="R548" s="97">
        <f t="shared" si="352"/>
        <v>862.99151108567537</v>
      </c>
      <c r="S548" s="63">
        <f t="shared" si="353"/>
        <v>862.99151108567537</v>
      </c>
      <c r="T548" s="63" t="str">
        <f t="shared" si="354"/>
        <v/>
      </c>
      <c r="U548" s="122" t="str">
        <f t="shared" si="355"/>
        <v/>
      </c>
    </row>
    <row r="549" spans="2:21" ht="15.75" thickBot="1" x14ac:dyDescent="0.3">
      <c r="C549" s="26" t="s">
        <v>30</v>
      </c>
      <c r="D549" s="27">
        <f t="shared" si="346"/>
        <v>2017</v>
      </c>
      <c r="E549" s="91"/>
      <c r="F549" s="92" t="str">
        <f t="shared" si="348"/>
        <v>Forecast</v>
      </c>
      <c r="G549" s="93">
        <v>24165.908282832126</v>
      </c>
      <c r="H549" s="32" t="str">
        <f t="shared" si="347"/>
        <v/>
      </c>
      <c r="I549" s="35"/>
      <c r="J549" s="91"/>
      <c r="K549" s="94" t="str">
        <f t="shared" si="349"/>
        <v>Forecast</v>
      </c>
      <c r="L549" s="102"/>
      <c r="M549" s="103">
        <v>20656296.142302889</v>
      </c>
      <c r="N549" s="37" t="str">
        <f t="shared" si="350"/>
        <v/>
      </c>
      <c r="O549" s="35"/>
      <c r="P549" s="91"/>
      <c r="Q549" s="96" t="str">
        <f t="shared" si="351"/>
        <v>Forecast</v>
      </c>
      <c r="R549" s="97">
        <f t="shared" si="352"/>
        <v>0</v>
      </c>
      <c r="S549" s="63">
        <f t="shared" si="353"/>
        <v>854.77011252986813</v>
      </c>
      <c r="T549" s="63" t="str">
        <f t="shared" si="354"/>
        <v/>
      </c>
      <c r="U549" s="122" t="str">
        <f t="shared" si="355"/>
        <v/>
      </c>
    </row>
    <row r="550" spans="2:21" ht="15.75" thickBot="1" x14ac:dyDescent="0.3">
      <c r="C550" s="39" t="s">
        <v>32</v>
      </c>
      <c r="D550" s="104">
        <v>2018</v>
      </c>
      <c r="E550" s="18"/>
      <c r="F550" s="148" t="str">
        <f t="shared" si="348"/>
        <v>Forecast</v>
      </c>
      <c r="G550" s="106">
        <v>23986.843457437422</v>
      </c>
      <c r="H550" s="44" t="str">
        <f t="shared" si="347"/>
        <v/>
      </c>
      <c r="I550" s="46"/>
      <c r="J550" s="18"/>
      <c r="K550" s="108" t="str">
        <f t="shared" si="349"/>
        <v>Forecast</v>
      </c>
      <c r="L550" s="109"/>
      <c r="M550" s="110">
        <v>20385578.156035542</v>
      </c>
      <c r="N550" s="111" t="str">
        <f t="shared" si="350"/>
        <v/>
      </c>
      <c r="O550" s="46"/>
      <c r="P550" s="18"/>
      <c r="Q550" s="112" t="str">
        <f t="shared" si="351"/>
        <v>Forecast</v>
      </c>
      <c r="R550" s="113">
        <f t="shared" si="352"/>
        <v>0</v>
      </c>
      <c r="S550" s="71">
        <f t="shared" si="353"/>
        <v>849.86497669891355</v>
      </c>
      <c r="T550" s="71" t="str">
        <f t="shared" si="354"/>
        <v/>
      </c>
      <c r="U550" s="74" t="str">
        <f t="shared" si="355"/>
        <v/>
      </c>
    </row>
    <row r="551" spans="2:21" ht="15.75" thickBot="1" x14ac:dyDescent="0.3">
      <c r="B551" s="63"/>
      <c r="C551" s="114"/>
      <c r="I551" s="52">
        <f>SUM(I544:I549)</f>
        <v>29671.140221185764</v>
      </c>
      <c r="O551" s="52">
        <f>SUM(O544:O549)</f>
        <v>22080536.459326282</v>
      </c>
      <c r="U551" s="52">
        <f>SUM(U544:U549)</f>
        <v>744.17552863574667</v>
      </c>
    </row>
    <row r="552" spans="2:21" ht="39" thickBot="1" x14ac:dyDescent="0.3">
      <c r="C552" s="115" t="s">
        <v>33</v>
      </c>
      <c r="D552" s="116" t="s">
        <v>34</v>
      </c>
      <c r="E552" s="48"/>
      <c r="F552" s="48"/>
      <c r="G552" s="270" t="s">
        <v>35</v>
      </c>
      <c r="H552" s="48"/>
      <c r="I552" s="60" t="s">
        <v>44</v>
      </c>
      <c r="J552" s="117"/>
      <c r="K552" s="58" t="s">
        <v>34</v>
      </c>
      <c r="L552" s="308" t="s">
        <v>35</v>
      </c>
      <c r="M552" s="308"/>
      <c r="N552" s="48"/>
      <c r="O552" s="60" t="str">
        <f>I552</f>
        <v>Test Year Versus Board-approved</v>
      </c>
      <c r="P552" s="118"/>
      <c r="Q552" s="58" t="s">
        <v>34</v>
      </c>
      <c r="R552" s="308" t="s">
        <v>35</v>
      </c>
      <c r="S552" s="308"/>
      <c r="T552" s="48"/>
      <c r="U552" s="60" t="str">
        <f>O552</f>
        <v>Test Year Versus Board-approved</v>
      </c>
    </row>
    <row r="553" spans="2:21" x14ac:dyDescent="0.25">
      <c r="C553" s="91"/>
      <c r="D553" s="119">
        <f t="shared" ref="D553:D559" si="356">D544</f>
        <v>2012</v>
      </c>
      <c r="E553" s="63"/>
      <c r="F553" s="63"/>
      <c r="G553" s="120"/>
      <c r="H553" s="63"/>
      <c r="I553" s="121"/>
      <c r="J553" s="122"/>
      <c r="K553" s="27">
        <f>D553</f>
        <v>2012</v>
      </c>
      <c r="L553" s="65"/>
      <c r="M553" s="65"/>
      <c r="N553" s="63"/>
      <c r="O553" s="35"/>
      <c r="P553" s="91"/>
      <c r="Q553" s="27">
        <f>K553</f>
        <v>2012</v>
      </c>
      <c r="R553" s="123"/>
      <c r="S553" s="123"/>
      <c r="T553" s="63"/>
      <c r="U553" s="35"/>
    </row>
    <row r="554" spans="2:21" x14ac:dyDescent="0.25">
      <c r="C554" s="91"/>
      <c r="D554" s="124">
        <f t="shared" si="356"/>
        <v>2013</v>
      </c>
      <c r="E554" s="63"/>
      <c r="F554" s="63"/>
      <c r="G554" s="125">
        <f t="shared" ref="G554:G559" si="357">IF(G544=0,"",G545/G544-1)</f>
        <v>-4.0589285653357399E-3</v>
      </c>
      <c r="H554" s="63"/>
      <c r="I554" s="121"/>
      <c r="J554" s="122"/>
      <c r="K554" s="27">
        <f t="shared" ref="K554:K560" si="358">D554</f>
        <v>2013</v>
      </c>
      <c r="L554" s="67">
        <f t="shared" ref="L554:M557" si="359">IF(L544=0,"",L545/L544-1)</f>
        <v>5.2533553582060577E-2</v>
      </c>
      <c r="M554" s="67">
        <f t="shared" si="359"/>
        <v>5.2533553582060577E-2</v>
      </c>
      <c r="N554" s="63"/>
      <c r="O554" s="35"/>
      <c r="P554" s="91"/>
      <c r="Q554" s="27">
        <f t="shared" ref="Q554:Q560" si="360">K554</f>
        <v>2013</v>
      </c>
      <c r="R554" s="126">
        <f>IF(R544="","",IF(R544=0,"",R545/R544-1))</f>
        <v>5.6823123145101517E-2</v>
      </c>
      <c r="S554" s="126">
        <f>IF(S544="","",IF(S544=0,"",S545/S544-1))</f>
        <v>5.6823123145101517E-2</v>
      </c>
      <c r="T554" s="63"/>
      <c r="U554" s="35"/>
    </row>
    <row r="555" spans="2:21" x14ac:dyDescent="0.25">
      <c r="C555" s="91"/>
      <c r="D555" s="124">
        <f t="shared" si="356"/>
        <v>2014</v>
      </c>
      <c r="E555" s="63"/>
      <c r="F555" s="63"/>
      <c r="G555" s="125">
        <f t="shared" si="357"/>
        <v>-0.12212520321423581</v>
      </c>
      <c r="H555" s="63"/>
      <c r="I555" s="121"/>
      <c r="J555" s="122"/>
      <c r="K555" s="27">
        <f t="shared" si="358"/>
        <v>2014</v>
      </c>
      <c r="L555" s="67">
        <f t="shared" si="359"/>
        <v>1.8213337490996073E-2</v>
      </c>
      <c r="M555" s="67">
        <f t="shared" si="359"/>
        <v>1.8213337490996073E-2</v>
      </c>
      <c r="N555" s="63"/>
      <c r="O555" s="35"/>
      <c r="P555" s="91"/>
      <c r="Q555" s="27">
        <f t="shared" si="360"/>
        <v>2014</v>
      </c>
      <c r="R555" s="126">
        <f t="shared" ref="R555:S559" si="361">IF(R545="","",IF(R545=0,"",R546/R545-1))</f>
        <v>0.15986168098123432</v>
      </c>
      <c r="S555" s="126">
        <f t="shared" si="361"/>
        <v>0.15986168098123432</v>
      </c>
      <c r="T555" s="63"/>
      <c r="U555" s="35"/>
    </row>
    <row r="556" spans="2:21" x14ac:dyDescent="0.25">
      <c r="C556" s="91"/>
      <c r="D556" s="124">
        <f t="shared" si="356"/>
        <v>2015</v>
      </c>
      <c r="E556" s="63"/>
      <c r="F556" s="63"/>
      <c r="G556" s="125">
        <f t="shared" si="357"/>
        <v>-3.6782902137232898E-2</v>
      </c>
      <c r="H556" s="63"/>
      <c r="I556" s="121"/>
      <c r="J556" s="122"/>
      <c r="K556" s="27">
        <f t="shared" si="358"/>
        <v>2015</v>
      </c>
      <c r="L556" s="67">
        <f t="shared" si="359"/>
        <v>2.5537663643369735E-2</v>
      </c>
      <c r="M556" s="67">
        <f t="shared" si="359"/>
        <v>2.5537663643369735E-2</v>
      </c>
      <c r="N556" s="63"/>
      <c r="O556" s="35"/>
      <c r="P556" s="91"/>
      <c r="Q556" s="27">
        <f t="shared" si="360"/>
        <v>2015</v>
      </c>
      <c r="R556" s="126">
        <f t="shared" si="361"/>
        <v>6.4700435570425929E-2</v>
      </c>
      <c r="S556" s="126">
        <f t="shared" si="361"/>
        <v>6.4700435570425929E-2</v>
      </c>
      <c r="T556" s="63"/>
      <c r="U556" s="35"/>
    </row>
    <row r="557" spans="2:21" x14ac:dyDescent="0.25">
      <c r="C557" s="91"/>
      <c r="D557" s="124">
        <f t="shared" si="356"/>
        <v>2016</v>
      </c>
      <c r="E557" s="63"/>
      <c r="F557" s="63"/>
      <c r="G557" s="125">
        <f t="shared" si="357"/>
        <v>-5.1578496632800008E-2</v>
      </c>
      <c r="H557" s="63"/>
      <c r="I557" s="121"/>
      <c r="J557" s="122"/>
      <c r="K557" s="27">
        <f t="shared" si="358"/>
        <v>2016</v>
      </c>
      <c r="L557" s="67">
        <f t="shared" si="359"/>
        <v>2.4574859788234482E-2</v>
      </c>
      <c r="M557" s="67">
        <f t="shared" si="359"/>
        <v>2.4574859788234482E-2</v>
      </c>
      <c r="N557" s="63"/>
      <c r="O557" s="35"/>
      <c r="P557" s="91"/>
      <c r="Q557" s="27">
        <f t="shared" si="360"/>
        <v>2016</v>
      </c>
      <c r="R557" s="126">
        <f t="shared" si="361"/>
        <v>8.0294843748971889E-2</v>
      </c>
      <c r="S557" s="126">
        <f t="shared" si="361"/>
        <v>8.0294843748971889E-2</v>
      </c>
      <c r="T557" s="63"/>
      <c r="U557" s="35"/>
    </row>
    <row r="558" spans="2:21" x14ac:dyDescent="0.25">
      <c r="C558" s="91"/>
      <c r="D558" s="124">
        <f t="shared" si="356"/>
        <v>2017</v>
      </c>
      <c r="E558" s="63"/>
      <c r="F558" s="63"/>
      <c r="G558" s="125">
        <f t="shared" si="357"/>
        <v>-8.1305088313854412E-3</v>
      </c>
      <c r="H558" s="63"/>
      <c r="I558" s="121"/>
      <c r="J558" s="122"/>
      <c r="K558" s="27">
        <f t="shared" si="358"/>
        <v>2017</v>
      </c>
      <c r="L558" s="67" t="str">
        <f>IF(K549="Forecast","",IF(L548=0,"",L549/L548-1))</f>
        <v/>
      </c>
      <c r="M558" s="67">
        <f>IF(M548=0,"",M549/M548-1)</f>
        <v>-1.7579679880570076E-2</v>
      </c>
      <c r="N558" s="63"/>
      <c r="O558" s="35"/>
      <c r="P558" s="91"/>
      <c r="Q558" s="27">
        <f t="shared" si="360"/>
        <v>2017</v>
      </c>
      <c r="R558" s="126" t="str">
        <f>IF(Q549="Forecast","",IF(R548=0,"",R549/R548-1))</f>
        <v/>
      </c>
      <c r="S558" s="126">
        <f t="shared" si="361"/>
        <v>-9.5266273772084409E-3</v>
      </c>
      <c r="T558" s="63"/>
      <c r="U558" s="35"/>
    </row>
    <row r="559" spans="2:21" x14ac:dyDescent="0.25">
      <c r="C559" s="91"/>
      <c r="D559" s="124">
        <f t="shared" si="356"/>
        <v>2018</v>
      </c>
      <c r="E559" s="63"/>
      <c r="F559" s="63"/>
      <c r="G559" s="125">
        <f t="shared" si="357"/>
        <v>-7.4098115121091768E-3</v>
      </c>
      <c r="H559" s="63"/>
      <c r="I559" s="127">
        <f>IF(I551=0,"",G550/I551-1)</f>
        <v>-0.19157662029077149</v>
      </c>
      <c r="J559" s="122"/>
      <c r="K559" s="27">
        <f t="shared" si="358"/>
        <v>2018</v>
      </c>
      <c r="L559" s="67" t="str">
        <f>IF(K550="Forecast","",IF(L549=0,"",L550/L549-1))</f>
        <v/>
      </c>
      <c r="M559" s="67">
        <f>IF(M549=0,"",M550/M549-1)</f>
        <v>-1.310583390179676E-2</v>
      </c>
      <c r="N559" s="63"/>
      <c r="O559" s="127">
        <f>IF(O551=0,"",M550/O551-1)</f>
        <v>-7.6762550874294067E-2</v>
      </c>
      <c r="P559" s="91"/>
      <c r="Q559" s="27">
        <f t="shared" si="360"/>
        <v>2018</v>
      </c>
      <c r="R559" s="126" t="str">
        <f>IF(Q550="Forecast","",IF(R549=0,"",R550/R549-1))</f>
        <v/>
      </c>
      <c r="S559" s="126">
        <f t="shared" si="361"/>
        <v>-5.7385439184775011E-3</v>
      </c>
      <c r="T559" s="63"/>
      <c r="U559" s="127">
        <f>IF(U551=0,"",S550/U551-1)</f>
        <v>0.1420222030908771</v>
      </c>
    </row>
    <row r="560" spans="2:21" ht="30.75" thickBot="1" x14ac:dyDescent="0.3">
      <c r="C560" s="18"/>
      <c r="D560" s="128" t="s">
        <v>37</v>
      </c>
      <c r="E560" s="71"/>
      <c r="F560" s="71"/>
      <c r="G560" s="129">
        <f>IF(G544=0,"",(G550/G544)^(1/($D550-$D544-1))-1)</f>
        <v>-4.6933374423089425E-2</v>
      </c>
      <c r="H560" s="71"/>
      <c r="I560" s="286">
        <f>IF(I551=0,"",(G550/I551)^(1/(TestYear-RebaseYear-1))-1)</f>
        <v>-0.19157662029077149</v>
      </c>
      <c r="J560" s="74"/>
      <c r="K560" s="75" t="str">
        <f t="shared" si="358"/>
        <v>Geometric Mean</v>
      </c>
      <c r="L560" s="129">
        <f>IF(L544=0,"",(L548/L544)^(1/($D548-$D544-1))-1)</f>
        <v>4.0375254114632719E-2</v>
      </c>
      <c r="M560" s="129">
        <f>IF(M544=0,"",(M550/M544)^(1/($D550-$D544-1))-1)</f>
        <v>1.7718318994420335E-2</v>
      </c>
      <c r="N560" s="287"/>
      <c r="O560" s="286">
        <f>IF(O551=0,"",(M550/O551)^(1/(TestYear-RebaseYear-1))-1)</f>
        <v>-7.6762550874294067E-2</v>
      </c>
      <c r="P560" s="18"/>
      <c r="Q560" s="75" t="str">
        <f t="shared" si="360"/>
        <v>Geometric Mean</v>
      </c>
      <c r="R560" s="129">
        <f>IF(R544="","",IF(R544=0,"",(R548/R544)^(1/($D548-$D544-1))-1))</f>
        <v>0.12131099557328029</v>
      </c>
      <c r="S560" s="129">
        <f>IF(S544="","",IF(S544=0,"",(S550/S544)^(1/($D550-$D544-1))-1))</f>
        <v>6.7835439498654893E-2</v>
      </c>
      <c r="T560" s="71"/>
      <c r="U560" s="286">
        <f>IF(U551=0,"",(S550/U551)^(1/(TestYear-RebaseYear-1))-1)</f>
        <v>0.1420222030908771</v>
      </c>
    </row>
    <row r="562" spans="3:21" ht="15.75" thickBot="1" x14ac:dyDescent="0.3">
      <c r="Q562" s="71"/>
      <c r="R562" s="71"/>
      <c r="S562" s="71"/>
      <c r="T562" s="71"/>
      <c r="U562" s="71"/>
    </row>
    <row r="563" spans="3:21" ht="14.65" customHeight="1" x14ac:dyDescent="0.25">
      <c r="C563" s="13"/>
      <c r="D563" s="14" t="s">
        <v>23</v>
      </c>
      <c r="E563" s="14"/>
      <c r="F563" s="297" t="s">
        <v>10</v>
      </c>
      <c r="G563" s="298"/>
      <c r="H563" s="298"/>
      <c r="I563" s="299"/>
      <c r="K563" s="300" t="str">
        <f>IF(ISBLANK(N540),"",CONCATENATE("Demand (",N540,")"))</f>
        <v>Demand (kWh)</v>
      </c>
      <c r="L563" s="301"/>
      <c r="M563" s="301"/>
      <c r="N563" s="301"/>
      <c r="O563" s="302"/>
      <c r="Q563" s="303" t="str">
        <f>CONCATENATE("Demand (",N540,") per ",LEFT(F542,LEN(F542)-1))</f>
        <v>Demand (kWh) per Customer</v>
      </c>
      <c r="R563" s="304"/>
      <c r="S563" s="304"/>
      <c r="T563" s="304"/>
      <c r="U563" s="305"/>
    </row>
    <row r="564" spans="3:21" ht="39" thickBot="1" x14ac:dyDescent="0.3">
      <c r="C564" s="18"/>
      <c r="D564" s="19" t="str">
        <f>CONCATENATE("(for ",TestYear," Cost of Service")</f>
        <v>(for 2017 Cost of Service</v>
      </c>
      <c r="E564" s="26"/>
      <c r="F564" s="306"/>
      <c r="G564" s="307"/>
      <c r="H564" s="307"/>
      <c r="I564" s="86"/>
      <c r="K564" s="22"/>
      <c r="L564" s="23" t="s">
        <v>25</v>
      </c>
      <c r="M564" s="23" t="s">
        <v>26</v>
      </c>
      <c r="N564" s="24"/>
      <c r="O564" s="25" t="str">
        <f>M564</f>
        <v>Weather-normalized</v>
      </c>
      <c r="Q564" s="132"/>
      <c r="R564" s="23" t="str">
        <f>L564</f>
        <v>Actual (Weather actual)</v>
      </c>
      <c r="S564" s="23" t="str">
        <f>M564</f>
        <v>Weather-normalized</v>
      </c>
      <c r="T564" s="23"/>
      <c r="U564" s="133" t="str">
        <f>O564</f>
        <v>Weather-normalized</v>
      </c>
    </row>
    <row r="565" spans="3:21" x14ac:dyDescent="0.25">
      <c r="C565" s="26" t="s">
        <v>27</v>
      </c>
      <c r="D565" s="27">
        <f t="shared" ref="D565:D570" si="362">D566-1</f>
        <v>2012</v>
      </c>
      <c r="E565" s="91"/>
      <c r="F565" s="92" t="str">
        <f t="shared" ref="F565:F571" si="363">F544</f>
        <v>Actual</v>
      </c>
      <c r="G565" s="134">
        <v>1686144.9585036002</v>
      </c>
      <c r="H565" s="31" t="s">
        <v>50</v>
      </c>
      <c r="I565" s="135"/>
      <c r="K565" s="94" t="str">
        <f t="shared" ref="K565:K571" si="364">K544</f>
        <v>Actual</v>
      </c>
      <c r="L565" s="95"/>
      <c r="M565" s="95"/>
      <c r="N565" s="37" t="str">
        <f t="shared" ref="N565:N571" si="365">N544</f>
        <v/>
      </c>
      <c r="O565" s="35"/>
      <c r="Q565" s="96" t="str">
        <f>K565</f>
        <v>Actual</v>
      </c>
      <c r="R565" s="63">
        <f>IF(G565=0,"",L565/G565)</f>
        <v>0</v>
      </c>
      <c r="S565" s="28">
        <f>IF(G565=0,"",M565/G565)</f>
        <v>0</v>
      </c>
      <c r="T565" s="28" t="str">
        <f>N565</f>
        <v/>
      </c>
      <c r="U565" s="91" t="str">
        <f>IF(T565="","",IF(I565=0,"",O565/I565))</f>
        <v/>
      </c>
    </row>
    <row r="566" spans="3:21" x14ac:dyDescent="0.25">
      <c r="C566" s="26" t="s">
        <v>27</v>
      </c>
      <c r="D566" s="27">
        <f t="shared" si="362"/>
        <v>2013</v>
      </c>
      <c r="E566" s="91"/>
      <c r="F566" s="98" t="str">
        <f t="shared" si="363"/>
        <v>Actual</v>
      </c>
      <c r="G566" s="134">
        <v>2480643.9192138538</v>
      </c>
      <c r="H566" s="31" t="s">
        <v>50</v>
      </c>
      <c r="I566" s="35"/>
      <c r="K566" s="94" t="str">
        <f t="shared" si="364"/>
        <v>Actual</v>
      </c>
      <c r="L566" s="95"/>
      <c r="M566" s="95"/>
      <c r="N566" s="37" t="str">
        <f t="shared" si="365"/>
        <v/>
      </c>
      <c r="O566" s="35"/>
      <c r="Q566" s="96" t="str">
        <f t="shared" ref="Q566:Q571" si="366">K566</f>
        <v>Actual</v>
      </c>
      <c r="R566" s="63">
        <f t="shared" ref="R566:R571" si="367">IF(G566=0,"",L566/G566)</f>
        <v>0</v>
      </c>
      <c r="S566" s="28">
        <f t="shared" ref="S566:S571" si="368">IF(G566=0,"",M566/G566)</f>
        <v>0</v>
      </c>
      <c r="T566" s="28" t="str">
        <f t="shared" ref="T566:T571" si="369">N566</f>
        <v/>
      </c>
      <c r="U566" s="91" t="str">
        <f t="shared" ref="U566:U571" si="370">IF(T566="","",IF(I566=0,"",O566/I566))</f>
        <v/>
      </c>
    </row>
    <row r="567" spans="3:21" x14ac:dyDescent="0.25">
      <c r="C567" s="26" t="s">
        <v>27</v>
      </c>
      <c r="D567" s="27">
        <f t="shared" si="362"/>
        <v>2014</v>
      </c>
      <c r="E567" s="91"/>
      <c r="F567" s="98" t="str">
        <f t="shared" si="363"/>
        <v>Actual</v>
      </c>
      <c r="G567" s="134">
        <v>2478317.1068034796</v>
      </c>
      <c r="H567" s="31" t="s">
        <v>50</v>
      </c>
      <c r="I567" s="136"/>
      <c r="K567" s="94" t="str">
        <f t="shared" si="364"/>
        <v>Actual</v>
      </c>
      <c r="L567" s="95"/>
      <c r="M567" s="95"/>
      <c r="N567" s="37" t="str">
        <f t="shared" si="365"/>
        <v/>
      </c>
      <c r="O567" s="36"/>
      <c r="Q567" s="96" t="str">
        <f t="shared" si="366"/>
        <v>Actual</v>
      </c>
      <c r="R567" s="63">
        <f t="shared" si="367"/>
        <v>0</v>
      </c>
      <c r="S567" s="28">
        <f t="shared" si="368"/>
        <v>0</v>
      </c>
      <c r="T567" s="28" t="str">
        <f t="shared" si="369"/>
        <v/>
      </c>
      <c r="U567" s="91" t="str">
        <f t="shared" si="370"/>
        <v/>
      </c>
    </row>
    <row r="568" spans="3:21" x14ac:dyDescent="0.25">
      <c r="C568" s="26" t="s">
        <v>27</v>
      </c>
      <c r="D568" s="27">
        <f t="shared" si="362"/>
        <v>2015</v>
      </c>
      <c r="E568" s="91"/>
      <c r="F568" s="98" t="str">
        <f t="shared" si="363"/>
        <v>Actual</v>
      </c>
      <c r="G568" s="134">
        <v>2837116.1822999995</v>
      </c>
      <c r="H568" s="31" t="s">
        <v>29</v>
      </c>
      <c r="I568" s="137">
        <v>3568108.6376189515</v>
      </c>
      <c r="K568" s="94" t="str">
        <f t="shared" si="364"/>
        <v>Actual</v>
      </c>
      <c r="L568" s="95"/>
      <c r="M568" s="95"/>
      <c r="N568" s="37" t="str">
        <f t="shared" si="365"/>
        <v>Board-approved</v>
      </c>
      <c r="O568" s="35"/>
      <c r="Q568" s="96" t="str">
        <f t="shared" si="366"/>
        <v>Actual</v>
      </c>
      <c r="R568" s="63">
        <f t="shared" si="367"/>
        <v>0</v>
      </c>
      <c r="S568" s="28">
        <f t="shared" si="368"/>
        <v>0</v>
      </c>
      <c r="T568" s="28" t="str">
        <f t="shared" si="369"/>
        <v>Board-approved</v>
      </c>
      <c r="U568" s="91">
        <f t="shared" si="370"/>
        <v>0</v>
      </c>
    </row>
    <row r="569" spans="3:21" x14ac:dyDescent="0.25">
      <c r="C569" s="26" t="s">
        <v>27</v>
      </c>
      <c r="D569" s="27">
        <f t="shared" si="362"/>
        <v>2016</v>
      </c>
      <c r="E569" s="91"/>
      <c r="F569" s="98" t="str">
        <f t="shared" si="363"/>
        <v>Actual</v>
      </c>
      <c r="G569" s="134">
        <v>3196140.6928033377</v>
      </c>
      <c r="H569" s="31" t="s">
        <v>50</v>
      </c>
      <c r="I569" s="35"/>
      <c r="K569" s="94" t="str">
        <f t="shared" si="364"/>
        <v>Actual</v>
      </c>
      <c r="L569" s="95"/>
      <c r="M569" s="95"/>
      <c r="N569" s="37" t="str">
        <f t="shared" si="365"/>
        <v/>
      </c>
      <c r="O569" s="35"/>
      <c r="Q569" s="96" t="str">
        <f t="shared" si="366"/>
        <v>Actual</v>
      </c>
      <c r="R569" s="63">
        <f t="shared" si="367"/>
        <v>0</v>
      </c>
      <c r="S569" s="28">
        <f t="shared" si="368"/>
        <v>0</v>
      </c>
      <c r="T569" s="28" t="str">
        <f t="shared" si="369"/>
        <v/>
      </c>
      <c r="U569" s="91" t="str">
        <f t="shared" si="370"/>
        <v/>
      </c>
    </row>
    <row r="570" spans="3:21" x14ac:dyDescent="0.25">
      <c r="C570" s="26" t="s">
        <v>45</v>
      </c>
      <c r="D570" s="27">
        <f t="shared" si="362"/>
        <v>2017</v>
      </c>
      <c r="E570" s="91"/>
      <c r="F570" s="98" t="str">
        <f t="shared" si="363"/>
        <v>Forecast</v>
      </c>
      <c r="G570" s="134">
        <v>3219187.022920981</v>
      </c>
      <c r="H570" s="31" t="s">
        <v>50</v>
      </c>
      <c r="I570" s="35"/>
      <c r="K570" s="94" t="str">
        <f t="shared" si="364"/>
        <v>Forecast</v>
      </c>
      <c r="L570" s="102"/>
      <c r="M570" s="138"/>
      <c r="N570" s="37" t="str">
        <f t="shared" si="365"/>
        <v/>
      </c>
      <c r="O570" s="35"/>
      <c r="Q570" s="96" t="str">
        <f t="shared" si="366"/>
        <v>Forecast</v>
      </c>
      <c r="R570" s="63">
        <f t="shared" si="367"/>
        <v>0</v>
      </c>
      <c r="S570" s="28">
        <f t="shared" si="368"/>
        <v>0</v>
      </c>
      <c r="T570" s="28" t="str">
        <f t="shared" si="369"/>
        <v/>
      </c>
      <c r="U570" s="91" t="str">
        <f t="shared" si="370"/>
        <v/>
      </c>
    </row>
    <row r="571" spans="3:21" ht="15.75" thickBot="1" x14ac:dyDescent="0.3">
      <c r="C571" s="39" t="s">
        <v>46</v>
      </c>
      <c r="D571" s="104">
        <v>2018</v>
      </c>
      <c r="E571" s="18"/>
      <c r="F571" s="105" t="str">
        <f t="shared" si="363"/>
        <v>Forecast</v>
      </c>
      <c r="G571" s="139">
        <v>3299513.4091503425</v>
      </c>
      <c r="H571" s="43" t="s">
        <v>50</v>
      </c>
      <c r="I571" s="46"/>
      <c r="K571" s="108" t="str">
        <f t="shared" si="364"/>
        <v>Forecast</v>
      </c>
      <c r="L571" s="109"/>
      <c r="M571" s="140"/>
      <c r="N571" s="111" t="str">
        <f t="shared" si="365"/>
        <v/>
      </c>
      <c r="O571" s="46"/>
      <c r="Q571" s="141" t="str">
        <f t="shared" si="366"/>
        <v>Forecast</v>
      </c>
      <c r="R571" s="40">
        <f t="shared" si="367"/>
        <v>0</v>
      </c>
      <c r="S571" s="40">
        <f t="shared" si="368"/>
        <v>0</v>
      </c>
      <c r="T571" s="40" t="str">
        <f t="shared" si="369"/>
        <v/>
      </c>
      <c r="U571" s="18" t="str">
        <f t="shared" si="370"/>
        <v/>
      </c>
    </row>
    <row r="572" spans="3:21" ht="15.75" thickBot="1" x14ac:dyDescent="0.3">
      <c r="C572" s="114"/>
      <c r="I572" s="52">
        <f>SUM(I565:I570)</f>
        <v>3568108.6376189515</v>
      </c>
      <c r="J572" s="63"/>
      <c r="O572" s="52">
        <f>SUM(O565:O570)</f>
        <v>0</v>
      </c>
      <c r="U572" s="52">
        <f>SUM(U565:U570)</f>
        <v>0</v>
      </c>
    </row>
    <row r="573" spans="3:21" ht="39" thickBot="1" x14ac:dyDescent="0.3">
      <c r="C573" s="115" t="s">
        <v>33</v>
      </c>
      <c r="D573" s="116" t="s">
        <v>34</v>
      </c>
      <c r="E573" s="270"/>
      <c r="F573" s="270"/>
      <c r="G573" s="270" t="s">
        <v>35</v>
      </c>
      <c r="H573" s="270"/>
      <c r="I573" s="60" t="str">
        <f>I552</f>
        <v>Test Year Versus Board-approved</v>
      </c>
      <c r="J573" s="142"/>
      <c r="K573" s="58" t="s">
        <v>34</v>
      </c>
      <c r="L573" s="308" t="s">
        <v>35</v>
      </c>
      <c r="M573" s="308"/>
      <c r="N573" s="270"/>
      <c r="O573" s="60" t="str">
        <f>I573</f>
        <v>Test Year Versus Board-approved</v>
      </c>
      <c r="P573" s="143"/>
      <c r="Q573" s="58" t="s">
        <v>34</v>
      </c>
      <c r="R573" s="308" t="s">
        <v>35</v>
      </c>
      <c r="S573" s="308"/>
      <c r="T573" s="270"/>
      <c r="U573" s="60" t="str">
        <f>O573</f>
        <v>Test Year Versus Board-approved</v>
      </c>
    </row>
    <row r="574" spans="3:21" x14ac:dyDescent="0.25">
      <c r="C574" s="91"/>
      <c r="D574" s="144">
        <f>D565</f>
        <v>2012</v>
      </c>
      <c r="E574" s="51"/>
      <c r="F574" s="63"/>
      <c r="G574" s="120"/>
      <c r="H574" s="63"/>
      <c r="I574" s="121"/>
      <c r="J574" s="91"/>
      <c r="K574" s="27">
        <f>D574</f>
        <v>2012</v>
      </c>
      <c r="L574" s="65"/>
      <c r="M574" s="65"/>
      <c r="N574" s="63"/>
      <c r="O574" s="145"/>
      <c r="P574" s="91"/>
      <c r="Q574" s="27">
        <f>K574</f>
        <v>2012</v>
      </c>
      <c r="R574" s="123"/>
      <c r="S574" s="123"/>
      <c r="T574" s="63"/>
      <c r="U574" s="35"/>
    </row>
    <row r="575" spans="3:21" x14ac:dyDescent="0.25">
      <c r="C575" s="91"/>
      <c r="D575" s="124">
        <f>D566</f>
        <v>2013</v>
      </c>
      <c r="E575" s="63"/>
      <c r="F575" s="63"/>
      <c r="G575" s="125">
        <f>IF(G565=0,"",G566/G565-1)</f>
        <v>0.47119256070091753</v>
      </c>
      <c r="H575" s="63"/>
      <c r="I575" s="121"/>
      <c r="J575" s="91"/>
      <c r="K575" s="27">
        <f t="shared" ref="K575:K581" si="371">D575</f>
        <v>2013</v>
      </c>
      <c r="L575" s="67" t="str">
        <f>IF(L565=0,"",L566/L565-1)</f>
        <v/>
      </c>
      <c r="M575" s="67" t="str">
        <f>IF(M565=0,"",M566/M565-1)</f>
        <v/>
      </c>
      <c r="N575" s="63"/>
      <c r="O575" s="145"/>
      <c r="P575" s="91"/>
      <c r="Q575" s="27">
        <f t="shared" ref="Q575:Q581" si="372">K575</f>
        <v>2013</v>
      </c>
      <c r="R575" s="126" t="str">
        <f>IF(R565="","",IF(R565=0,"",R566/R565-1))</f>
        <v/>
      </c>
      <c r="S575" s="126" t="str">
        <f>IF(S565="","",IF(S565=0,"",S566/S565-1))</f>
        <v/>
      </c>
      <c r="T575" s="63"/>
      <c r="U575" s="35"/>
    </row>
    <row r="576" spans="3:21" x14ac:dyDescent="0.25">
      <c r="C576" s="91"/>
      <c r="D576" s="146">
        <f t="shared" ref="D576:D580" si="373">D567</f>
        <v>2014</v>
      </c>
      <c r="E576" s="63"/>
      <c r="F576" s="63"/>
      <c r="G576" s="125">
        <f t="shared" ref="G576:G580" si="374">IF(G566=0,"",G567/G566-1)</f>
        <v>-9.3798726707683411E-4</v>
      </c>
      <c r="H576" s="63"/>
      <c r="I576" s="121"/>
      <c r="J576" s="91"/>
      <c r="K576" s="27">
        <f t="shared" si="371"/>
        <v>2014</v>
      </c>
      <c r="L576" s="67" t="str">
        <f t="shared" ref="L576:M580" si="375">IF(L566=0,"",L567/L566-1)</f>
        <v/>
      </c>
      <c r="M576" s="67" t="str">
        <f t="shared" si="375"/>
        <v/>
      </c>
      <c r="N576" s="63"/>
      <c r="O576" s="145"/>
      <c r="P576" s="91"/>
      <c r="Q576" s="27">
        <f t="shared" si="372"/>
        <v>2014</v>
      </c>
      <c r="R576" s="126" t="str">
        <f t="shared" ref="R576:S580" si="376">IF(R566="","",IF(R566=0,"",R567/R566-1))</f>
        <v/>
      </c>
      <c r="S576" s="126" t="str">
        <f t="shared" si="376"/>
        <v/>
      </c>
      <c r="T576" s="63"/>
      <c r="U576" s="35"/>
    </row>
    <row r="577" spans="2:21" x14ac:dyDescent="0.25">
      <c r="C577" s="91"/>
      <c r="D577" s="124">
        <f t="shared" si="373"/>
        <v>2015</v>
      </c>
      <c r="E577" s="63"/>
      <c r="F577" s="63"/>
      <c r="G577" s="125">
        <f t="shared" si="374"/>
        <v>0.14477528905059978</v>
      </c>
      <c r="H577" s="63"/>
      <c r="I577" s="121"/>
      <c r="J577" s="91"/>
      <c r="K577" s="27">
        <f t="shared" si="371"/>
        <v>2015</v>
      </c>
      <c r="L577" s="67" t="str">
        <f t="shared" si="375"/>
        <v/>
      </c>
      <c r="M577" s="67" t="str">
        <f t="shared" si="375"/>
        <v/>
      </c>
      <c r="N577" s="63"/>
      <c r="O577" s="145"/>
      <c r="P577" s="91"/>
      <c r="Q577" s="27">
        <f t="shared" si="372"/>
        <v>2015</v>
      </c>
      <c r="R577" s="126" t="str">
        <f t="shared" si="376"/>
        <v/>
      </c>
      <c r="S577" s="126" t="str">
        <f t="shared" si="376"/>
        <v/>
      </c>
      <c r="T577" s="63"/>
      <c r="U577" s="35"/>
    </row>
    <row r="578" spans="2:21" x14ac:dyDescent="0.25">
      <c r="C578" s="91"/>
      <c r="D578" s="124">
        <f t="shared" si="373"/>
        <v>2016</v>
      </c>
      <c r="E578" s="63"/>
      <c r="F578" s="63"/>
      <c r="G578" s="125">
        <f t="shared" si="374"/>
        <v>0.1265455791846648</v>
      </c>
      <c r="H578" s="63"/>
      <c r="I578" s="121"/>
      <c r="J578" s="91"/>
      <c r="K578" s="27">
        <f t="shared" si="371"/>
        <v>2016</v>
      </c>
      <c r="L578" s="67" t="str">
        <f t="shared" si="375"/>
        <v/>
      </c>
      <c r="M578" s="67" t="str">
        <f t="shared" si="375"/>
        <v/>
      </c>
      <c r="N578" s="63"/>
      <c r="O578" s="145"/>
      <c r="P578" s="91"/>
      <c r="Q578" s="27">
        <f t="shared" si="372"/>
        <v>2016</v>
      </c>
      <c r="R578" s="126" t="str">
        <f t="shared" si="376"/>
        <v/>
      </c>
      <c r="S578" s="126" t="str">
        <f t="shared" si="376"/>
        <v/>
      </c>
      <c r="T578" s="63"/>
      <c r="U578" s="35"/>
    </row>
    <row r="579" spans="2:21" x14ac:dyDescent="0.25">
      <c r="C579" s="91"/>
      <c r="D579" s="124">
        <f t="shared" si="373"/>
        <v>2017</v>
      </c>
      <c r="E579" s="63"/>
      <c r="F579" s="63"/>
      <c r="G579" s="125">
        <f t="shared" si="374"/>
        <v>7.2106744767326258E-3</v>
      </c>
      <c r="H579" s="63"/>
      <c r="I579" s="121"/>
      <c r="J579" s="91"/>
      <c r="K579" s="27">
        <f t="shared" si="371"/>
        <v>2017</v>
      </c>
      <c r="L579" s="67" t="str">
        <f>IF(K570="Forecast","",IF(L569=0,"",L570/L569-1))</f>
        <v/>
      </c>
      <c r="M579" s="67" t="str">
        <f t="shared" si="375"/>
        <v/>
      </c>
      <c r="N579" s="63"/>
      <c r="O579" s="145"/>
      <c r="P579" s="91"/>
      <c r="Q579" s="27">
        <f t="shared" si="372"/>
        <v>2017</v>
      </c>
      <c r="R579" s="126" t="str">
        <f>IF(Q570="Forecast","",IF(R569=0,"",R570/R569-1))</f>
        <v/>
      </c>
      <c r="S579" s="126" t="str">
        <f t="shared" si="376"/>
        <v/>
      </c>
      <c r="T579" s="63"/>
      <c r="U579" s="35"/>
    </row>
    <row r="580" spans="2:21" x14ac:dyDescent="0.25">
      <c r="C580" s="91"/>
      <c r="D580" s="146">
        <f t="shared" si="373"/>
        <v>2018</v>
      </c>
      <c r="E580" s="63"/>
      <c r="F580" s="63"/>
      <c r="G580" s="125">
        <f t="shared" si="374"/>
        <v>2.4952382591451938E-2</v>
      </c>
      <c r="H580" s="288"/>
      <c r="I580" s="127">
        <f>IF(I572=0,"",G571/I572-1)</f>
        <v>-7.5276639740388118E-2</v>
      </c>
      <c r="J580" s="91"/>
      <c r="K580" s="27">
        <f t="shared" si="371"/>
        <v>2018</v>
      </c>
      <c r="L580" s="67" t="str">
        <f>IF(K571="Forecast","",IF(L570=0,"",L571/L570-1))</f>
        <v/>
      </c>
      <c r="M580" s="67" t="str">
        <f t="shared" si="375"/>
        <v/>
      </c>
      <c r="N580" s="63"/>
      <c r="O580" s="147" t="str">
        <f>IF(O572=0,"",M571/O572-1)</f>
        <v/>
      </c>
      <c r="P580" s="91"/>
      <c r="Q580" s="27">
        <f t="shared" si="372"/>
        <v>2018</v>
      </c>
      <c r="R580" s="126" t="str">
        <f>IF(Q571="Forecast","",IF(R570=0,"",R571/R570-1))</f>
        <v/>
      </c>
      <c r="S580" s="126" t="str">
        <f t="shared" si="376"/>
        <v/>
      </c>
      <c r="T580" s="63"/>
      <c r="U580" s="68" t="str">
        <f>IF(U572=0,"",S571/U572-1)</f>
        <v/>
      </c>
    </row>
    <row r="581" spans="2:21" ht="30.75" thickBot="1" x14ac:dyDescent="0.3">
      <c r="C581" s="18"/>
      <c r="D581" s="128" t="s">
        <v>37</v>
      </c>
      <c r="E581" s="71"/>
      <c r="F581" s="71"/>
      <c r="G581" s="129">
        <f>IF(G565=0,"",(G571/G565)^(1/($D571-$D565-1))-1)</f>
        <v>0.14369704197443012</v>
      </c>
      <c r="H581" s="287"/>
      <c r="I581" s="286">
        <f>IF(I572=0,"",(G571/I572)^(1/(TestYear-RebaseYear-1))-1)</f>
        <v>-7.5276639740388118E-2</v>
      </c>
      <c r="J581" s="91"/>
      <c r="K581" s="75" t="str">
        <f t="shared" si="371"/>
        <v>Geometric Mean</v>
      </c>
      <c r="L581" s="76" t="str">
        <f>IF(L565=0,"",(L569/L565)^(1/($D569-$D565-1))-1)</f>
        <v/>
      </c>
      <c r="M581" s="76" t="str">
        <f>IF(M565=0,"",(M571/M565)^(1/($D571-$D565-1))-1)</f>
        <v/>
      </c>
      <c r="N581" s="71"/>
      <c r="O581" s="77" t="str">
        <f>IF(O572=0,"",(M571/O572)^(1/(TestYear-RebaseYear-1))-1)</f>
        <v/>
      </c>
      <c r="P581" s="18"/>
      <c r="Q581" s="75" t="str">
        <f t="shared" si="372"/>
        <v>Geometric Mean</v>
      </c>
      <c r="R581" s="131" t="str">
        <f>IF(R565="","",IF(R565=0,"",(R569/R565)^(1/($D569-$D565-1))-1))</f>
        <v/>
      </c>
      <c r="S581" s="76" t="str">
        <f>IF(S565="","",IF(S565=0,"",(S571/S565)^(1/($D571-$D565-1))-1))</f>
        <v/>
      </c>
      <c r="T581" s="71"/>
      <c r="U581" s="77" t="str">
        <f>IF(U572=0,"",(S571/U572)^(1/(TestYear-RebaseYear-1))-1)</f>
        <v/>
      </c>
    </row>
    <row r="583" spans="2:21" ht="15.75" thickBot="1" x14ac:dyDescent="0.3"/>
    <row r="584" spans="2:21" ht="15.75" thickBot="1" x14ac:dyDescent="0.3">
      <c r="B584" s="79">
        <f>B540+1</f>
        <v>13</v>
      </c>
      <c r="C584" s="80" t="s">
        <v>39</v>
      </c>
      <c r="D584" s="309" t="s">
        <v>60</v>
      </c>
      <c r="E584" s="310"/>
      <c r="F584" s="311"/>
      <c r="G584" s="81"/>
      <c r="H584" s="82" t="s">
        <v>41</v>
      </c>
      <c r="N584" s="83" t="s">
        <v>42</v>
      </c>
      <c r="O584" s="84"/>
      <c r="P584" s="84"/>
      <c r="Q584" s="84"/>
      <c r="R584" s="84"/>
      <c r="S584" s="84"/>
      <c r="T584" s="84"/>
      <c r="U584" s="84"/>
    </row>
    <row r="585" spans="2:21" ht="15.75" thickBot="1" x14ac:dyDescent="0.3">
      <c r="Q585" s="71"/>
      <c r="R585" s="71"/>
      <c r="S585" s="71"/>
      <c r="T585" s="71"/>
      <c r="U585" s="71"/>
    </row>
    <row r="586" spans="2:21" ht="14.65" customHeight="1" x14ac:dyDescent="0.25">
      <c r="C586" s="13"/>
      <c r="D586" s="14" t="s">
        <v>23</v>
      </c>
      <c r="E586" s="14"/>
      <c r="F586" s="312" t="s">
        <v>43</v>
      </c>
      <c r="G586" s="313"/>
      <c r="H586" s="313"/>
      <c r="I586" s="314"/>
      <c r="J586" s="14"/>
      <c r="K586" s="300" t="s">
        <v>24</v>
      </c>
      <c r="L586" s="301"/>
      <c r="M586" s="301"/>
      <c r="N586" s="301"/>
      <c r="O586" s="302"/>
      <c r="P586" s="15"/>
      <c r="Q586" s="303" t="str">
        <f>CONCATENATE("Consumption (kWh) per ",LEFT(F586,LEN(F586)-1))</f>
        <v>Consumption (kWh) per Customer</v>
      </c>
      <c r="R586" s="304"/>
      <c r="S586" s="304"/>
      <c r="T586" s="304"/>
      <c r="U586" s="305"/>
    </row>
    <row r="587" spans="2:21" ht="39" thickBot="1" x14ac:dyDescent="0.3">
      <c r="C587" s="18"/>
      <c r="D587" s="19" t="str">
        <f>CONCATENATE("(for ",TestYear," Cost of Service")</f>
        <v>(for 2017 Cost of Service</v>
      </c>
      <c r="E587" s="26"/>
      <c r="F587" s="306"/>
      <c r="G587" s="307"/>
      <c r="H587" s="315"/>
      <c r="I587" s="86"/>
      <c r="J587" s="26"/>
      <c r="K587" s="22"/>
      <c r="L587" s="23" t="s">
        <v>25</v>
      </c>
      <c r="M587" s="23" t="s">
        <v>26</v>
      </c>
      <c r="N587" s="24"/>
      <c r="O587" s="25" t="s">
        <v>26</v>
      </c>
      <c r="P587" s="26"/>
      <c r="Q587" s="87"/>
      <c r="R587" s="88" t="str">
        <f>L587</f>
        <v>Actual (Weather actual)</v>
      </c>
      <c r="S587" s="89" t="str">
        <f>M587</f>
        <v>Weather-normalized</v>
      </c>
      <c r="T587" s="89"/>
      <c r="U587" s="90" t="str">
        <f>O587</f>
        <v>Weather-normalized</v>
      </c>
    </row>
    <row r="588" spans="2:21" ht="15.75" thickBot="1" x14ac:dyDescent="0.3">
      <c r="C588" s="26" t="s">
        <v>27</v>
      </c>
      <c r="D588" s="27">
        <f t="shared" ref="D588:D593" si="377">D589-1</f>
        <v>2012</v>
      </c>
      <c r="E588" s="91"/>
      <c r="F588" s="92" t="str">
        <f>F544</f>
        <v>Actual</v>
      </c>
      <c r="G588" s="93">
        <v>5512.2398421018897</v>
      </c>
      <c r="H588" s="32" t="str">
        <f t="shared" ref="H588:H594" si="378">IF(D588=RebaseYear,"Board-approved","")</f>
        <v/>
      </c>
      <c r="I588" s="35"/>
      <c r="J588" s="91"/>
      <c r="K588" s="94" t="str">
        <f>F588</f>
        <v>Actual</v>
      </c>
      <c r="L588" s="95">
        <v>22804129.179133322</v>
      </c>
      <c r="M588" s="95">
        <v>23360983.048045263</v>
      </c>
      <c r="N588" s="37" t="str">
        <f>H588</f>
        <v/>
      </c>
      <c r="O588" s="35"/>
      <c r="P588" s="91"/>
      <c r="Q588" s="96" t="str">
        <f>K588</f>
        <v>Actual</v>
      </c>
      <c r="R588" s="289">
        <f>IF(G588=0,"",L588/G588)</f>
        <v>4136.998721455815</v>
      </c>
      <c r="S588" s="51">
        <f>IF(G588=0,"",M588/G588)</f>
        <v>4238.0200639341938</v>
      </c>
      <c r="T588" s="51" t="str">
        <f>N588</f>
        <v/>
      </c>
      <c r="U588" s="117" t="str">
        <f>IF(T588="","",IF(I588=0,"",O588/I588))</f>
        <v/>
      </c>
    </row>
    <row r="589" spans="2:21" ht="15.75" thickBot="1" x14ac:dyDescent="0.3">
      <c r="C589" s="26" t="s">
        <v>27</v>
      </c>
      <c r="D589" s="27">
        <f t="shared" si="377"/>
        <v>2013</v>
      </c>
      <c r="E589" s="91"/>
      <c r="F589" s="92" t="str">
        <f t="shared" ref="F589:F594" si="379">F545</f>
        <v>Actual</v>
      </c>
      <c r="G589" s="93">
        <v>5562.2759588221124</v>
      </c>
      <c r="H589" s="32" t="str">
        <f t="shared" si="378"/>
        <v/>
      </c>
      <c r="I589" s="35"/>
      <c r="J589" s="91"/>
      <c r="K589" s="94" t="str">
        <f t="shared" ref="K589:K594" si="380">F589</f>
        <v>Actual</v>
      </c>
      <c r="L589" s="95">
        <v>23003379.707767364</v>
      </c>
      <c r="M589" s="95">
        <v>23003379.707767364</v>
      </c>
      <c r="N589" s="37" t="str">
        <f t="shared" ref="N589:N594" si="381">H589</f>
        <v/>
      </c>
      <c r="O589" s="35"/>
      <c r="P589" s="91"/>
      <c r="Q589" s="96" t="str">
        <f t="shared" ref="Q589:Q594" si="382">K589</f>
        <v>Actual</v>
      </c>
      <c r="R589" s="97">
        <f t="shared" ref="R589:R594" si="383">IF(G589=0,"",L589/G589)</f>
        <v>4135.6056186465521</v>
      </c>
      <c r="S589" s="63">
        <f t="shared" ref="S589:S594" si="384">IF(G589=0,"",M589/G589)</f>
        <v>4135.6056186465521</v>
      </c>
      <c r="T589" s="63" t="str">
        <f t="shared" ref="T589:T594" si="385">N589</f>
        <v/>
      </c>
      <c r="U589" s="122" t="str">
        <f t="shared" ref="U589:U594" si="386">IF(T589="","",IF(I589=0,"",O589/I589))</f>
        <v/>
      </c>
    </row>
    <row r="590" spans="2:21" ht="15.75" thickBot="1" x14ac:dyDescent="0.3">
      <c r="C590" s="26" t="s">
        <v>27</v>
      </c>
      <c r="D590" s="27">
        <f t="shared" si="377"/>
        <v>2014</v>
      </c>
      <c r="E590" s="91"/>
      <c r="F590" s="92" t="str">
        <f t="shared" si="379"/>
        <v>Actual</v>
      </c>
      <c r="G590" s="93">
        <v>5104</v>
      </c>
      <c r="H590" s="32" t="str">
        <f t="shared" si="378"/>
        <v/>
      </c>
      <c r="I590" s="36"/>
      <c r="J590" s="91"/>
      <c r="K590" s="94" t="str">
        <f t="shared" si="380"/>
        <v>Actual</v>
      </c>
      <c r="L590" s="95">
        <v>22912154.020146519</v>
      </c>
      <c r="M590" s="95">
        <v>22912154.020146519</v>
      </c>
      <c r="N590" s="37" t="str">
        <f t="shared" si="381"/>
        <v/>
      </c>
      <c r="O590" s="36"/>
      <c r="P590" s="91"/>
      <c r="Q590" s="96" t="str">
        <f t="shared" si="382"/>
        <v>Actual</v>
      </c>
      <c r="R590" s="97">
        <f t="shared" si="383"/>
        <v>4489.0583895271393</v>
      </c>
      <c r="S590" s="63">
        <f t="shared" si="384"/>
        <v>4489.0583895271393</v>
      </c>
      <c r="T590" s="63" t="str">
        <f t="shared" si="385"/>
        <v/>
      </c>
      <c r="U590" s="122" t="str">
        <f t="shared" si="386"/>
        <v/>
      </c>
    </row>
    <row r="591" spans="2:21" ht="15.75" thickBot="1" x14ac:dyDescent="0.3">
      <c r="C591" s="26" t="s">
        <v>27</v>
      </c>
      <c r="D591" s="27">
        <f t="shared" si="377"/>
        <v>2015</v>
      </c>
      <c r="E591" s="91"/>
      <c r="F591" s="92" t="str">
        <f t="shared" si="379"/>
        <v>Actual</v>
      </c>
      <c r="G591" s="93">
        <v>5623.8826939889441</v>
      </c>
      <c r="H591" s="32" t="str">
        <f t="shared" si="378"/>
        <v>Board-approved</v>
      </c>
      <c r="I591" s="100">
        <v>5733.5202050826056</v>
      </c>
      <c r="J591" s="91"/>
      <c r="K591" s="94" t="str">
        <f t="shared" si="380"/>
        <v>Actual</v>
      </c>
      <c r="L591" s="95">
        <v>23976975.349999998</v>
      </c>
      <c r="M591" s="95">
        <v>23976975.349999998</v>
      </c>
      <c r="N591" s="37" t="str">
        <f t="shared" si="381"/>
        <v>Board-approved</v>
      </c>
      <c r="O591" s="35">
        <v>25229668.994320702</v>
      </c>
      <c r="P591" s="91"/>
      <c r="Q591" s="96" t="str">
        <f t="shared" si="382"/>
        <v>Actual</v>
      </c>
      <c r="R591" s="97">
        <f t="shared" si="383"/>
        <v>4263.4202480125796</v>
      </c>
      <c r="S591" s="63">
        <f t="shared" si="384"/>
        <v>4263.4202480125796</v>
      </c>
      <c r="T591" s="63" t="str">
        <f t="shared" si="385"/>
        <v>Board-approved</v>
      </c>
      <c r="U591" s="122">
        <f t="shared" si="386"/>
        <v>4400.3802362038077</v>
      </c>
    </row>
    <row r="592" spans="2:21" ht="15.75" thickBot="1" x14ac:dyDescent="0.3">
      <c r="C592" s="26" t="s">
        <v>27</v>
      </c>
      <c r="D592" s="27">
        <f t="shared" si="377"/>
        <v>2016</v>
      </c>
      <c r="E592" s="91"/>
      <c r="F592" s="92" t="str">
        <f t="shared" si="379"/>
        <v>Actual</v>
      </c>
      <c r="G592" s="93">
        <v>5537</v>
      </c>
      <c r="H592" s="32" t="str">
        <f t="shared" si="378"/>
        <v/>
      </c>
      <c r="I592" s="35"/>
      <c r="J592" s="91"/>
      <c r="K592" s="94" t="str">
        <f t="shared" si="380"/>
        <v>Actual</v>
      </c>
      <c r="L592" s="95">
        <v>23778254.021264523</v>
      </c>
      <c r="M592" s="95">
        <v>23778254.021264523</v>
      </c>
      <c r="N592" s="37" t="str">
        <f t="shared" si="381"/>
        <v/>
      </c>
      <c r="O592" s="35"/>
      <c r="P592" s="91"/>
      <c r="Q592" s="96" t="str">
        <f t="shared" si="382"/>
        <v>Actual</v>
      </c>
      <c r="R592" s="97">
        <f t="shared" si="383"/>
        <v>4294.4291170786573</v>
      </c>
      <c r="S592" s="63">
        <f t="shared" si="384"/>
        <v>4294.4291170786573</v>
      </c>
      <c r="T592" s="63" t="str">
        <f t="shared" si="385"/>
        <v/>
      </c>
      <c r="U592" s="122" t="str">
        <f t="shared" si="386"/>
        <v/>
      </c>
    </row>
    <row r="593" spans="2:21" ht="15.75" thickBot="1" x14ac:dyDescent="0.3">
      <c r="C593" s="26" t="s">
        <v>30</v>
      </c>
      <c r="D593" s="27">
        <f t="shared" si="377"/>
        <v>2017</v>
      </c>
      <c r="E593" s="91"/>
      <c r="F593" s="92" t="str">
        <f t="shared" si="379"/>
        <v>Forecast</v>
      </c>
      <c r="G593" s="93">
        <v>5566.8327413235347</v>
      </c>
      <c r="H593" s="32" t="str">
        <f t="shared" si="378"/>
        <v/>
      </c>
      <c r="I593" s="35"/>
      <c r="J593" s="91"/>
      <c r="K593" s="94" t="str">
        <f t="shared" si="380"/>
        <v>Forecast</v>
      </c>
      <c r="L593" s="102"/>
      <c r="M593" s="103">
        <v>24240556.812504824</v>
      </c>
      <c r="N593" s="37" t="str">
        <f t="shared" si="381"/>
        <v/>
      </c>
      <c r="O593" s="35"/>
      <c r="P593" s="91"/>
      <c r="Q593" s="96" t="str">
        <f t="shared" si="382"/>
        <v>Forecast</v>
      </c>
      <c r="R593" s="97">
        <f t="shared" si="383"/>
        <v>0</v>
      </c>
      <c r="S593" s="63">
        <f t="shared" si="384"/>
        <v>4354.4611341675673</v>
      </c>
      <c r="T593" s="63" t="str">
        <f t="shared" si="385"/>
        <v/>
      </c>
      <c r="U593" s="122" t="str">
        <f t="shared" si="386"/>
        <v/>
      </c>
    </row>
    <row r="594" spans="2:21" ht="15.75" thickBot="1" x14ac:dyDescent="0.3">
      <c r="C594" s="39" t="s">
        <v>32</v>
      </c>
      <c r="D594" s="104">
        <v>2018</v>
      </c>
      <c r="E594" s="18"/>
      <c r="F594" s="148" t="str">
        <f t="shared" si="379"/>
        <v>Forecast</v>
      </c>
      <c r="G594" s="106">
        <v>5597.258733734303</v>
      </c>
      <c r="H594" s="44" t="str">
        <f t="shared" si="378"/>
        <v/>
      </c>
      <c r="I594" s="46"/>
      <c r="J594" s="18"/>
      <c r="K594" s="108" t="str">
        <f t="shared" si="380"/>
        <v>Forecast</v>
      </c>
      <c r="L594" s="109"/>
      <c r="M594" s="110">
        <v>24437189.604035672</v>
      </c>
      <c r="N594" s="111" t="str">
        <f t="shared" si="381"/>
        <v/>
      </c>
      <c r="O594" s="46"/>
      <c r="P594" s="18"/>
      <c r="Q594" s="112" t="str">
        <f t="shared" si="382"/>
        <v>Forecast</v>
      </c>
      <c r="R594" s="113">
        <f t="shared" si="383"/>
        <v>0</v>
      </c>
      <c r="S594" s="71">
        <f t="shared" si="384"/>
        <v>4365.9210278692981</v>
      </c>
      <c r="T594" s="71" t="str">
        <f t="shared" si="385"/>
        <v/>
      </c>
      <c r="U594" s="74" t="str">
        <f t="shared" si="386"/>
        <v/>
      </c>
    </row>
    <row r="595" spans="2:21" ht="15.75" thickBot="1" x14ac:dyDescent="0.3">
      <c r="B595" s="63"/>
      <c r="C595" s="114"/>
      <c r="I595" s="52">
        <f>SUM(I588:I593)</f>
        <v>5733.5202050826056</v>
      </c>
      <c r="O595" s="52">
        <f>SUM(O588:O593)</f>
        <v>25229668.994320702</v>
      </c>
      <c r="U595" s="52">
        <f>SUM(U588:U593)</f>
        <v>4400.3802362038077</v>
      </c>
    </row>
    <row r="596" spans="2:21" ht="39" thickBot="1" x14ac:dyDescent="0.3">
      <c r="C596" s="115" t="s">
        <v>33</v>
      </c>
      <c r="D596" s="116" t="s">
        <v>34</v>
      </c>
      <c r="E596" s="48"/>
      <c r="F596" s="48"/>
      <c r="G596" s="270" t="s">
        <v>35</v>
      </c>
      <c r="H596" s="48"/>
      <c r="I596" s="60" t="s">
        <v>44</v>
      </c>
      <c r="J596" s="117"/>
      <c r="K596" s="58" t="s">
        <v>34</v>
      </c>
      <c r="L596" s="308" t="s">
        <v>35</v>
      </c>
      <c r="M596" s="308"/>
      <c r="N596" s="48"/>
      <c r="O596" s="60" t="str">
        <f>I596</f>
        <v>Test Year Versus Board-approved</v>
      </c>
      <c r="P596" s="118"/>
      <c r="Q596" s="58" t="s">
        <v>34</v>
      </c>
      <c r="R596" s="308" t="s">
        <v>35</v>
      </c>
      <c r="S596" s="308"/>
      <c r="T596" s="48"/>
      <c r="U596" s="60" t="str">
        <f>O596</f>
        <v>Test Year Versus Board-approved</v>
      </c>
    </row>
    <row r="597" spans="2:21" x14ac:dyDescent="0.25">
      <c r="C597" s="91"/>
      <c r="D597" s="119">
        <f t="shared" ref="D597:D603" si="387">D588</f>
        <v>2012</v>
      </c>
      <c r="E597" s="63"/>
      <c r="F597" s="63"/>
      <c r="G597" s="120"/>
      <c r="H597" s="63"/>
      <c r="I597" s="121"/>
      <c r="J597" s="122"/>
      <c r="K597" s="27">
        <f>D597</f>
        <v>2012</v>
      </c>
      <c r="L597" s="65"/>
      <c r="M597" s="65"/>
      <c r="N597" s="63"/>
      <c r="O597" s="35"/>
      <c r="P597" s="91"/>
      <c r="Q597" s="27">
        <f>K597</f>
        <v>2012</v>
      </c>
      <c r="R597" s="123"/>
      <c r="S597" s="123"/>
      <c r="T597" s="63"/>
      <c r="U597" s="35"/>
    </row>
    <row r="598" spans="2:21" x14ac:dyDescent="0.25">
      <c r="C598" s="91"/>
      <c r="D598" s="124">
        <f t="shared" si="387"/>
        <v>2013</v>
      </c>
      <c r="E598" s="63"/>
      <c r="F598" s="63"/>
      <c r="G598" s="125">
        <f t="shared" ref="G598:G603" si="388">IF(G588=0,"",G589/G588-1)</f>
        <v>9.0772749650789297E-3</v>
      </c>
      <c r="H598" s="63"/>
      <c r="I598" s="121"/>
      <c r="J598" s="122"/>
      <c r="K598" s="27">
        <f t="shared" ref="K598:K604" si="389">D598</f>
        <v>2013</v>
      </c>
      <c r="L598" s="67">
        <f t="shared" ref="L598:M601" si="390">IF(L588=0,"",L589/L588-1)</f>
        <v>8.7374758785512263E-3</v>
      </c>
      <c r="M598" s="67">
        <f t="shared" si="390"/>
        <v>-1.5307717981834723E-2</v>
      </c>
      <c r="N598" s="63"/>
      <c r="O598" s="35"/>
      <c r="P598" s="91"/>
      <c r="Q598" s="27">
        <f t="shared" ref="Q598:Q604" si="391">K598</f>
        <v>2013</v>
      </c>
      <c r="R598" s="125">
        <f>IF(R588="","",IF(R588=0,"",R589/R588-1))</f>
        <v>-3.3674238332193074E-4</v>
      </c>
      <c r="S598" s="125">
        <f>IF(S588="","",IF(S588=0,"",S589/S588-1))</f>
        <v>-2.4165634834812266E-2</v>
      </c>
      <c r="T598" s="63"/>
      <c r="U598" s="35"/>
    </row>
    <row r="599" spans="2:21" x14ac:dyDescent="0.25">
      <c r="C599" s="91"/>
      <c r="D599" s="124">
        <f t="shared" si="387"/>
        <v>2014</v>
      </c>
      <c r="E599" s="63"/>
      <c r="F599" s="63"/>
      <c r="G599" s="125">
        <f t="shared" si="388"/>
        <v>-8.2390007654197461E-2</v>
      </c>
      <c r="H599" s="63"/>
      <c r="I599" s="121"/>
      <c r="J599" s="122"/>
      <c r="K599" s="27">
        <f t="shared" si="389"/>
        <v>2014</v>
      </c>
      <c r="L599" s="67">
        <f t="shared" si="390"/>
        <v>-3.9657515017257339E-3</v>
      </c>
      <c r="M599" s="67">
        <f t="shared" si="390"/>
        <v>-3.9657515017257339E-3</v>
      </c>
      <c r="N599" s="63"/>
      <c r="O599" s="35"/>
      <c r="P599" s="91"/>
      <c r="Q599" s="27">
        <f t="shared" si="391"/>
        <v>2014</v>
      </c>
      <c r="R599" s="125">
        <f t="shared" ref="R599:S603" si="392">IF(R589="","",IF(R589=0,"",R590/R589-1))</f>
        <v>8.5465782638205479E-2</v>
      </c>
      <c r="S599" s="125">
        <f t="shared" si="392"/>
        <v>8.5465782638205479E-2</v>
      </c>
      <c r="T599" s="63"/>
      <c r="U599" s="35"/>
    </row>
    <row r="600" spans="2:21" x14ac:dyDescent="0.25">
      <c r="C600" s="91"/>
      <c r="D600" s="124">
        <f t="shared" si="387"/>
        <v>2015</v>
      </c>
      <c r="E600" s="63"/>
      <c r="F600" s="63"/>
      <c r="G600" s="125">
        <f t="shared" si="388"/>
        <v>0.10185789459031036</v>
      </c>
      <c r="H600" s="63"/>
      <c r="I600" s="121"/>
      <c r="J600" s="122"/>
      <c r="K600" s="27">
        <f t="shared" si="389"/>
        <v>2015</v>
      </c>
      <c r="L600" s="67">
        <f t="shared" si="390"/>
        <v>4.6474082223661117E-2</v>
      </c>
      <c r="M600" s="67">
        <f t="shared" si="390"/>
        <v>4.6474082223661117E-2</v>
      </c>
      <c r="N600" s="63"/>
      <c r="O600" s="35"/>
      <c r="P600" s="91"/>
      <c r="Q600" s="27">
        <f t="shared" si="391"/>
        <v>2015</v>
      </c>
      <c r="R600" s="125">
        <f t="shared" si="392"/>
        <v>-5.0264024642889038E-2</v>
      </c>
      <c r="S600" s="125">
        <f t="shared" si="392"/>
        <v>-5.0264024642889038E-2</v>
      </c>
      <c r="T600" s="63"/>
      <c r="U600" s="35"/>
    </row>
    <row r="601" spans="2:21" x14ac:dyDescent="0.25">
      <c r="C601" s="91"/>
      <c r="D601" s="124">
        <f t="shared" si="387"/>
        <v>2016</v>
      </c>
      <c r="E601" s="63"/>
      <c r="F601" s="63"/>
      <c r="G601" s="125">
        <f t="shared" si="388"/>
        <v>-1.5448880909590845E-2</v>
      </c>
      <c r="H601" s="63"/>
      <c r="I601" s="121"/>
      <c r="J601" s="122"/>
      <c r="K601" s="27">
        <f t="shared" si="389"/>
        <v>2016</v>
      </c>
      <c r="L601" s="67">
        <f t="shared" si="390"/>
        <v>-8.2880065493946553E-3</v>
      </c>
      <c r="M601" s="67">
        <f t="shared" si="390"/>
        <v>-8.2880065493946553E-3</v>
      </c>
      <c r="N601" s="63"/>
      <c r="O601" s="35"/>
      <c r="P601" s="91"/>
      <c r="Q601" s="27">
        <f t="shared" si="391"/>
        <v>2016</v>
      </c>
      <c r="R601" s="125">
        <f t="shared" si="392"/>
        <v>7.273237743929295E-3</v>
      </c>
      <c r="S601" s="125">
        <f t="shared" si="392"/>
        <v>7.273237743929295E-3</v>
      </c>
      <c r="T601" s="63"/>
      <c r="U601" s="35"/>
    </row>
    <row r="602" spans="2:21" x14ac:dyDescent="0.25">
      <c r="C602" s="91"/>
      <c r="D602" s="124">
        <f t="shared" si="387"/>
        <v>2017</v>
      </c>
      <c r="E602" s="63"/>
      <c r="F602" s="63"/>
      <c r="G602" s="125">
        <f t="shared" si="388"/>
        <v>5.3878889874543479E-3</v>
      </c>
      <c r="H602" s="63"/>
      <c r="I602" s="121"/>
      <c r="J602" s="122"/>
      <c r="K602" s="27">
        <f t="shared" si="389"/>
        <v>2017</v>
      </c>
      <c r="L602" s="67" t="str">
        <f>IF(K593="Forecast","",IF(L592=0,"",L593/L592-1))</f>
        <v/>
      </c>
      <c r="M602" s="67">
        <f>IF(M592=0,"",M593/M592-1)</f>
        <v>1.9442251345572759E-2</v>
      </c>
      <c r="N602" s="63"/>
      <c r="O602" s="35"/>
      <c r="P602" s="91"/>
      <c r="Q602" s="27">
        <f t="shared" si="391"/>
        <v>2017</v>
      </c>
      <c r="R602" s="125" t="str">
        <f>IF(Q593="Forecast","",IF(R592=0,"",R593/R592-1))</f>
        <v/>
      </c>
      <c r="S602" s="125">
        <f t="shared" si="392"/>
        <v>1.3979044816496478E-2</v>
      </c>
      <c r="T602" s="63"/>
      <c r="U602" s="35"/>
    </row>
    <row r="603" spans="2:21" x14ac:dyDescent="0.25">
      <c r="C603" s="91"/>
      <c r="D603" s="124">
        <f t="shared" si="387"/>
        <v>2018</v>
      </c>
      <c r="E603" s="63"/>
      <c r="F603" s="63"/>
      <c r="G603" s="125">
        <f t="shared" si="388"/>
        <v>5.4655840806767664E-3</v>
      </c>
      <c r="H603" s="288"/>
      <c r="I603" s="127">
        <f>IF(I595=0,"",G594/I595-1)</f>
        <v>-2.376576108121331E-2</v>
      </c>
      <c r="J603" s="122"/>
      <c r="K603" s="27">
        <f t="shared" si="389"/>
        <v>2018</v>
      </c>
      <c r="L603" s="67" t="str">
        <f>IF(K594="Forecast","",IF(L593=0,"",L594/L593-1))</f>
        <v/>
      </c>
      <c r="M603" s="67">
        <f>IF(M593=0,"",M594/M593-1)</f>
        <v>8.1117275090567542E-3</v>
      </c>
      <c r="N603" s="63"/>
      <c r="O603" s="127">
        <f>IF(O595=0,"",M594/O595-1)</f>
        <v>-3.1410613847665636E-2</v>
      </c>
      <c r="P603" s="91"/>
      <c r="Q603" s="27">
        <f t="shared" si="391"/>
        <v>2018</v>
      </c>
      <c r="R603" s="125" t="str">
        <f>IF(Q594="Forecast","",IF(R593=0,"",R594/R593-1))</f>
        <v/>
      </c>
      <c r="S603" s="125">
        <f t="shared" si="392"/>
        <v>2.6317593265008377E-3</v>
      </c>
      <c r="T603" s="288"/>
      <c r="U603" s="127">
        <f>IF(U595=0,"",S594/U595-1)</f>
        <v>-7.8309615271423549E-3</v>
      </c>
    </row>
    <row r="604" spans="2:21" ht="30.75" thickBot="1" x14ac:dyDescent="0.3">
      <c r="C604" s="18"/>
      <c r="D604" s="128" t="s">
        <v>37</v>
      </c>
      <c r="E604" s="71"/>
      <c r="F604" s="71"/>
      <c r="G604" s="129">
        <f>IF(G588=0,"",(G594/G588)^(1/($D594-$D588-1))-1)</f>
        <v>3.0658743237672592E-3</v>
      </c>
      <c r="H604" s="287"/>
      <c r="I604" s="286">
        <f>IF(I595=0,"",(G594/I595)^(1/(TestYear-RebaseYear-1))-1)</f>
        <v>-2.376576108121331E-2</v>
      </c>
      <c r="J604" s="74"/>
      <c r="K604" s="75" t="str">
        <f t="shared" si="389"/>
        <v>Geometric Mean</v>
      </c>
      <c r="L604" s="129">
        <f>IF(L588=0,"",(L592/L588)^(1/($D592-$D588-1))-1)</f>
        <v>1.404094175212478E-2</v>
      </c>
      <c r="M604" s="129">
        <f>IF(M588=0,"",(M594/M588)^(1/($D594-$D588-1))-1)</f>
        <v>9.0484714197835991E-3</v>
      </c>
      <c r="N604" s="71"/>
      <c r="O604" s="286">
        <f>IF(O595=0,"",(M594/O595)^(1/(TestYear-RebaseYear-1))-1)</f>
        <v>-3.1410613847665636E-2</v>
      </c>
      <c r="P604" s="18"/>
      <c r="Q604" s="75" t="str">
        <f t="shared" si="391"/>
        <v>Geometric Mean</v>
      </c>
      <c r="R604" s="129">
        <f>IF(R588="","",IF(R588=0,"",(R592/R588)^(1/($D592-$D588-1))-1))</f>
        <v>1.252716579074864E-2</v>
      </c>
      <c r="S604" s="129">
        <f>IF(S588="","",IF(S588=0,"",(S594/S588)^(1/($D594-$D588-1))-1))</f>
        <v>5.9643112672429499E-3</v>
      </c>
      <c r="T604" s="287"/>
      <c r="U604" s="286">
        <f>IF(U595=0,"",(S594/U595)^(1/(TestYear-RebaseYear-1))-1)</f>
        <v>-7.8309615271423549E-3</v>
      </c>
    </row>
    <row r="606" spans="2:21" ht="15.75" thickBot="1" x14ac:dyDescent="0.3">
      <c r="Q606" s="71"/>
      <c r="R606" s="71"/>
      <c r="S606" s="71"/>
      <c r="T606" s="71"/>
      <c r="U606" s="71"/>
    </row>
    <row r="607" spans="2:21" ht="14.65" customHeight="1" x14ac:dyDescent="0.25">
      <c r="C607" s="13"/>
      <c r="D607" s="14" t="s">
        <v>23</v>
      </c>
      <c r="E607" s="14"/>
      <c r="F607" s="297" t="s">
        <v>10</v>
      </c>
      <c r="G607" s="298"/>
      <c r="H607" s="298"/>
      <c r="I607" s="299"/>
      <c r="K607" s="300" t="str">
        <f>IF(ISBLANK(N584),"",CONCATENATE("Demand (",N584,")"))</f>
        <v>Demand (kWh)</v>
      </c>
      <c r="L607" s="301"/>
      <c r="M607" s="301"/>
      <c r="N607" s="301"/>
      <c r="O607" s="302"/>
      <c r="Q607" s="303" t="str">
        <f>CONCATENATE("Demand (",N584,") per ",LEFT(F586,LEN(F586)-1))</f>
        <v>Demand (kWh) per Customer</v>
      </c>
      <c r="R607" s="304"/>
      <c r="S607" s="304"/>
      <c r="T607" s="304"/>
      <c r="U607" s="305"/>
    </row>
    <row r="608" spans="2:21" ht="39" thickBot="1" x14ac:dyDescent="0.3">
      <c r="C608" s="18"/>
      <c r="D608" s="19" t="str">
        <f>CONCATENATE("(for ",TestYear," Cost of Service")</f>
        <v>(for 2017 Cost of Service</v>
      </c>
      <c r="E608" s="26"/>
      <c r="F608" s="306"/>
      <c r="G608" s="307"/>
      <c r="H608" s="307"/>
      <c r="I608" s="86"/>
      <c r="K608" s="22"/>
      <c r="L608" s="23" t="s">
        <v>25</v>
      </c>
      <c r="M608" s="23" t="s">
        <v>26</v>
      </c>
      <c r="N608" s="24"/>
      <c r="O608" s="25" t="str">
        <f>M608</f>
        <v>Weather-normalized</v>
      </c>
      <c r="Q608" s="132"/>
      <c r="R608" s="23" t="str">
        <f>L608</f>
        <v>Actual (Weather actual)</v>
      </c>
      <c r="S608" s="23" t="str">
        <f>M608</f>
        <v>Weather-normalized</v>
      </c>
      <c r="T608" s="23"/>
      <c r="U608" s="133" t="str">
        <f>O608</f>
        <v>Weather-normalized</v>
      </c>
    </row>
    <row r="609" spans="3:21" x14ac:dyDescent="0.25">
      <c r="C609" s="26" t="s">
        <v>27</v>
      </c>
      <c r="D609" s="27">
        <f t="shared" ref="D609:D614" si="393">D610-1</f>
        <v>2012</v>
      </c>
      <c r="E609" s="91"/>
      <c r="F609" s="92" t="str">
        <f t="shared" ref="F609:F615" si="394">F588</f>
        <v>Actual</v>
      </c>
      <c r="G609" s="134">
        <v>2820254.8848120407</v>
      </c>
      <c r="H609" s="31" t="s">
        <v>50</v>
      </c>
      <c r="I609" s="135"/>
      <c r="K609" s="94" t="str">
        <f t="shared" ref="K609:K615" si="395">K588</f>
        <v>Actual</v>
      </c>
      <c r="L609" s="95"/>
      <c r="M609" s="95"/>
      <c r="N609" s="37" t="str">
        <f t="shared" ref="N609:N615" si="396">N588</f>
        <v/>
      </c>
      <c r="O609" s="35"/>
      <c r="Q609" s="96" t="str">
        <f>K609</f>
        <v>Actual</v>
      </c>
      <c r="R609" s="63">
        <f>IF(G609=0,"",L609/G609)</f>
        <v>0</v>
      </c>
      <c r="S609" s="28">
        <f>IF(G609=0,"",M609/G609)</f>
        <v>0</v>
      </c>
      <c r="T609" s="28" t="str">
        <f>N609</f>
        <v/>
      </c>
      <c r="U609" s="91" t="str">
        <f>IF(T609="","",IF(I609=0,"",O609/I609))</f>
        <v/>
      </c>
    </row>
    <row r="610" spans="3:21" x14ac:dyDescent="0.25">
      <c r="C610" s="26" t="s">
        <v>27</v>
      </c>
      <c r="D610" s="27">
        <f t="shared" si="393"/>
        <v>2013</v>
      </c>
      <c r="E610" s="91"/>
      <c r="F610" s="98" t="str">
        <f t="shared" si="394"/>
        <v>Actual</v>
      </c>
      <c r="G610" s="134">
        <v>2876133.0850934843</v>
      </c>
      <c r="H610" s="31" t="s">
        <v>50</v>
      </c>
      <c r="I610" s="35"/>
      <c r="K610" s="94" t="str">
        <f t="shared" si="395"/>
        <v>Actual</v>
      </c>
      <c r="L610" s="95"/>
      <c r="M610" s="95"/>
      <c r="N610" s="37" t="str">
        <f t="shared" si="396"/>
        <v/>
      </c>
      <c r="O610" s="35"/>
      <c r="Q610" s="96" t="str">
        <f t="shared" ref="Q610:Q615" si="397">K610</f>
        <v>Actual</v>
      </c>
      <c r="R610" s="63">
        <f t="shared" ref="R610:R615" si="398">IF(G610=0,"",L610/G610)</f>
        <v>0</v>
      </c>
      <c r="S610" s="28">
        <f t="shared" ref="S610:S615" si="399">IF(G610=0,"",M610/G610)</f>
        <v>0</v>
      </c>
      <c r="T610" s="28" t="str">
        <f t="shared" ref="T610:T615" si="400">N610</f>
        <v/>
      </c>
      <c r="U610" s="91" t="str">
        <f t="shared" ref="U610:U615" si="401">IF(T610="","",IF(I610=0,"",O610/I610))</f>
        <v/>
      </c>
    </row>
    <row r="611" spans="3:21" x14ac:dyDescent="0.25">
      <c r="C611" s="26" t="s">
        <v>27</v>
      </c>
      <c r="D611" s="27">
        <f t="shared" si="393"/>
        <v>2014</v>
      </c>
      <c r="E611" s="91"/>
      <c r="F611" s="98" t="str">
        <f t="shared" si="394"/>
        <v>Actual</v>
      </c>
      <c r="G611" s="134">
        <v>2740667.3193108975</v>
      </c>
      <c r="H611" s="31" t="s">
        <v>50</v>
      </c>
      <c r="I611" s="136"/>
      <c r="K611" s="94" t="str">
        <f t="shared" si="395"/>
        <v>Actual</v>
      </c>
      <c r="L611" s="95"/>
      <c r="M611" s="95"/>
      <c r="N611" s="37" t="str">
        <f t="shared" si="396"/>
        <v/>
      </c>
      <c r="O611" s="36"/>
      <c r="Q611" s="96" t="str">
        <f t="shared" si="397"/>
        <v>Actual</v>
      </c>
      <c r="R611" s="63">
        <f t="shared" si="398"/>
        <v>0</v>
      </c>
      <c r="S611" s="28">
        <f t="shared" si="399"/>
        <v>0</v>
      </c>
      <c r="T611" s="28" t="str">
        <f t="shared" si="400"/>
        <v/>
      </c>
      <c r="U611" s="91" t="str">
        <f t="shared" si="401"/>
        <v/>
      </c>
    </row>
    <row r="612" spans="3:21" x14ac:dyDescent="0.25">
      <c r="C612" s="26" t="s">
        <v>27</v>
      </c>
      <c r="D612" s="27">
        <f t="shared" si="393"/>
        <v>2015</v>
      </c>
      <c r="E612" s="91"/>
      <c r="F612" s="98" t="str">
        <f t="shared" si="394"/>
        <v>Actual</v>
      </c>
      <c r="G612" s="134">
        <v>3221322.5725222388</v>
      </c>
      <c r="H612" s="31" t="s">
        <v>29</v>
      </c>
      <c r="I612" s="137">
        <v>3140589.8793169712</v>
      </c>
      <c r="K612" s="94" t="str">
        <f t="shared" si="395"/>
        <v>Actual</v>
      </c>
      <c r="L612" s="95"/>
      <c r="M612" s="95"/>
      <c r="N612" s="37" t="str">
        <f t="shared" si="396"/>
        <v>Board-approved</v>
      </c>
      <c r="O612" s="35"/>
      <c r="Q612" s="96" t="str">
        <f t="shared" si="397"/>
        <v>Actual</v>
      </c>
      <c r="R612" s="63">
        <f t="shared" si="398"/>
        <v>0</v>
      </c>
      <c r="S612" s="28">
        <f t="shared" si="399"/>
        <v>0</v>
      </c>
      <c r="T612" s="28" t="str">
        <f t="shared" si="400"/>
        <v>Board-approved</v>
      </c>
      <c r="U612" s="91">
        <f t="shared" si="401"/>
        <v>0</v>
      </c>
    </row>
    <row r="613" spans="3:21" x14ac:dyDescent="0.25">
      <c r="C613" s="26" t="s">
        <v>27</v>
      </c>
      <c r="D613" s="27">
        <f t="shared" si="393"/>
        <v>2016</v>
      </c>
      <c r="E613" s="91"/>
      <c r="F613" s="98" t="str">
        <f t="shared" si="394"/>
        <v>Actual</v>
      </c>
      <c r="G613" s="134">
        <v>3188315.827648568</v>
      </c>
      <c r="H613" s="31" t="s">
        <v>50</v>
      </c>
      <c r="I613" s="35"/>
      <c r="K613" s="94" t="str">
        <f t="shared" si="395"/>
        <v>Actual</v>
      </c>
      <c r="L613" s="95"/>
      <c r="M613" s="95"/>
      <c r="N613" s="37" t="str">
        <f t="shared" si="396"/>
        <v/>
      </c>
      <c r="O613" s="35"/>
      <c r="Q613" s="96" t="str">
        <f t="shared" si="397"/>
        <v>Actual</v>
      </c>
      <c r="R613" s="63">
        <f t="shared" si="398"/>
        <v>0</v>
      </c>
      <c r="S613" s="28">
        <f t="shared" si="399"/>
        <v>0</v>
      </c>
      <c r="T613" s="28" t="str">
        <f t="shared" si="400"/>
        <v/>
      </c>
      <c r="U613" s="91" t="str">
        <f t="shared" si="401"/>
        <v/>
      </c>
    </row>
    <row r="614" spans="3:21" x14ac:dyDescent="0.25">
      <c r="C614" s="26" t="s">
        <v>45</v>
      </c>
      <c r="D614" s="27">
        <f t="shared" si="393"/>
        <v>2017</v>
      </c>
      <c r="E614" s="91"/>
      <c r="F614" s="98" t="str">
        <f t="shared" si="394"/>
        <v>Forecast</v>
      </c>
      <c r="G614" s="134">
        <v>3040949.9792335308</v>
      </c>
      <c r="H614" s="31" t="s">
        <v>50</v>
      </c>
      <c r="I614" s="35"/>
      <c r="K614" s="94" t="str">
        <f t="shared" si="395"/>
        <v>Forecast</v>
      </c>
      <c r="L614" s="102"/>
      <c r="M614" s="138"/>
      <c r="N614" s="37" t="str">
        <f t="shared" si="396"/>
        <v/>
      </c>
      <c r="O614" s="35"/>
      <c r="Q614" s="96" t="str">
        <f t="shared" si="397"/>
        <v>Forecast</v>
      </c>
      <c r="R614" s="63">
        <f t="shared" si="398"/>
        <v>0</v>
      </c>
      <c r="S614" s="28">
        <f t="shared" si="399"/>
        <v>0</v>
      </c>
      <c r="T614" s="28" t="str">
        <f t="shared" si="400"/>
        <v/>
      </c>
      <c r="U614" s="91" t="str">
        <f t="shared" si="401"/>
        <v/>
      </c>
    </row>
    <row r="615" spans="3:21" ht="15.75" thickBot="1" x14ac:dyDescent="0.3">
      <c r="C615" s="39" t="s">
        <v>46</v>
      </c>
      <c r="D615" s="104">
        <v>2018</v>
      </c>
      <c r="E615" s="18"/>
      <c r="F615" s="105" t="str">
        <f t="shared" si="394"/>
        <v>Forecast</v>
      </c>
      <c r="G615" s="139">
        <v>3058396.6744609852</v>
      </c>
      <c r="H615" s="43" t="s">
        <v>50</v>
      </c>
      <c r="I615" s="46"/>
      <c r="K615" s="108" t="str">
        <f t="shared" si="395"/>
        <v>Forecast</v>
      </c>
      <c r="L615" s="109"/>
      <c r="M615" s="140"/>
      <c r="N615" s="111" t="str">
        <f t="shared" si="396"/>
        <v/>
      </c>
      <c r="O615" s="46"/>
      <c r="Q615" s="141" t="str">
        <f t="shared" si="397"/>
        <v>Forecast</v>
      </c>
      <c r="R615" s="40">
        <f t="shared" si="398"/>
        <v>0</v>
      </c>
      <c r="S615" s="40">
        <f t="shared" si="399"/>
        <v>0</v>
      </c>
      <c r="T615" s="40" t="str">
        <f t="shared" si="400"/>
        <v/>
      </c>
      <c r="U615" s="18" t="str">
        <f t="shared" si="401"/>
        <v/>
      </c>
    </row>
    <row r="616" spans="3:21" ht="15.75" thickBot="1" x14ac:dyDescent="0.3">
      <c r="C616" s="114"/>
      <c r="I616" s="52">
        <f>SUM(I609:I614)</f>
        <v>3140589.8793169712</v>
      </c>
      <c r="J616" s="63"/>
      <c r="O616" s="52">
        <f>SUM(O609:O614)</f>
        <v>0</v>
      </c>
      <c r="U616" s="52">
        <f>SUM(U609:U614)</f>
        <v>0</v>
      </c>
    </row>
    <row r="617" spans="3:21" ht="39" thickBot="1" x14ac:dyDescent="0.3">
      <c r="C617" s="115" t="s">
        <v>33</v>
      </c>
      <c r="D617" s="116" t="s">
        <v>34</v>
      </c>
      <c r="E617" s="270"/>
      <c r="F617" s="270"/>
      <c r="G617" s="270" t="s">
        <v>35</v>
      </c>
      <c r="H617" s="270"/>
      <c r="I617" s="60" t="str">
        <f>I596</f>
        <v>Test Year Versus Board-approved</v>
      </c>
      <c r="J617" s="142"/>
      <c r="K617" s="58" t="s">
        <v>34</v>
      </c>
      <c r="L617" s="308" t="s">
        <v>35</v>
      </c>
      <c r="M617" s="308"/>
      <c r="N617" s="270"/>
      <c r="O617" s="60" t="str">
        <f>I617</f>
        <v>Test Year Versus Board-approved</v>
      </c>
      <c r="P617" s="143"/>
      <c r="Q617" s="58" t="s">
        <v>34</v>
      </c>
      <c r="R617" s="308" t="s">
        <v>35</v>
      </c>
      <c r="S617" s="308"/>
      <c r="T617" s="270"/>
      <c r="U617" s="60" t="str">
        <f>O617</f>
        <v>Test Year Versus Board-approved</v>
      </c>
    </row>
    <row r="618" spans="3:21" x14ac:dyDescent="0.25">
      <c r="C618" s="91"/>
      <c r="D618" s="144">
        <f>D609</f>
        <v>2012</v>
      </c>
      <c r="E618" s="51"/>
      <c r="F618" s="63"/>
      <c r="G618" s="120"/>
      <c r="H618" s="63"/>
      <c r="I618" s="121"/>
      <c r="J618" s="91"/>
      <c r="K618" s="27">
        <f>D618</f>
        <v>2012</v>
      </c>
      <c r="L618" s="65"/>
      <c r="M618" s="65"/>
      <c r="N618" s="63"/>
      <c r="O618" s="145"/>
      <c r="P618" s="91"/>
      <c r="Q618" s="27">
        <f>K618</f>
        <v>2012</v>
      </c>
      <c r="R618" s="123"/>
      <c r="S618" s="123"/>
      <c r="T618" s="63"/>
      <c r="U618" s="35"/>
    </row>
    <row r="619" spans="3:21" x14ac:dyDescent="0.25">
      <c r="C619" s="91"/>
      <c r="D619" s="124">
        <f>D610</f>
        <v>2013</v>
      </c>
      <c r="E619" s="63"/>
      <c r="F619" s="63"/>
      <c r="G619" s="125">
        <f>IF(G609=0,"",G610/G609-1)</f>
        <v>1.9813173831331854E-2</v>
      </c>
      <c r="H619" s="288"/>
      <c r="I619" s="121"/>
      <c r="J619" s="91"/>
      <c r="K619" s="27">
        <f t="shared" ref="K619:K625" si="402">D619</f>
        <v>2013</v>
      </c>
      <c r="L619" s="67" t="str">
        <f>IF(L609=0,"",L610/L609-1)</f>
        <v/>
      </c>
      <c r="M619" s="67" t="str">
        <f>IF(M609=0,"",M610/M609-1)</f>
        <v/>
      </c>
      <c r="N619" s="63"/>
      <c r="O619" s="145"/>
      <c r="P619" s="91"/>
      <c r="Q619" s="27">
        <f t="shared" ref="Q619:Q625" si="403">K619</f>
        <v>2013</v>
      </c>
      <c r="R619" s="126" t="str">
        <f>IF(R609="","",IF(R609=0,"",R610/R609-1))</f>
        <v/>
      </c>
      <c r="S619" s="126" t="str">
        <f>IF(S609="","",IF(S609=0,"",S610/S609-1))</f>
        <v/>
      </c>
      <c r="T619" s="63"/>
      <c r="U619" s="35"/>
    </row>
    <row r="620" spans="3:21" x14ac:dyDescent="0.25">
      <c r="C620" s="91"/>
      <c r="D620" s="146">
        <f t="shared" ref="D620:D624" si="404">D611</f>
        <v>2014</v>
      </c>
      <c r="E620" s="63"/>
      <c r="F620" s="63"/>
      <c r="G620" s="125">
        <f t="shared" ref="G620:G624" si="405">IF(G610=0,"",G611/G610-1)</f>
        <v>-4.7099964353069401E-2</v>
      </c>
      <c r="H620" s="288"/>
      <c r="I620" s="121"/>
      <c r="J620" s="91"/>
      <c r="K620" s="27">
        <f t="shared" si="402"/>
        <v>2014</v>
      </c>
      <c r="L620" s="67" t="str">
        <f t="shared" ref="L620:M624" si="406">IF(L610=0,"",L611/L610-1)</f>
        <v/>
      </c>
      <c r="M620" s="67" t="str">
        <f t="shared" si="406"/>
        <v/>
      </c>
      <c r="N620" s="63"/>
      <c r="O620" s="145"/>
      <c r="P620" s="91"/>
      <c r="Q620" s="27">
        <f t="shared" si="403"/>
        <v>2014</v>
      </c>
      <c r="R620" s="126" t="str">
        <f t="shared" ref="R620:S624" si="407">IF(R610="","",IF(R610=0,"",R611/R610-1))</f>
        <v/>
      </c>
      <c r="S620" s="126" t="str">
        <f t="shared" si="407"/>
        <v/>
      </c>
      <c r="T620" s="63"/>
      <c r="U620" s="35"/>
    </row>
    <row r="621" spans="3:21" x14ac:dyDescent="0.25">
      <c r="C621" s="91"/>
      <c r="D621" s="124">
        <f t="shared" si="404"/>
        <v>2015</v>
      </c>
      <c r="E621" s="63"/>
      <c r="F621" s="63"/>
      <c r="G621" s="125">
        <f t="shared" si="405"/>
        <v>0.17537891221769875</v>
      </c>
      <c r="H621" s="288"/>
      <c r="I621" s="121"/>
      <c r="J621" s="91"/>
      <c r="K621" s="27">
        <f t="shared" si="402"/>
        <v>2015</v>
      </c>
      <c r="L621" s="67" t="str">
        <f t="shared" si="406"/>
        <v/>
      </c>
      <c r="M621" s="67" t="str">
        <f t="shared" si="406"/>
        <v/>
      </c>
      <c r="N621" s="63"/>
      <c r="O621" s="145"/>
      <c r="P621" s="91"/>
      <c r="Q621" s="27">
        <f t="shared" si="403"/>
        <v>2015</v>
      </c>
      <c r="R621" s="126" t="str">
        <f t="shared" si="407"/>
        <v/>
      </c>
      <c r="S621" s="126" t="str">
        <f t="shared" si="407"/>
        <v/>
      </c>
      <c r="T621" s="63"/>
      <c r="U621" s="35"/>
    </row>
    <row r="622" spans="3:21" x14ac:dyDescent="0.25">
      <c r="C622" s="91"/>
      <c r="D622" s="124">
        <f t="shared" si="404"/>
        <v>2016</v>
      </c>
      <c r="E622" s="63"/>
      <c r="F622" s="63"/>
      <c r="G622" s="125">
        <f t="shared" si="405"/>
        <v>-1.0246333339981928E-2</v>
      </c>
      <c r="H622" s="288"/>
      <c r="I622" s="121"/>
      <c r="J622" s="91"/>
      <c r="K622" s="27">
        <f t="shared" si="402"/>
        <v>2016</v>
      </c>
      <c r="L622" s="67" t="str">
        <f t="shared" si="406"/>
        <v/>
      </c>
      <c r="M622" s="67" t="str">
        <f t="shared" si="406"/>
        <v/>
      </c>
      <c r="N622" s="63"/>
      <c r="O622" s="145"/>
      <c r="P622" s="91"/>
      <c r="Q622" s="27">
        <f t="shared" si="403"/>
        <v>2016</v>
      </c>
      <c r="R622" s="126" t="str">
        <f t="shared" si="407"/>
        <v/>
      </c>
      <c r="S622" s="126" t="str">
        <f t="shared" si="407"/>
        <v/>
      </c>
      <c r="T622" s="63"/>
      <c r="U622" s="35"/>
    </row>
    <row r="623" spans="3:21" x14ac:dyDescent="0.25">
      <c r="C623" s="91"/>
      <c r="D623" s="124">
        <f t="shared" si="404"/>
        <v>2017</v>
      </c>
      <c r="E623" s="63"/>
      <c r="F623" s="63"/>
      <c r="G623" s="125">
        <f t="shared" si="405"/>
        <v>-4.6220593059540738E-2</v>
      </c>
      <c r="H623" s="288"/>
      <c r="I623" s="121"/>
      <c r="J623" s="91"/>
      <c r="K623" s="27">
        <f t="shared" si="402"/>
        <v>2017</v>
      </c>
      <c r="L623" s="67" t="str">
        <f>IF(K614="Forecast","",IF(L613=0,"",L614/L613-1))</f>
        <v/>
      </c>
      <c r="M623" s="67" t="str">
        <f t="shared" si="406"/>
        <v/>
      </c>
      <c r="N623" s="63"/>
      <c r="O623" s="145"/>
      <c r="P623" s="91"/>
      <c r="Q623" s="27">
        <f t="shared" si="403"/>
        <v>2017</v>
      </c>
      <c r="R623" s="126" t="str">
        <f>IF(Q614="Forecast","",IF(R613=0,"",R614/R613-1))</f>
        <v/>
      </c>
      <c r="S623" s="126" t="str">
        <f t="shared" si="407"/>
        <v/>
      </c>
      <c r="T623" s="63"/>
      <c r="U623" s="35"/>
    </row>
    <row r="624" spans="3:21" x14ac:dyDescent="0.25">
      <c r="C624" s="91"/>
      <c r="D624" s="146">
        <f t="shared" si="404"/>
        <v>2018</v>
      </c>
      <c r="E624" s="63"/>
      <c r="F624" s="63"/>
      <c r="G624" s="125">
        <f t="shared" si="405"/>
        <v>5.737251630772322E-3</v>
      </c>
      <c r="H624" s="288"/>
      <c r="I624" s="127">
        <f>IF(I616=0,"",G615/I616-1)</f>
        <v>-2.6171263365932229E-2</v>
      </c>
      <c r="J624" s="91"/>
      <c r="K624" s="27">
        <f t="shared" si="402"/>
        <v>2018</v>
      </c>
      <c r="L624" s="67" t="str">
        <f>IF(K615="Forecast","",IF(L614=0,"",L615/L614-1))</f>
        <v/>
      </c>
      <c r="M624" s="67" t="str">
        <f t="shared" si="406"/>
        <v/>
      </c>
      <c r="N624" s="63"/>
      <c r="O624" s="147" t="str">
        <f>IF(O616=0,"",M615/O616-1)</f>
        <v/>
      </c>
      <c r="P624" s="91"/>
      <c r="Q624" s="27">
        <f t="shared" si="403"/>
        <v>2018</v>
      </c>
      <c r="R624" s="126" t="str">
        <f>IF(Q615="Forecast","",IF(R614=0,"",R615/R614-1))</f>
        <v/>
      </c>
      <c r="S624" s="126" t="str">
        <f t="shared" si="407"/>
        <v/>
      </c>
      <c r="T624" s="63"/>
      <c r="U624" s="68" t="str">
        <f>IF(U616=0,"",S615/U616-1)</f>
        <v/>
      </c>
    </row>
    <row r="625" spans="2:21" ht="30.75" thickBot="1" x14ac:dyDescent="0.3">
      <c r="C625" s="18"/>
      <c r="D625" s="128" t="s">
        <v>37</v>
      </c>
      <c r="E625" s="71"/>
      <c r="F625" s="71"/>
      <c r="G625" s="129">
        <f>IF(G609=0,"",(G615/G609)^(1/($D615-$D609-1))-1)</f>
        <v>1.6344849230244485E-2</v>
      </c>
      <c r="H625" s="287"/>
      <c r="I625" s="286">
        <f>IF(I616=0,"",(G615/I616)^(1/(TestYear-RebaseYear-1))-1)</f>
        <v>-2.6171263365932229E-2</v>
      </c>
      <c r="J625" s="91"/>
      <c r="K625" s="75" t="str">
        <f t="shared" si="402"/>
        <v>Geometric Mean</v>
      </c>
      <c r="L625" s="76" t="str">
        <f>IF(L609=0,"",(L613/L609)^(1/($D613-$D609-1))-1)</f>
        <v/>
      </c>
      <c r="M625" s="76" t="str">
        <f>IF(M609=0,"",(M615/M609)^(1/($D615-$D609-1))-1)</f>
        <v/>
      </c>
      <c r="N625" s="71"/>
      <c r="O625" s="77" t="str">
        <f>IF(O616=0,"",(M615/O616)^(1/(TestYear-RebaseYear-1))-1)</f>
        <v/>
      </c>
      <c r="P625" s="18"/>
      <c r="Q625" s="75" t="str">
        <f t="shared" si="403"/>
        <v>Geometric Mean</v>
      </c>
      <c r="R625" s="131" t="str">
        <f>IF(R609="","",IF(R609=0,"",(R613/R609)^(1/($D613-$D609-1))-1))</f>
        <v/>
      </c>
      <c r="S625" s="76" t="str">
        <f>IF(S609="","",IF(S609=0,"",(S615/S609)^(1/($D615-$D609-1))-1))</f>
        <v/>
      </c>
      <c r="T625" s="71"/>
      <c r="U625" s="77" t="str">
        <f>IF(U616=0,"",(S615/U616)^(1/(TestYear-RebaseYear-1))-1)</f>
        <v/>
      </c>
    </row>
    <row r="627" spans="2:21" x14ac:dyDescent="0.25">
      <c r="B627" s="82" t="s">
        <v>61</v>
      </c>
    </row>
    <row r="836" spans="2:2" x14ac:dyDescent="0.25">
      <c r="B836" s="82" t="s">
        <v>61</v>
      </c>
    </row>
  </sheetData>
  <mergeCells count="180">
    <mergeCell ref="B29:V29"/>
    <mergeCell ref="B31:V31"/>
    <mergeCell ref="K39:O39"/>
    <mergeCell ref="F40:H40"/>
    <mergeCell ref="L49:M49"/>
    <mergeCell ref="D61:F61"/>
    <mergeCell ref="B11:V11"/>
    <mergeCell ref="B12:V12"/>
    <mergeCell ref="B21:V21"/>
    <mergeCell ref="B23:V23"/>
    <mergeCell ref="B25:V25"/>
    <mergeCell ref="B27:V27"/>
    <mergeCell ref="F84:I84"/>
    <mergeCell ref="K84:O84"/>
    <mergeCell ref="Q84:U84"/>
    <mergeCell ref="F85:H85"/>
    <mergeCell ref="L94:M94"/>
    <mergeCell ref="R94:S94"/>
    <mergeCell ref="F63:I63"/>
    <mergeCell ref="K63:O63"/>
    <mergeCell ref="Q63:U63"/>
    <mergeCell ref="F64:H64"/>
    <mergeCell ref="L73:M73"/>
    <mergeCell ref="R73:S73"/>
    <mergeCell ref="F127:I127"/>
    <mergeCell ref="K127:O127"/>
    <mergeCell ref="Q127:U127"/>
    <mergeCell ref="F128:H128"/>
    <mergeCell ref="L137:M137"/>
    <mergeCell ref="R137:S137"/>
    <mergeCell ref="D104:F104"/>
    <mergeCell ref="F106:I106"/>
    <mergeCell ref="K106:O106"/>
    <mergeCell ref="Q106:U106"/>
    <mergeCell ref="F107:H107"/>
    <mergeCell ref="L116:M116"/>
    <mergeCell ref="R116:S116"/>
    <mergeCell ref="F170:I170"/>
    <mergeCell ref="K170:O170"/>
    <mergeCell ref="Q170:U170"/>
    <mergeCell ref="F171:H171"/>
    <mergeCell ref="L180:M180"/>
    <mergeCell ref="R180:S180"/>
    <mergeCell ref="D147:F147"/>
    <mergeCell ref="F149:I149"/>
    <mergeCell ref="K149:O149"/>
    <mergeCell ref="Q149:U149"/>
    <mergeCell ref="F150:H150"/>
    <mergeCell ref="L159:M159"/>
    <mergeCell ref="R159:S159"/>
    <mergeCell ref="F213:I213"/>
    <mergeCell ref="K213:O213"/>
    <mergeCell ref="Q213:U213"/>
    <mergeCell ref="F214:H214"/>
    <mergeCell ref="L223:M223"/>
    <mergeCell ref="R223:S223"/>
    <mergeCell ref="D190:F190"/>
    <mergeCell ref="F192:I192"/>
    <mergeCell ref="K192:O192"/>
    <mergeCell ref="Q192:U192"/>
    <mergeCell ref="F193:H193"/>
    <mergeCell ref="L202:M202"/>
    <mergeCell ref="R202:S202"/>
    <mergeCell ref="F256:I256"/>
    <mergeCell ref="K256:O256"/>
    <mergeCell ref="Q256:U256"/>
    <mergeCell ref="F257:H257"/>
    <mergeCell ref="L266:M266"/>
    <mergeCell ref="R266:S266"/>
    <mergeCell ref="D233:F233"/>
    <mergeCell ref="F235:I235"/>
    <mergeCell ref="K235:O235"/>
    <mergeCell ref="Q235:U235"/>
    <mergeCell ref="F236:H236"/>
    <mergeCell ref="L245:M245"/>
    <mergeCell ref="R245:S245"/>
    <mergeCell ref="F299:I299"/>
    <mergeCell ref="K299:O299"/>
    <mergeCell ref="Q299:U299"/>
    <mergeCell ref="F300:H300"/>
    <mergeCell ref="L309:M309"/>
    <mergeCell ref="R309:S309"/>
    <mergeCell ref="D276:F276"/>
    <mergeCell ref="F278:I278"/>
    <mergeCell ref="K278:O278"/>
    <mergeCell ref="Q278:U278"/>
    <mergeCell ref="F279:H279"/>
    <mergeCell ref="L288:M288"/>
    <mergeCell ref="R288:S288"/>
    <mergeCell ref="F342:I342"/>
    <mergeCell ref="K342:O342"/>
    <mergeCell ref="Q342:U342"/>
    <mergeCell ref="F343:H343"/>
    <mergeCell ref="L352:M352"/>
    <mergeCell ref="R352:S352"/>
    <mergeCell ref="D319:F319"/>
    <mergeCell ref="F321:I321"/>
    <mergeCell ref="K321:O321"/>
    <mergeCell ref="Q321:U321"/>
    <mergeCell ref="F322:H322"/>
    <mergeCell ref="L331:M331"/>
    <mergeCell ref="R331:S331"/>
    <mergeCell ref="F385:I385"/>
    <mergeCell ref="K385:O385"/>
    <mergeCell ref="Q385:U385"/>
    <mergeCell ref="F386:H386"/>
    <mergeCell ref="L395:M395"/>
    <mergeCell ref="R395:S395"/>
    <mergeCell ref="D362:F362"/>
    <mergeCell ref="F364:I364"/>
    <mergeCell ref="K364:O364"/>
    <mergeCell ref="Q364:U364"/>
    <mergeCell ref="F365:H365"/>
    <mergeCell ref="L374:M374"/>
    <mergeCell ref="R374:S374"/>
    <mergeCell ref="F428:I428"/>
    <mergeCell ref="K428:O428"/>
    <mergeCell ref="Q428:U428"/>
    <mergeCell ref="F429:H429"/>
    <mergeCell ref="L438:M438"/>
    <mergeCell ref="R438:S438"/>
    <mergeCell ref="D405:F405"/>
    <mergeCell ref="F407:I407"/>
    <mergeCell ref="K407:O407"/>
    <mergeCell ref="Q407:U407"/>
    <mergeCell ref="F408:H408"/>
    <mergeCell ref="L417:M417"/>
    <mergeCell ref="R417:S417"/>
    <mergeCell ref="F471:I471"/>
    <mergeCell ref="K471:O471"/>
    <mergeCell ref="Q471:U471"/>
    <mergeCell ref="F472:H472"/>
    <mergeCell ref="L481:M481"/>
    <mergeCell ref="R481:S481"/>
    <mergeCell ref="D448:F448"/>
    <mergeCell ref="F450:I450"/>
    <mergeCell ref="K450:O450"/>
    <mergeCell ref="Q450:U450"/>
    <mergeCell ref="F451:H451"/>
    <mergeCell ref="L460:M460"/>
    <mergeCell ref="R460:S460"/>
    <mergeCell ref="F518:I518"/>
    <mergeCell ref="K518:O518"/>
    <mergeCell ref="Q518:U518"/>
    <mergeCell ref="F519:H519"/>
    <mergeCell ref="L528:M528"/>
    <mergeCell ref="R528:S528"/>
    <mergeCell ref="D495:F495"/>
    <mergeCell ref="F497:I497"/>
    <mergeCell ref="K497:O497"/>
    <mergeCell ref="Q497:U497"/>
    <mergeCell ref="F498:H498"/>
    <mergeCell ref="L507:M507"/>
    <mergeCell ref="R507:S507"/>
    <mergeCell ref="F563:I563"/>
    <mergeCell ref="K563:O563"/>
    <mergeCell ref="Q563:U563"/>
    <mergeCell ref="F564:H564"/>
    <mergeCell ref="L573:M573"/>
    <mergeCell ref="R573:S573"/>
    <mergeCell ref="D540:F540"/>
    <mergeCell ref="F542:I542"/>
    <mergeCell ref="K542:O542"/>
    <mergeCell ref="Q542:U542"/>
    <mergeCell ref="F543:H543"/>
    <mergeCell ref="L552:M552"/>
    <mergeCell ref="R552:S552"/>
    <mergeCell ref="F607:I607"/>
    <mergeCell ref="K607:O607"/>
    <mergeCell ref="Q607:U607"/>
    <mergeCell ref="F608:H608"/>
    <mergeCell ref="L617:M617"/>
    <mergeCell ref="R617:S617"/>
    <mergeCell ref="D584:F584"/>
    <mergeCell ref="F586:I586"/>
    <mergeCell ref="K586:O586"/>
    <mergeCell ref="Q586:U586"/>
    <mergeCell ref="F587:H587"/>
    <mergeCell ref="L596:M596"/>
    <mergeCell ref="R596:S596"/>
  </mergeCells>
  <conditionalFormatting sqref="I65">
    <cfRule type="expression" dxfId="466" priority="465">
      <formula>$H$65="Board-approved"</formula>
    </cfRule>
  </conditionalFormatting>
  <conditionalFormatting sqref="I66">
    <cfRule type="expression" dxfId="465" priority="464">
      <formula>$H$66="Board-approved"</formula>
    </cfRule>
  </conditionalFormatting>
  <conditionalFormatting sqref="I68">
    <cfRule type="expression" dxfId="464" priority="463">
      <formula>$H$68="Board-approved"</formula>
    </cfRule>
  </conditionalFormatting>
  <conditionalFormatting sqref="I69">
    <cfRule type="expression" dxfId="463" priority="462">
      <formula>$H$69="Board-approved"</formula>
    </cfRule>
  </conditionalFormatting>
  <conditionalFormatting sqref="L65">
    <cfRule type="expression" dxfId="462" priority="461">
      <formula>$K$65="Forecastl"</formula>
    </cfRule>
  </conditionalFormatting>
  <conditionalFormatting sqref="L66">
    <cfRule type="expression" dxfId="461" priority="460">
      <formula>$K$66="Forecast"</formula>
    </cfRule>
  </conditionalFormatting>
  <conditionalFormatting sqref="L67">
    <cfRule type="expression" dxfId="460" priority="459">
      <formula>$K$67="Forecast"</formula>
    </cfRule>
  </conditionalFormatting>
  <conditionalFormatting sqref="L68">
    <cfRule type="expression" dxfId="459" priority="458">
      <formula>$K$68="Forecast"</formula>
    </cfRule>
  </conditionalFormatting>
  <conditionalFormatting sqref="L69">
    <cfRule type="expression" dxfId="458" priority="457">
      <formula>$K$69="Forecast"</formula>
    </cfRule>
  </conditionalFormatting>
  <conditionalFormatting sqref="L70">
    <cfRule type="expression" dxfId="457" priority="456">
      <formula>$K$70="Forecast"</formula>
    </cfRule>
  </conditionalFormatting>
  <conditionalFormatting sqref="L71">
    <cfRule type="expression" dxfId="456" priority="455">
      <formula>$K$71="Forecast"</formula>
    </cfRule>
  </conditionalFormatting>
  <conditionalFormatting sqref="O65">
    <cfRule type="expression" dxfId="455" priority="454">
      <formula>$H$65="Board-approved"</formula>
    </cfRule>
  </conditionalFormatting>
  <conditionalFormatting sqref="O66">
    <cfRule type="expression" dxfId="454" priority="453">
      <formula>$H$66="Board-approved"</formula>
    </cfRule>
  </conditionalFormatting>
  <conditionalFormatting sqref="O67">
    <cfRule type="expression" dxfId="453" priority="452">
      <formula>$H$67="Board-approved"</formula>
    </cfRule>
  </conditionalFormatting>
  <conditionalFormatting sqref="O68">
    <cfRule type="expression" dxfId="452" priority="451">
      <formula>$H$68="Board-approved"</formula>
    </cfRule>
  </conditionalFormatting>
  <conditionalFormatting sqref="O69">
    <cfRule type="expression" dxfId="451" priority="450">
      <formula>$H$69="Board-approved"</formula>
    </cfRule>
  </conditionalFormatting>
  <conditionalFormatting sqref="L86">
    <cfRule type="expression" dxfId="450" priority="449">
      <formula>$K$65="Forecastl"</formula>
    </cfRule>
  </conditionalFormatting>
  <conditionalFormatting sqref="L87">
    <cfRule type="expression" dxfId="449" priority="448">
      <formula>$K$66="Forecast"</formula>
    </cfRule>
  </conditionalFormatting>
  <conditionalFormatting sqref="L88">
    <cfRule type="expression" dxfId="448" priority="447">
      <formula>$K$67="Forecast"</formula>
    </cfRule>
  </conditionalFormatting>
  <conditionalFormatting sqref="L89">
    <cfRule type="expression" dxfId="447" priority="446">
      <formula>$K$68="Forecast"</formula>
    </cfRule>
  </conditionalFormatting>
  <conditionalFormatting sqref="L90">
    <cfRule type="expression" dxfId="446" priority="445">
      <formula>$K$69="Forecast"</formula>
    </cfRule>
  </conditionalFormatting>
  <conditionalFormatting sqref="L91">
    <cfRule type="expression" dxfId="445" priority="444">
      <formula>$K$70="Forecast"</formula>
    </cfRule>
  </conditionalFormatting>
  <conditionalFormatting sqref="L92">
    <cfRule type="expression" dxfId="444" priority="443">
      <formula>$K$71="Forecast"</formula>
    </cfRule>
  </conditionalFormatting>
  <conditionalFormatting sqref="O86">
    <cfRule type="expression" dxfId="443" priority="442">
      <formula>$H$65="Board-approved"</formula>
    </cfRule>
  </conditionalFormatting>
  <conditionalFormatting sqref="O87">
    <cfRule type="expression" dxfId="442" priority="441">
      <formula>$H$66="Board-approved"</formula>
    </cfRule>
  </conditionalFormatting>
  <conditionalFormatting sqref="O88">
    <cfRule type="expression" dxfId="441" priority="440">
      <formula>$H$67="Board-approved"</formula>
    </cfRule>
  </conditionalFormatting>
  <conditionalFormatting sqref="O89">
    <cfRule type="expression" dxfId="440" priority="439">
      <formula>$H$68="Board-approved"</formula>
    </cfRule>
  </conditionalFormatting>
  <conditionalFormatting sqref="O90">
    <cfRule type="expression" dxfId="439" priority="438">
      <formula>$H$69="Board-approved"</formula>
    </cfRule>
  </conditionalFormatting>
  <conditionalFormatting sqref="I86">
    <cfRule type="expression" dxfId="438" priority="437">
      <formula>$H$65="Board-approved"</formula>
    </cfRule>
  </conditionalFormatting>
  <conditionalFormatting sqref="I87">
    <cfRule type="expression" dxfId="437" priority="436">
      <formula>$H$66="Board-approved"</formula>
    </cfRule>
  </conditionalFormatting>
  <conditionalFormatting sqref="I88">
    <cfRule type="expression" dxfId="436" priority="435">
      <formula>$H$67="Board-approved"</formula>
    </cfRule>
  </conditionalFormatting>
  <conditionalFormatting sqref="I89">
    <cfRule type="expression" dxfId="435" priority="434">
      <formula>$H$68="Board-approved"</formula>
    </cfRule>
  </conditionalFormatting>
  <conditionalFormatting sqref="I90">
    <cfRule type="expression" dxfId="434" priority="433">
      <formula>$H$69="Board-approved"</formula>
    </cfRule>
  </conditionalFormatting>
  <conditionalFormatting sqref="K84:U102">
    <cfRule type="expression" dxfId="433" priority="432">
      <formula>$N$61="kWh"</formula>
    </cfRule>
  </conditionalFormatting>
  <conditionalFormatting sqref="L41">
    <cfRule type="expression" dxfId="432" priority="431">
      <formula>$K$65="Forecastl"</formula>
    </cfRule>
  </conditionalFormatting>
  <conditionalFormatting sqref="L42">
    <cfRule type="expression" dxfId="431" priority="430">
      <formula>$K$66="Forecast"</formula>
    </cfRule>
  </conditionalFormatting>
  <conditionalFormatting sqref="L43">
    <cfRule type="expression" dxfId="430" priority="429">
      <formula>$K$67="Forecast"</formula>
    </cfRule>
  </conditionalFormatting>
  <conditionalFormatting sqref="L44">
    <cfRule type="expression" dxfId="429" priority="428">
      <formula>$K$68="Forecast"</formula>
    </cfRule>
  </conditionalFormatting>
  <conditionalFormatting sqref="L45">
    <cfRule type="expression" dxfId="428" priority="427">
      <formula>$K$69="Forecast"</formula>
    </cfRule>
  </conditionalFormatting>
  <conditionalFormatting sqref="L46">
    <cfRule type="expression" dxfId="427" priority="426">
      <formula>$K$70="Forecast"</formula>
    </cfRule>
  </conditionalFormatting>
  <conditionalFormatting sqref="L47">
    <cfRule type="expression" dxfId="426" priority="425">
      <formula>$K$71="Forecast"</formula>
    </cfRule>
  </conditionalFormatting>
  <conditionalFormatting sqref="O41">
    <cfRule type="expression" dxfId="425" priority="424">
      <formula>$H$65="Board-approved"</formula>
    </cfRule>
  </conditionalFormatting>
  <conditionalFormatting sqref="O42">
    <cfRule type="expression" dxfId="424" priority="423">
      <formula>$H$66="Board-approved"</formula>
    </cfRule>
  </conditionalFormatting>
  <conditionalFormatting sqref="O43">
    <cfRule type="expression" dxfId="423" priority="422">
      <formula>$H$67="Board-approved"</formula>
    </cfRule>
  </conditionalFormatting>
  <conditionalFormatting sqref="O44">
    <cfRule type="expression" dxfId="422" priority="421">
      <formula>$H$68="Board-approved"</formula>
    </cfRule>
  </conditionalFormatting>
  <conditionalFormatting sqref="O45">
    <cfRule type="expression" dxfId="421" priority="420">
      <formula>$H$69="Board-approved"</formula>
    </cfRule>
  </conditionalFormatting>
  <conditionalFormatting sqref="I108">
    <cfRule type="expression" dxfId="420" priority="419">
      <formula>$H$65="Board-approved"</formula>
    </cfRule>
  </conditionalFormatting>
  <conditionalFormatting sqref="I109">
    <cfRule type="expression" dxfId="419" priority="418">
      <formula>$H$66="Board-approved"</formula>
    </cfRule>
  </conditionalFormatting>
  <conditionalFormatting sqref="I110">
    <cfRule type="expression" dxfId="418" priority="417">
      <formula>$H$67="Board-approved"</formula>
    </cfRule>
  </conditionalFormatting>
  <conditionalFormatting sqref="I111">
    <cfRule type="expression" dxfId="417" priority="416">
      <formula>$H$68="Board-approved"</formula>
    </cfRule>
  </conditionalFormatting>
  <conditionalFormatting sqref="I112">
    <cfRule type="expression" dxfId="416" priority="415">
      <formula>$H$69="Board-approved"</formula>
    </cfRule>
  </conditionalFormatting>
  <conditionalFormatting sqref="L108">
    <cfRule type="expression" dxfId="415" priority="414">
      <formula>$K$65="Forecastl"</formula>
    </cfRule>
  </conditionalFormatting>
  <conditionalFormatting sqref="L109">
    <cfRule type="expression" dxfId="414" priority="413">
      <formula>$K$66="Forecast"</formula>
    </cfRule>
  </conditionalFormatting>
  <conditionalFormatting sqref="L110">
    <cfRule type="expression" dxfId="413" priority="412">
      <formula>$K$67="Forecast"</formula>
    </cfRule>
  </conditionalFormatting>
  <conditionalFormatting sqref="L111">
    <cfRule type="expression" dxfId="412" priority="411">
      <formula>$K$68="Forecast"</formula>
    </cfRule>
  </conditionalFormatting>
  <conditionalFormatting sqref="L112">
    <cfRule type="expression" dxfId="411" priority="410">
      <formula>$K$69="Forecast"</formula>
    </cfRule>
  </conditionalFormatting>
  <conditionalFormatting sqref="L113">
    <cfRule type="expression" dxfId="410" priority="409">
      <formula>$K$70="Forecast"</formula>
    </cfRule>
  </conditionalFormatting>
  <conditionalFormatting sqref="L114">
    <cfRule type="expression" dxfId="409" priority="408">
      <formula>$K$71="Forecast"</formula>
    </cfRule>
  </conditionalFormatting>
  <conditionalFormatting sqref="O108">
    <cfRule type="expression" dxfId="408" priority="407">
      <formula>$H$65="Board-approved"</formula>
    </cfRule>
  </conditionalFormatting>
  <conditionalFormatting sqref="O109">
    <cfRule type="expression" dxfId="407" priority="406">
      <formula>$H$66="Board-approved"</formula>
    </cfRule>
  </conditionalFormatting>
  <conditionalFormatting sqref="O110">
    <cfRule type="expression" dxfId="406" priority="405">
      <formula>$H$67="Board-approved"</formula>
    </cfRule>
  </conditionalFormatting>
  <conditionalFormatting sqref="O111">
    <cfRule type="expression" dxfId="405" priority="404">
      <formula>$H$68="Board-approved"</formula>
    </cfRule>
  </conditionalFormatting>
  <conditionalFormatting sqref="O112">
    <cfRule type="expression" dxfId="404" priority="403">
      <formula>$H$69="Board-approved"</formula>
    </cfRule>
  </conditionalFormatting>
  <conditionalFormatting sqref="L129">
    <cfRule type="expression" dxfId="403" priority="402">
      <formula>$K$65="Forecastl"</formula>
    </cfRule>
  </conditionalFormatting>
  <conditionalFormatting sqref="L130">
    <cfRule type="expression" dxfId="402" priority="401">
      <formula>$K$66="Forecast"</formula>
    </cfRule>
  </conditionalFormatting>
  <conditionalFormatting sqref="L131">
    <cfRule type="expression" dxfId="401" priority="400">
      <formula>$K$67="Forecast"</formula>
    </cfRule>
  </conditionalFormatting>
  <conditionalFormatting sqref="L132">
    <cfRule type="expression" dxfId="400" priority="399">
      <formula>$K$68="Forecast"</formula>
    </cfRule>
  </conditionalFormatting>
  <conditionalFormatting sqref="L133">
    <cfRule type="expression" dxfId="399" priority="398">
      <formula>$K$69="Forecast"</formula>
    </cfRule>
  </conditionalFormatting>
  <conditionalFormatting sqref="L134">
    <cfRule type="expression" dxfId="398" priority="397">
      <formula>$K$70="Forecast"</formula>
    </cfRule>
  </conditionalFormatting>
  <conditionalFormatting sqref="L135">
    <cfRule type="expression" dxfId="397" priority="396">
      <formula>$K$71="Forecast"</formula>
    </cfRule>
  </conditionalFormatting>
  <conditionalFormatting sqref="O129">
    <cfRule type="expression" dxfId="396" priority="395">
      <formula>$H$65="Board-approved"</formula>
    </cfRule>
  </conditionalFormatting>
  <conditionalFormatting sqref="O130">
    <cfRule type="expression" dxfId="395" priority="394">
      <formula>$H$66="Board-approved"</formula>
    </cfRule>
  </conditionalFormatting>
  <conditionalFormatting sqref="O131">
    <cfRule type="expression" dxfId="394" priority="393">
      <formula>$H$67="Board-approved"</formula>
    </cfRule>
  </conditionalFormatting>
  <conditionalFormatting sqref="O132">
    <cfRule type="expression" dxfId="393" priority="392">
      <formula>$H$68="Board-approved"</formula>
    </cfRule>
  </conditionalFormatting>
  <conditionalFormatting sqref="O133">
    <cfRule type="expression" dxfId="392" priority="391">
      <formula>$H$69="Board-approved"</formula>
    </cfRule>
  </conditionalFormatting>
  <conditionalFormatting sqref="I129">
    <cfRule type="expression" dxfId="391" priority="390">
      <formula>$H$65="Board-approved"</formula>
    </cfRule>
  </conditionalFormatting>
  <conditionalFormatting sqref="I130">
    <cfRule type="expression" dxfId="390" priority="389">
      <formula>$H$66="Board-approved"</formula>
    </cfRule>
  </conditionalFormatting>
  <conditionalFormatting sqref="I131">
    <cfRule type="expression" dxfId="389" priority="388">
      <formula>$H$67="Board-approved"</formula>
    </cfRule>
  </conditionalFormatting>
  <conditionalFormatting sqref="K127:U145">
    <cfRule type="expression" dxfId="388" priority="387">
      <formula>$N$104="kWh"</formula>
    </cfRule>
  </conditionalFormatting>
  <conditionalFormatting sqref="I151">
    <cfRule type="expression" dxfId="387" priority="386">
      <formula>$H$65="Board-approved"</formula>
    </cfRule>
  </conditionalFormatting>
  <conditionalFormatting sqref="I152">
    <cfRule type="expression" dxfId="386" priority="385">
      <formula>$H$66="Board-approved"</formula>
    </cfRule>
  </conditionalFormatting>
  <conditionalFormatting sqref="I153">
    <cfRule type="expression" dxfId="385" priority="384">
      <formula>$H$67="Board-approved"</formula>
    </cfRule>
  </conditionalFormatting>
  <conditionalFormatting sqref="I154">
    <cfRule type="expression" dxfId="384" priority="383">
      <formula>$H$68="Board-approved"</formula>
    </cfRule>
  </conditionalFormatting>
  <conditionalFormatting sqref="I155">
    <cfRule type="expression" dxfId="383" priority="382">
      <formula>$H$69="Board-approved"</formula>
    </cfRule>
  </conditionalFormatting>
  <conditionalFormatting sqref="L151">
    <cfRule type="expression" dxfId="382" priority="381">
      <formula>$K$65="Forecastl"</formula>
    </cfRule>
  </conditionalFormatting>
  <conditionalFormatting sqref="L152">
    <cfRule type="expression" dxfId="381" priority="380">
      <formula>$K$66="Forecast"</formula>
    </cfRule>
  </conditionalFormatting>
  <conditionalFormatting sqref="L153">
    <cfRule type="expression" dxfId="380" priority="379">
      <formula>$K$67="Forecast"</formula>
    </cfRule>
  </conditionalFormatting>
  <conditionalFormatting sqref="L154">
    <cfRule type="expression" dxfId="379" priority="378">
      <formula>$K$68="Forecast"</formula>
    </cfRule>
  </conditionalFormatting>
  <conditionalFormatting sqref="L155">
    <cfRule type="expression" dxfId="378" priority="377">
      <formula>$K$69="Forecast"</formula>
    </cfRule>
  </conditionalFormatting>
  <conditionalFormatting sqref="L156">
    <cfRule type="expression" dxfId="377" priority="376">
      <formula>$K$70="Forecast"</formula>
    </cfRule>
  </conditionalFormatting>
  <conditionalFormatting sqref="L157">
    <cfRule type="expression" dxfId="376" priority="375">
      <formula>$K$71="Forecast"</formula>
    </cfRule>
  </conditionalFormatting>
  <conditionalFormatting sqref="O151">
    <cfRule type="expression" dxfId="375" priority="374">
      <formula>$H$65="Board-approved"</formula>
    </cfRule>
  </conditionalFormatting>
  <conditionalFormatting sqref="O152">
    <cfRule type="expression" dxfId="374" priority="373">
      <formula>$H$66="Board-approved"</formula>
    </cfRule>
  </conditionalFormatting>
  <conditionalFormatting sqref="O153">
    <cfRule type="expression" dxfId="373" priority="372">
      <formula>$H$67="Board-approved"</formula>
    </cfRule>
  </conditionalFormatting>
  <conditionalFormatting sqref="O154">
    <cfRule type="expression" dxfId="372" priority="371">
      <formula>$H$68="Board-approved"</formula>
    </cfRule>
  </conditionalFormatting>
  <conditionalFormatting sqref="O155">
    <cfRule type="expression" dxfId="371" priority="370">
      <formula>$H$69="Board-approved"</formula>
    </cfRule>
  </conditionalFormatting>
  <conditionalFormatting sqref="L172">
    <cfRule type="expression" dxfId="370" priority="369">
      <formula>$K$65="Forecastl"</formula>
    </cfRule>
  </conditionalFormatting>
  <conditionalFormatting sqref="L173">
    <cfRule type="expression" dxfId="369" priority="368">
      <formula>$K$66="Forecast"</formula>
    </cfRule>
  </conditionalFormatting>
  <conditionalFormatting sqref="L174">
    <cfRule type="expression" dxfId="368" priority="367">
      <formula>$K$67="Forecast"</formula>
    </cfRule>
  </conditionalFormatting>
  <conditionalFormatting sqref="L175">
    <cfRule type="expression" dxfId="367" priority="366">
      <formula>$K$68="Forecast"</formula>
    </cfRule>
  </conditionalFormatting>
  <conditionalFormatting sqref="L176">
    <cfRule type="expression" dxfId="366" priority="365">
      <formula>$K$69="Forecast"</formula>
    </cfRule>
  </conditionalFormatting>
  <conditionalFormatting sqref="L177">
    <cfRule type="expression" dxfId="365" priority="364">
      <formula>$K$70="Forecast"</formula>
    </cfRule>
  </conditionalFormatting>
  <conditionalFormatting sqref="L178">
    <cfRule type="expression" dxfId="364" priority="363">
      <formula>$K$71="Forecast"</formula>
    </cfRule>
  </conditionalFormatting>
  <conditionalFormatting sqref="O172">
    <cfRule type="expression" dxfId="363" priority="362">
      <formula>$H$65="Board-approved"</formula>
    </cfRule>
  </conditionalFormatting>
  <conditionalFormatting sqref="O173">
    <cfRule type="expression" dxfId="362" priority="361">
      <formula>$H$66="Board-approved"</formula>
    </cfRule>
  </conditionalFormatting>
  <conditionalFormatting sqref="O174">
    <cfRule type="expression" dxfId="361" priority="360">
      <formula>$H$67="Board-approved"</formula>
    </cfRule>
  </conditionalFormatting>
  <conditionalFormatting sqref="O175">
    <cfRule type="expression" dxfId="360" priority="359">
      <formula>$H$68="Board-approved"</formula>
    </cfRule>
  </conditionalFormatting>
  <conditionalFormatting sqref="O176">
    <cfRule type="expression" dxfId="359" priority="358">
      <formula>$H$69="Board-approved"</formula>
    </cfRule>
  </conditionalFormatting>
  <conditionalFormatting sqref="I172">
    <cfRule type="expression" dxfId="358" priority="357">
      <formula>$H$65="Board-approved"</formula>
    </cfRule>
  </conditionalFormatting>
  <conditionalFormatting sqref="I173">
    <cfRule type="expression" dxfId="357" priority="356">
      <formula>$H$66="Board-approved"</formula>
    </cfRule>
  </conditionalFormatting>
  <conditionalFormatting sqref="I174">
    <cfRule type="expression" dxfId="356" priority="355">
      <formula>$H$67="Board-approved"</formula>
    </cfRule>
  </conditionalFormatting>
  <conditionalFormatting sqref="I175">
    <cfRule type="expression" dxfId="355" priority="354">
      <formula>$H$68="Board-approved"</formula>
    </cfRule>
  </conditionalFormatting>
  <conditionalFormatting sqref="I176">
    <cfRule type="expression" dxfId="354" priority="353">
      <formula>$H$69="Board-approved"</formula>
    </cfRule>
  </conditionalFormatting>
  <conditionalFormatting sqref="K170:U188">
    <cfRule type="expression" dxfId="353" priority="352">
      <formula>$N$147="kWh"</formula>
    </cfRule>
  </conditionalFormatting>
  <conditionalFormatting sqref="I194">
    <cfRule type="expression" dxfId="352" priority="351">
      <formula>$H$65="Board-approved"</formula>
    </cfRule>
  </conditionalFormatting>
  <conditionalFormatting sqref="I195">
    <cfRule type="expression" dxfId="351" priority="350">
      <formula>$H$66="Board-approved"</formula>
    </cfRule>
  </conditionalFormatting>
  <conditionalFormatting sqref="I196">
    <cfRule type="expression" dxfId="350" priority="349">
      <formula>$H$67="Board-approved"</formula>
    </cfRule>
  </conditionalFormatting>
  <conditionalFormatting sqref="I197">
    <cfRule type="expression" dxfId="349" priority="348">
      <formula>$H$68="Board-approved"</formula>
    </cfRule>
  </conditionalFormatting>
  <conditionalFormatting sqref="I198">
    <cfRule type="expression" dxfId="348" priority="347">
      <formula>$H$69="Board-approved"</formula>
    </cfRule>
  </conditionalFormatting>
  <conditionalFormatting sqref="L194">
    <cfRule type="expression" dxfId="347" priority="346">
      <formula>$K$65="Forecastl"</formula>
    </cfRule>
  </conditionalFormatting>
  <conditionalFormatting sqref="L195">
    <cfRule type="expression" dxfId="346" priority="345">
      <formula>$K$66="Forecast"</formula>
    </cfRule>
  </conditionalFormatting>
  <conditionalFormatting sqref="L196">
    <cfRule type="expression" dxfId="345" priority="344">
      <formula>$K$67="Forecast"</formula>
    </cfRule>
  </conditionalFormatting>
  <conditionalFormatting sqref="L197">
    <cfRule type="expression" dxfId="344" priority="343">
      <formula>$K$68="Forecast"</formula>
    </cfRule>
  </conditionalFormatting>
  <conditionalFormatting sqref="L198">
    <cfRule type="expression" dxfId="343" priority="342">
      <formula>$K$69="Forecast"</formula>
    </cfRule>
  </conditionalFormatting>
  <conditionalFormatting sqref="L199">
    <cfRule type="expression" dxfId="342" priority="341">
      <formula>$K$70="Forecast"</formula>
    </cfRule>
  </conditionalFormatting>
  <conditionalFormatting sqref="L200">
    <cfRule type="expression" dxfId="341" priority="340">
      <formula>$K$71="Forecast"</formula>
    </cfRule>
  </conditionalFormatting>
  <conditionalFormatting sqref="O194">
    <cfRule type="expression" dxfId="340" priority="339">
      <formula>$H$65="Board-approved"</formula>
    </cfRule>
  </conditionalFormatting>
  <conditionalFormatting sqref="O195">
    <cfRule type="expression" dxfId="339" priority="338">
      <formula>$H$66="Board-approved"</formula>
    </cfRule>
  </conditionalFormatting>
  <conditionalFormatting sqref="O196">
    <cfRule type="expression" dxfId="338" priority="337">
      <formula>$H$67="Board-approved"</formula>
    </cfRule>
  </conditionalFormatting>
  <conditionalFormatting sqref="O197">
    <cfRule type="expression" dxfId="337" priority="336">
      <formula>$H$68="Board-approved"</formula>
    </cfRule>
  </conditionalFormatting>
  <conditionalFormatting sqref="O198">
    <cfRule type="expression" dxfId="336" priority="335">
      <formula>$H$69="Board-approved"</formula>
    </cfRule>
  </conditionalFormatting>
  <conditionalFormatting sqref="L215">
    <cfRule type="expression" dxfId="335" priority="334">
      <formula>$K$65="Forecastl"</formula>
    </cfRule>
  </conditionalFormatting>
  <conditionalFormatting sqref="L216">
    <cfRule type="expression" dxfId="334" priority="333">
      <formula>$K$66="Forecast"</formula>
    </cfRule>
  </conditionalFormatting>
  <conditionalFormatting sqref="L217">
    <cfRule type="expression" dxfId="333" priority="332">
      <formula>$K$67="Forecast"</formula>
    </cfRule>
  </conditionalFormatting>
  <conditionalFormatting sqref="L218">
    <cfRule type="expression" dxfId="332" priority="331">
      <formula>$K$68="Forecast"</formula>
    </cfRule>
  </conditionalFormatting>
  <conditionalFormatting sqref="L219">
    <cfRule type="expression" dxfId="331" priority="330">
      <formula>$K$69="Forecast"</formula>
    </cfRule>
  </conditionalFormatting>
  <conditionalFormatting sqref="L220">
    <cfRule type="expression" dxfId="330" priority="329">
      <formula>$K$70="Forecast"</formula>
    </cfRule>
  </conditionalFormatting>
  <conditionalFormatting sqref="L221">
    <cfRule type="expression" dxfId="329" priority="328">
      <formula>$K$71="Forecast"</formula>
    </cfRule>
  </conditionalFormatting>
  <conditionalFormatting sqref="O215">
    <cfRule type="expression" dxfId="328" priority="327">
      <formula>$H$65="Board-approved"</formula>
    </cfRule>
  </conditionalFormatting>
  <conditionalFormatting sqref="O216">
    <cfRule type="expression" dxfId="327" priority="326">
      <formula>$H$66="Board-approved"</formula>
    </cfRule>
  </conditionalFormatting>
  <conditionalFormatting sqref="O217">
    <cfRule type="expression" dxfId="326" priority="325">
      <formula>$H$67="Board-approved"</formula>
    </cfRule>
  </conditionalFormatting>
  <conditionalFormatting sqref="O218">
    <cfRule type="expression" dxfId="325" priority="324">
      <formula>$H$68="Board-approved"</formula>
    </cfRule>
  </conditionalFormatting>
  <conditionalFormatting sqref="O219">
    <cfRule type="expression" dxfId="324" priority="323">
      <formula>$H$69="Board-approved"</formula>
    </cfRule>
  </conditionalFormatting>
  <conditionalFormatting sqref="I215">
    <cfRule type="expression" dxfId="323" priority="322">
      <formula>$H$65="Board-approved"</formula>
    </cfRule>
  </conditionalFormatting>
  <conditionalFormatting sqref="I216">
    <cfRule type="expression" dxfId="322" priority="321">
      <formula>$H$66="Board-approved"</formula>
    </cfRule>
  </conditionalFormatting>
  <conditionalFormatting sqref="I217">
    <cfRule type="expression" dxfId="321" priority="320">
      <formula>$H$67="Board-approved"</formula>
    </cfRule>
  </conditionalFormatting>
  <conditionalFormatting sqref="I218">
    <cfRule type="expression" dxfId="320" priority="319">
      <formula>$H$68="Board-approved"</formula>
    </cfRule>
  </conditionalFormatting>
  <conditionalFormatting sqref="I219">
    <cfRule type="expression" dxfId="319" priority="318">
      <formula>$H$69="Board-approved"</formula>
    </cfRule>
  </conditionalFormatting>
  <conditionalFormatting sqref="K213:U231">
    <cfRule type="expression" dxfId="318" priority="317">
      <formula>$N$190="kWh"</formula>
    </cfRule>
  </conditionalFormatting>
  <conditionalFormatting sqref="I237">
    <cfRule type="expression" dxfId="317" priority="316">
      <formula>$H$65="Board-approved"</formula>
    </cfRule>
  </conditionalFormatting>
  <conditionalFormatting sqref="I238">
    <cfRule type="expression" dxfId="316" priority="315">
      <formula>$H$66="Board-approved"</formula>
    </cfRule>
  </conditionalFormatting>
  <conditionalFormatting sqref="I239">
    <cfRule type="expression" dxfId="315" priority="314">
      <formula>$H$67="Board-approved"</formula>
    </cfRule>
  </conditionalFormatting>
  <conditionalFormatting sqref="I240">
    <cfRule type="expression" dxfId="314" priority="313">
      <formula>$H$68="Board-approved"</formula>
    </cfRule>
  </conditionalFormatting>
  <conditionalFormatting sqref="I241">
    <cfRule type="expression" dxfId="313" priority="312">
      <formula>$H$69="Board-approved"</formula>
    </cfRule>
  </conditionalFormatting>
  <conditionalFormatting sqref="L237">
    <cfRule type="expression" dxfId="312" priority="311">
      <formula>$K$65="Forecastl"</formula>
    </cfRule>
  </conditionalFormatting>
  <conditionalFormatting sqref="L238">
    <cfRule type="expression" dxfId="311" priority="310">
      <formula>$K$66="Forecast"</formula>
    </cfRule>
  </conditionalFormatting>
  <conditionalFormatting sqref="L239">
    <cfRule type="expression" dxfId="310" priority="309">
      <formula>$K$67="Forecast"</formula>
    </cfRule>
  </conditionalFormatting>
  <conditionalFormatting sqref="L240">
    <cfRule type="expression" dxfId="309" priority="308">
      <formula>$K$68="Forecast"</formula>
    </cfRule>
  </conditionalFormatting>
  <conditionalFormatting sqref="L241">
    <cfRule type="expression" dxfId="308" priority="307">
      <formula>$K$69="Forecast"</formula>
    </cfRule>
  </conditionalFormatting>
  <conditionalFormatting sqref="L242">
    <cfRule type="expression" dxfId="307" priority="306">
      <formula>$K$70="Forecast"</formula>
    </cfRule>
  </conditionalFormatting>
  <conditionalFormatting sqref="L243">
    <cfRule type="expression" dxfId="306" priority="305">
      <formula>$K$71="Forecast"</formula>
    </cfRule>
  </conditionalFormatting>
  <conditionalFormatting sqref="O237">
    <cfRule type="expression" dxfId="305" priority="304">
      <formula>$H$65="Board-approved"</formula>
    </cfRule>
  </conditionalFormatting>
  <conditionalFormatting sqref="O238">
    <cfRule type="expression" dxfId="304" priority="303">
      <formula>$H$66="Board-approved"</formula>
    </cfRule>
  </conditionalFormatting>
  <conditionalFormatting sqref="O239">
    <cfRule type="expression" dxfId="303" priority="302">
      <formula>$H$67="Board-approved"</formula>
    </cfRule>
  </conditionalFormatting>
  <conditionalFormatting sqref="O240">
    <cfRule type="expression" dxfId="302" priority="301">
      <formula>$H$68="Board-approved"</formula>
    </cfRule>
  </conditionalFormatting>
  <conditionalFormatting sqref="O241">
    <cfRule type="expression" dxfId="301" priority="300">
      <formula>$H$69="Board-approved"</formula>
    </cfRule>
  </conditionalFormatting>
  <conditionalFormatting sqref="L258">
    <cfRule type="expression" dxfId="300" priority="299">
      <formula>$K$65="Forecastl"</formula>
    </cfRule>
  </conditionalFormatting>
  <conditionalFormatting sqref="L259">
    <cfRule type="expression" dxfId="299" priority="298">
      <formula>$K$66="Forecast"</formula>
    </cfRule>
  </conditionalFormatting>
  <conditionalFormatting sqref="L260">
    <cfRule type="expression" dxfId="298" priority="297">
      <formula>$K$67="Forecast"</formula>
    </cfRule>
  </conditionalFormatting>
  <conditionalFormatting sqref="L261">
    <cfRule type="expression" dxfId="297" priority="296">
      <formula>$K$68="Forecast"</formula>
    </cfRule>
  </conditionalFormatting>
  <conditionalFormatting sqref="L262">
    <cfRule type="expression" dxfId="296" priority="295">
      <formula>$K$69="Forecast"</formula>
    </cfRule>
  </conditionalFormatting>
  <conditionalFormatting sqref="L263">
    <cfRule type="expression" dxfId="295" priority="294">
      <formula>$K$70="Forecast"</formula>
    </cfRule>
  </conditionalFormatting>
  <conditionalFormatting sqref="L264">
    <cfRule type="expression" dxfId="294" priority="293">
      <formula>$K$71="Forecast"</formula>
    </cfRule>
  </conditionalFormatting>
  <conditionalFormatting sqref="O258">
    <cfRule type="expression" dxfId="293" priority="292">
      <formula>$H$65="Board-approved"</formula>
    </cfRule>
  </conditionalFormatting>
  <conditionalFormatting sqref="O259">
    <cfRule type="expression" dxfId="292" priority="291">
      <formula>$H$66="Board-approved"</formula>
    </cfRule>
  </conditionalFormatting>
  <conditionalFormatting sqref="O260">
    <cfRule type="expression" dxfId="291" priority="290">
      <formula>$H$67="Board-approved"</formula>
    </cfRule>
  </conditionalFormatting>
  <conditionalFormatting sqref="O261">
    <cfRule type="expression" dxfId="290" priority="289">
      <formula>$H$68="Board-approved"</formula>
    </cfRule>
  </conditionalFormatting>
  <conditionalFormatting sqref="O262">
    <cfRule type="expression" dxfId="289" priority="288">
      <formula>$H$69="Board-approved"</formula>
    </cfRule>
  </conditionalFormatting>
  <conditionalFormatting sqref="I258">
    <cfRule type="expression" dxfId="288" priority="287">
      <formula>$H$65="Board-approved"</formula>
    </cfRule>
  </conditionalFormatting>
  <conditionalFormatting sqref="I259">
    <cfRule type="expression" dxfId="287" priority="286">
      <formula>$H$66="Board-approved"</formula>
    </cfRule>
  </conditionalFormatting>
  <conditionalFormatting sqref="I260">
    <cfRule type="expression" dxfId="286" priority="285">
      <formula>$H$67="Board-approved"</formula>
    </cfRule>
  </conditionalFormatting>
  <conditionalFormatting sqref="I261">
    <cfRule type="expression" dxfId="285" priority="284">
      <formula>$H$68="Board-approved"</formula>
    </cfRule>
  </conditionalFormatting>
  <conditionalFormatting sqref="I262">
    <cfRule type="expression" dxfId="284" priority="283">
      <formula>$H$69="Board-approved"</formula>
    </cfRule>
  </conditionalFormatting>
  <conditionalFormatting sqref="K256:U274">
    <cfRule type="expression" dxfId="283" priority="282">
      <formula>$N$233="kWh"</formula>
    </cfRule>
  </conditionalFormatting>
  <conditionalFormatting sqref="I280">
    <cfRule type="expression" dxfId="282" priority="281">
      <formula>$H$65="Board-approved"</formula>
    </cfRule>
  </conditionalFormatting>
  <conditionalFormatting sqref="I281">
    <cfRule type="expression" dxfId="281" priority="280">
      <formula>$H$66="Board-approved"</formula>
    </cfRule>
  </conditionalFormatting>
  <conditionalFormatting sqref="I282">
    <cfRule type="expression" dxfId="280" priority="279">
      <formula>$H$67="Board-approved"</formula>
    </cfRule>
  </conditionalFormatting>
  <conditionalFormatting sqref="I283">
    <cfRule type="expression" dxfId="279" priority="278">
      <formula>$H$68="Board-approved"</formula>
    </cfRule>
  </conditionalFormatting>
  <conditionalFormatting sqref="I284">
    <cfRule type="expression" dxfId="278" priority="277">
      <formula>$H$69="Board-approved"</formula>
    </cfRule>
  </conditionalFormatting>
  <conditionalFormatting sqref="L280">
    <cfRule type="expression" dxfId="277" priority="276">
      <formula>$K$65="Forecastl"</formula>
    </cfRule>
  </conditionalFormatting>
  <conditionalFormatting sqref="L281">
    <cfRule type="expression" dxfId="276" priority="275">
      <formula>$K$66="Forecast"</formula>
    </cfRule>
  </conditionalFormatting>
  <conditionalFormatting sqref="L282">
    <cfRule type="expression" dxfId="275" priority="274">
      <formula>$K$67="Forecast"</formula>
    </cfRule>
  </conditionalFormatting>
  <conditionalFormatting sqref="L283">
    <cfRule type="expression" dxfId="274" priority="273">
      <formula>$K$68="Forecast"</formula>
    </cfRule>
  </conditionalFormatting>
  <conditionalFormatting sqref="L284">
    <cfRule type="expression" dxfId="273" priority="272">
      <formula>$K$69="Forecast"</formula>
    </cfRule>
  </conditionalFormatting>
  <conditionalFormatting sqref="L285">
    <cfRule type="expression" dxfId="272" priority="271">
      <formula>$K$70="Forecast"</formula>
    </cfRule>
  </conditionalFormatting>
  <conditionalFormatting sqref="L286">
    <cfRule type="expression" dxfId="271" priority="270">
      <formula>$K$71="Forecast"</formula>
    </cfRule>
  </conditionalFormatting>
  <conditionalFormatting sqref="O280">
    <cfRule type="expression" dxfId="270" priority="269">
      <formula>$H$65="Board-approved"</formula>
    </cfRule>
  </conditionalFormatting>
  <conditionalFormatting sqref="O281">
    <cfRule type="expression" dxfId="269" priority="268">
      <formula>$H$66="Board-approved"</formula>
    </cfRule>
  </conditionalFormatting>
  <conditionalFormatting sqref="O282">
    <cfRule type="expression" dxfId="268" priority="267">
      <formula>$H$67="Board-approved"</formula>
    </cfRule>
  </conditionalFormatting>
  <conditionalFormatting sqref="O283">
    <cfRule type="expression" dxfId="267" priority="266">
      <formula>$H$68="Board-approved"</formula>
    </cfRule>
  </conditionalFormatting>
  <conditionalFormatting sqref="O284">
    <cfRule type="expression" dxfId="266" priority="265">
      <formula>$H$69="Board-approved"</formula>
    </cfRule>
  </conditionalFormatting>
  <conditionalFormatting sqref="L301">
    <cfRule type="expression" dxfId="265" priority="264">
      <formula>$K$65="Forecastl"</formula>
    </cfRule>
  </conditionalFormatting>
  <conditionalFormatting sqref="L302">
    <cfRule type="expression" dxfId="264" priority="263">
      <formula>$K$66="Forecast"</formula>
    </cfRule>
  </conditionalFormatting>
  <conditionalFormatting sqref="L303">
    <cfRule type="expression" dxfId="263" priority="262">
      <formula>$K$67="Forecast"</formula>
    </cfRule>
  </conditionalFormatting>
  <conditionalFormatting sqref="L304">
    <cfRule type="expression" dxfId="262" priority="261">
      <formula>$K$68="Forecast"</formula>
    </cfRule>
  </conditionalFormatting>
  <conditionalFormatting sqref="L305">
    <cfRule type="expression" dxfId="261" priority="260">
      <formula>$K$69="Forecast"</formula>
    </cfRule>
  </conditionalFormatting>
  <conditionalFormatting sqref="L306">
    <cfRule type="expression" dxfId="260" priority="259">
      <formula>$K$70="Forecast"</formula>
    </cfRule>
  </conditionalFormatting>
  <conditionalFormatting sqref="L307">
    <cfRule type="expression" dxfId="259" priority="258">
      <formula>$K$71="Forecast"</formula>
    </cfRule>
  </conditionalFormatting>
  <conditionalFormatting sqref="O301">
    <cfRule type="expression" dxfId="258" priority="257">
      <formula>$H$65="Board-approved"</formula>
    </cfRule>
  </conditionalFormatting>
  <conditionalFormatting sqref="O302">
    <cfRule type="expression" dxfId="257" priority="256">
      <formula>$H$66="Board-approved"</formula>
    </cfRule>
  </conditionalFormatting>
  <conditionalFormatting sqref="O303">
    <cfRule type="expression" dxfId="256" priority="255">
      <formula>$H$67="Board-approved"</formula>
    </cfRule>
  </conditionalFormatting>
  <conditionalFormatting sqref="O304">
    <cfRule type="expression" dxfId="255" priority="254">
      <formula>$H$68="Board-approved"</formula>
    </cfRule>
  </conditionalFormatting>
  <conditionalFormatting sqref="O305">
    <cfRule type="expression" dxfId="254" priority="253">
      <formula>$H$69="Board-approved"</formula>
    </cfRule>
  </conditionalFormatting>
  <conditionalFormatting sqref="I301">
    <cfRule type="expression" dxfId="253" priority="252">
      <formula>$H$65="Board-approved"</formula>
    </cfRule>
  </conditionalFormatting>
  <conditionalFormatting sqref="I302">
    <cfRule type="expression" dxfId="252" priority="251">
      <formula>$H$66="Board-approved"</formula>
    </cfRule>
  </conditionalFormatting>
  <conditionalFormatting sqref="I303">
    <cfRule type="expression" dxfId="251" priority="250">
      <formula>$H$67="Board-approved"</formula>
    </cfRule>
  </conditionalFormatting>
  <conditionalFormatting sqref="I304">
    <cfRule type="expression" dxfId="250" priority="249">
      <formula>$H$68="Board-approved"</formula>
    </cfRule>
  </conditionalFormatting>
  <conditionalFormatting sqref="I305">
    <cfRule type="expression" dxfId="249" priority="248">
      <formula>$H$69="Board-approved"</formula>
    </cfRule>
  </conditionalFormatting>
  <conditionalFormatting sqref="K299:U317">
    <cfRule type="expression" dxfId="248" priority="247">
      <formula>$N$276="kWh"</formula>
    </cfRule>
  </conditionalFormatting>
  <conditionalFormatting sqref="I323">
    <cfRule type="expression" dxfId="247" priority="246">
      <formula>$H$65="Board-approved"</formula>
    </cfRule>
  </conditionalFormatting>
  <conditionalFormatting sqref="I324">
    <cfRule type="expression" dxfId="246" priority="245">
      <formula>$H$66="Board-approved"</formula>
    </cfRule>
  </conditionalFormatting>
  <conditionalFormatting sqref="I325">
    <cfRule type="expression" dxfId="245" priority="244">
      <formula>$H$67="Board-approved"</formula>
    </cfRule>
  </conditionalFormatting>
  <conditionalFormatting sqref="I326">
    <cfRule type="expression" dxfId="244" priority="243">
      <formula>$H$68="Board-approved"</formula>
    </cfRule>
  </conditionalFormatting>
  <conditionalFormatting sqref="I327">
    <cfRule type="expression" dxfId="243" priority="242">
      <formula>$H$69="Board-approved"</formula>
    </cfRule>
  </conditionalFormatting>
  <conditionalFormatting sqref="L323">
    <cfRule type="expression" dxfId="242" priority="241">
      <formula>$K$65="Forecastl"</formula>
    </cfRule>
  </conditionalFormatting>
  <conditionalFormatting sqref="L324">
    <cfRule type="expression" dxfId="241" priority="240">
      <formula>$K$66="Forecast"</formula>
    </cfRule>
  </conditionalFormatting>
  <conditionalFormatting sqref="L325">
    <cfRule type="expression" dxfId="240" priority="239">
      <formula>$K$67="Forecast"</formula>
    </cfRule>
  </conditionalFormatting>
  <conditionalFormatting sqref="L326">
    <cfRule type="expression" dxfId="239" priority="238">
      <formula>$K$68="Forecast"</formula>
    </cfRule>
  </conditionalFormatting>
  <conditionalFormatting sqref="L327">
    <cfRule type="expression" dxfId="238" priority="237">
      <formula>$K$69="Forecast"</formula>
    </cfRule>
  </conditionalFormatting>
  <conditionalFormatting sqref="L328">
    <cfRule type="expression" dxfId="237" priority="236">
      <formula>$K$70="Forecast"</formula>
    </cfRule>
  </conditionalFormatting>
  <conditionalFormatting sqref="L329">
    <cfRule type="expression" dxfId="236" priority="235">
      <formula>$K$71="Forecast"</formula>
    </cfRule>
  </conditionalFormatting>
  <conditionalFormatting sqref="O323">
    <cfRule type="expression" dxfId="235" priority="234">
      <formula>$H$65="Board-approved"</formula>
    </cfRule>
  </conditionalFormatting>
  <conditionalFormatting sqref="O324">
    <cfRule type="expression" dxfId="234" priority="233">
      <formula>$H$66="Board-approved"</formula>
    </cfRule>
  </conditionalFormatting>
  <conditionalFormatting sqref="O325">
    <cfRule type="expression" dxfId="233" priority="232">
      <formula>$H$67="Board-approved"</formula>
    </cfRule>
  </conditionalFormatting>
  <conditionalFormatting sqref="O326">
    <cfRule type="expression" dxfId="232" priority="231">
      <formula>$H$68="Board-approved"</formula>
    </cfRule>
  </conditionalFormatting>
  <conditionalFormatting sqref="O327">
    <cfRule type="expression" dxfId="231" priority="230">
      <formula>$H$69="Board-approved"</formula>
    </cfRule>
  </conditionalFormatting>
  <conditionalFormatting sqref="L344">
    <cfRule type="expression" dxfId="230" priority="229">
      <formula>$K$65="Forecastl"</formula>
    </cfRule>
  </conditionalFormatting>
  <conditionalFormatting sqref="L345">
    <cfRule type="expression" dxfId="229" priority="228">
      <formula>$K$66="Forecast"</formula>
    </cfRule>
  </conditionalFormatting>
  <conditionalFormatting sqref="L346">
    <cfRule type="expression" dxfId="228" priority="227">
      <formula>$K$67="Forecast"</formula>
    </cfRule>
  </conditionalFormatting>
  <conditionalFormatting sqref="L347">
    <cfRule type="expression" dxfId="227" priority="226">
      <formula>$K$68="Forecast"</formula>
    </cfRule>
  </conditionalFormatting>
  <conditionalFormatting sqref="L348">
    <cfRule type="expression" dxfId="226" priority="225">
      <formula>$K$69="Forecast"</formula>
    </cfRule>
  </conditionalFormatting>
  <conditionalFormatting sqref="L349">
    <cfRule type="expression" dxfId="225" priority="224">
      <formula>$K$70="Forecast"</formula>
    </cfRule>
  </conditionalFormatting>
  <conditionalFormatting sqref="L350">
    <cfRule type="expression" dxfId="224" priority="223">
      <formula>$K$71="Forecast"</formula>
    </cfRule>
  </conditionalFormatting>
  <conditionalFormatting sqref="O344">
    <cfRule type="expression" dxfId="223" priority="222">
      <formula>$H$65="Board-approved"</formula>
    </cfRule>
  </conditionalFormatting>
  <conditionalFormatting sqref="O345">
    <cfRule type="expression" dxfId="222" priority="221">
      <formula>$H$66="Board-approved"</formula>
    </cfRule>
  </conditionalFormatting>
  <conditionalFormatting sqref="O346">
    <cfRule type="expression" dxfId="221" priority="220">
      <formula>$H$67="Board-approved"</formula>
    </cfRule>
  </conditionalFormatting>
  <conditionalFormatting sqref="O347">
    <cfRule type="expression" dxfId="220" priority="219">
      <formula>$H$68="Board-approved"</formula>
    </cfRule>
  </conditionalFormatting>
  <conditionalFormatting sqref="O348">
    <cfRule type="expression" dxfId="219" priority="218">
      <formula>$H$69="Board-approved"</formula>
    </cfRule>
  </conditionalFormatting>
  <conditionalFormatting sqref="I344">
    <cfRule type="expression" dxfId="218" priority="217">
      <formula>$H$65="Board-approved"</formula>
    </cfRule>
  </conditionalFormatting>
  <conditionalFormatting sqref="I345">
    <cfRule type="expression" dxfId="217" priority="216">
      <formula>$H$66="Board-approved"</formula>
    </cfRule>
  </conditionalFormatting>
  <conditionalFormatting sqref="I346">
    <cfRule type="expression" dxfId="216" priority="215">
      <formula>$H$67="Board-approved"</formula>
    </cfRule>
  </conditionalFormatting>
  <conditionalFormatting sqref="I347">
    <cfRule type="expression" dxfId="215" priority="214">
      <formula>$H$68="Board-approved"</formula>
    </cfRule>
  </conditionalFormatting>
  <conditionalFormatting sqref="I348">
    <cfRule type="expression" dxfId="214" priority="213">
      <formula>$H$69="Board-approved"</formula>
    </cfRule>
  </conditionalFormatting>
  <conditionalFormatting sqref="K342:U360">
    <cfRule type="expression" dxfId="213" priority="212">
      <formula>$N$319="kWh"</formula>
    </cfRule>
  </conditionalFormatting>
  <conditionalFormatting sqref="I366">
    <cfRule type="expression" dxfId="212" priority="211">
      <formula>$H$65="Board-approved"</formula>
    </cfRule>
  </conditionalFormatting>
  <conditionalFormatting sqref="I367">
    <cfRule type="expression" dxfId="211" priority="210">
      <formula>$H$66="Board-approved"</formula>
    </cfRule>
  </conditionalFormatting>
  <conditionalFormatting sqref="I368">
    <cfRule type="expression" dxfId="210" priority="209">
      <formula>$H$67="Board-approved"</formula>
    </cfRule>
  </conditionalFormatting>
  <conditionalFormatting sqref="I369">
    <cfRule type="expression" dxfId="209" priority="208">
      <formula>$H$68="Board-approved"</formula>
    </cfRule>
  </conditionalFormatting>
  <conditionalFormatting sqref="I370">
    <cfRule type="expression" dxfId="208" priority="207">
      <formula>$H$69="Board-approved"</formula>
    </cfRule>
  </conditionalFormatting>
  <conditionalFormatting sqref="L366">
    <cfRule type="expression" dxfId="207" priority="206">
      <formula>$K$65="Forecastl"</formula>
    </cfRule>
  </conditionalFormatting>
  <conditionalFormatting sqref="L367">
    <cfRule type="expression" dxfId="206" priority="205">
      <formula>$K$66="Forecast"</formula>
    </cfRule>
  </conditionalFormatting>
  <conditionalFormatting sqref="L368">
    <cfRule type="expression" dxfId="205" priority="204">
      <formula>$K$67="Forecast"</formula>
    </cfRule>
  </conditionalFormatting>
  <conditionalFormatting sqref="L369">
    <cfRule type="expression" dxfId="204" priority="203">
      <formula>$K$68="Forecast"</formula>
    </cfRule>
  </conditionalFormatting>
  <conditionalFormatting sqref="L370">
    <cfRule type="expression" dxfId="203" priority="202">
      <formula>$K$69="Forecast"</formula>
    </cfRule>
  </conditionalFormatting>
  <conditionalFormatting sqref="L371">
    <cfRule type="expression" dxfId="202" priority="201">
      <formula>$K$70="Forecast"</formula>
    </cfRule>
  </conditionalFormatting>
  <conditionalFormatting sqref="L372">
    <cfRule type="expression" dxfId="201" priority="200">
      <formula>$K$71="Forecast"</formula>
    </cfRule>
  </conditionalFormatting>
  <conditionalFormatting sqref="O366">
    <cfRule type="expression" dxfId="200" priority="199">
      <formula>$H$65="Board-approved"</formula>
    </cfRule>
  </conditionalFormatting>
  <conditionalFormatting sqref="O367">
    <cfRule type="expression" dxfId="199" priority="198">
      <formula>$H$66="Board-approved"</formula>
    </cfRule>
  </conditionalFormatting>
  <conditionalFormatting sqref="O368">
    <cfRule type="expression" dxfId="198" priority="197">
      <formula>$H$67="Board-approved"</formula>
    </cfRule>
  </conditionalFormatting>
  <conditionalFormatting sqref="O369">
    <cfRule type="expression" dxfId="197" priority="196">
      <formula>$H$68="Board-approved"</formula>
    </cfRule>
  </conditionalFormatting>
  <conditionalFormatting sqref="O370">
    <cfRule type="expression" dxfId="196" priority="195">
      <formula>$H$69="Board-approved"</formula>
    </cfRule>
  </conditionalFormatting>
  <conditionalFormatting sqref="L387">
    <cfRule type="expression" dxfId="195" priority="194">
      <formula>$K$65="Forecastl"</formula>
    </cfRule>
  </conditionalFormatting>
  <conditionalFormatting sqref="L388">
    <cfRule type="expression" dxfId="194" priority="193">
      <formula>$K$66="Forecast"</formula>
    </cfRule>
  </conditionalFormatting>
  <conditionalFormatting sqref="L389">
    <cfRule type="expression" dxfId="193" priority="192">
      <formula>$K$67="Forecast"</formula>
    </cfRule>
  </conditionalFormatting>
  <conditionalFormatting sqref="L390">
    <cfRule type="expression" dxfId="192" priority="191">
      <formula>$K$68="Forecast"</formula>
    </cfRule>
  </conditionalFormatting>
  <conditionalFormatting sqref="L391">
    <cfRule type="expression" dxfId="191" priority="190">
      <formula>$K$69="Forecast"</formula>
    </cfRule>
  </conditionalFormatting>
  <conditionalFormatting sqref="L392">
    <cfRule type="expression" dxfId="190" priority="189">
      <formula>$K$70="Forecast"</formula>
    </cfRule>
  </conditionalFormatting>
  <conditionalFormatting sqref="L393">
    <cfRule type="expression" dxfId="189" priority="188">
      <formula>$K$71="Forecast"</formula>
    </cfRule>
  </conditionalFormatting>
  <conditionalFormatting sqref="O387">
    <cfRule type="expression" dxfId="188" priority="187">
      <formula>$H$65="Board-approved"</formula>
    </cfRule>
  </conditionalFormatting>
  <conditionalFormatting sqref="O388">
    <cfRule type="expression" dxfId="187" priority="186">
      <formula>$H$66="Board-approved"</formula>
    </cfRule>
  </conditionalFormatting>
  <conditionalFormatting sqref="O389">
    <cfRule type="expression" dxfId="186" priority="185">
      <formula>$H$67="Board-approved"</formula>
    </cfRule>
  </conditionalFormatting>
  <conditionalFormatting sqref="O390">
    <cfRule type="expression" dxfId="185" priority="184">
      <formula>$H$68="Board-approved"</formula>
    </cfRule>
  </conditionalFormatting>
  <conditionalFormatting sqref="O391">
    <cfRule type="expression" dxfId="184" priority="183">
      <formula>$H$69="Board-approved"</formula>
    </cfRule>
  </conditionalFormatting>
  <conditionalFormatting sqref="I387">
    <cfRule type="expression" dxfId="183" priority="182">
      <formula>$H$65="Board-approved"</formula>
    </cfRule>
  </conditionalFormatting>
  <conditionalFormatting sqref="I388">
    <cfRule type="expression" dxfId="182" priority="181">
      <formula>$H$66="Board-approved"</formula>
    </cfRule>
  </conditionalFormatting>
  <conditionalFormatting sqref="I389">
    <cfRule type="expression" dxfId="181" priority="180">
      <formula>$H$67="Board-approved"</formula>
    </cfRule>
  </conditionalFormatting>
  <conditionalFormatting sqref="I390">
    <cfRule type="expression" dxfId="180" priority="179">
      <formula>$H$68="Board-approved"</formula>
    </cfRule>
  </conditionalFormatting>
  <conditionalFormatting sqref="I391">
    <cfRule type="expression" dxfId="179" priority="178">
      <formula>$H$69="Board-approved"</formula>
    </cfRule>
  </conditionalFormatting>
  <conditionalFormatting sqref="K385:U403">
    <cfRule type="expression" dxfId="178" priority="177">
      <formula>$N$362="kWh"</formula>
    </cfRule>
  </conditionalFormatting>
  <conditionalFormatting sqref="I409">
    <cfRule type="expression" dxfId="177" priority="176">
      <formula>$H$65="Board-approved"</formula>
    </cfRule>
  </conditionalFormatting>
  <conditionalFormatting sqref="I410">
    <cfRule type="expression" dxfId="176" priority="175">
      <formula>$H$66="Board-approved"</formula>
    </cfRule>
  </conditionalFormatting>
  <conditionalFormatting sqref="I411">
    <cfRule type="expression" dxfId="175" priority="174">
      <formula>$H$67="Board-approved"</formula>
    </cfRule>
  </conditionalFormatting>
  <conditionalFormatting sqref="I412">
    <cfRule type="expression" dxfId="174" priority="173">
      <formula>$H$68="Board-approved"</formula>
    </cfRule>
  </conditionalFormatting>
  <conditionalFormatting sqref="I413">
    <cfRule type="expression" dxfId="173" priority="172">
      <formula>$H$69="Board-approved"</formula>
    </cfRule>
  </conditionalFormatting>
  <conditionalFormatting sqref="L409">
    <cfRule type="expression" dxfId="172" priority="171">
      <formula>$K$65="Forecastl"</formula>
    </cfRule>
  </conditionalFormatting>
  <conditionalFormatting sqref="L410">
    <cfRule type="expression" dxfId="171" priority="170">
      <formula>$K$66="Forecast"</formula>
    </cfRule>
  </conditionalFormatting>
  <conditionalFormatting sqref="L411">
    <cfRule type="expression" dxfId="170" priority="169">
      <formula>$K$67="Forecast"</formula>
    </cfRule>
  </conditionalFormatting>
  <conditionalFormatting sqref="L412">
    <cfRule type="expression" dxfId="169" priority="168">
      <formula>$K$68="Forecast"</formula>
    </cfRule>
  </conditionalFormatting>
  <conditionalFormatting sqref="L413">
    <cfRule type="expression" dxfId="168" priority="167">
      <formula>$K$69="Forecast"</formula>
    </cfRule>
  </conditionalFormatting>
  <conditionalFormatting sqref="L414">
    <cfRule type="expression" dxfId="167" priority="166">
      <formula>$K$70="Forecast"</formula>
    </cfRule>
  </conditionalFormatting>
  <conditionalFormatting sqref="L415">
    <cfRule type="expression" dxfId="166" priority="165">
      <formula>$K$71="Forecast"</formula>
    </cfRule>
  </conditionalFormatting>
  <conditionalFormatting sqref="O409">
    <cfRule type="expression" dxfId="165" priority="164">
      <formula>$H$65="Board-approved"</formula>
    </cfRule>
  </conditionalFormatting>
  <conditionalFormatting sqref="O410">
    <cfRule type="expression" dxfId="164" priority="163">
      <formula>$H$66="Board-approved"</formula>
    </cfRule>
  </conditionalFormatting>
  <conditionalFormatting sqref="O411">
    <cfRule type="expression" dxfId="163" priority="162">
      <formula>$H$67="Board-approved"</formula>
    </cfRule>
  </conditionalFormatting>
  <conditionalFormatting sqref="O412">
    <cfRule type="expression" dxfId="162" priority="161">
      <formula>$H$68="Board-approved"</formula>
    </cfRule>
  </conditionalFormatting>
  <conditionalFormatting sqref="O413">
    <cfRule type="expression" dxfId="161" priority="160">
      <formula>$H$69="Board-approved"</formula>
    </cfRule>
  </conditionalFormatting>
  <conditionalFormatting sqref="L430">
    <cfRule type="expression" dxfId="160" priority="159">
      <formula>$K$65="Forecastl"</formula>
    </cfRule>
  </conditionalFormatting>
  <conditionalFormatting sqref="L431">
    <cfRule type="expression" dxfId="159" priority="158">
      <formula>$K$66="Forecast"</formula>
    </cfRule>
  </conditionalFormatting>
  <conditionalFormatting sqref="L432">
    <cfRule type="expression" dxfId="158" priority="157">
      <formula>$K$67="Forecast"</formula>
    </cfRule>
  </conditionalFormatting>
  <conditionalFormatting sqref="L433">
    <cfRule type="expression" dxfId="157" priority="156">
      <formula>$K$68="Forecast"</formula>
    </cfRule>
  </conditionalFormatting>
  <conditionalFormatting sqref="L434">
    <cfRule type="expression" dxfId="156" priority="155">
      <formula>$K$69="Forecast"</formula>
    </cfRule>
  </conditionalFormatting>
  <conditionalFormatting sqref="L435">
    <cfRule type="expression" dxfId="155" priority="154">
      <formula>$K$70="Forecast"</formula>
    </cfRule>
  </conditionalFormatting>
  <conditionalFormatting sqref="L436">
    <cfRule type="expression" dxfId="154" priority="153">
      <formula>$K$71="Forecast"</formula>
    </cfRule>
  </conditionalFormatting>
  <conditionalFormatting sqref="O430">
    <cfRule type="expression" dxfId="153" priority="152">
      <formula>$H$65="Board-approved"</formula>
    </cfRule>
  </conditionalFormatting>
  <conditionalFormatting sqref="O431">
    <cfRule type="expression" dxfId="152" priority="151">
      <formula>$H$66="Board-approved"</formula>
    </cfRule>
  </conditionalFormatting>
  <conditionalFormatting sqref="O432">
    <cfRule type="expression" dxfId="151" priority="150">
      <formula>$H$67="Board-approved"</formula>
    </cfRule>
  </conditionalFormatting>
  <conditionalFormatting sqref="O433">
    <cfRule type="expression" dxfId="150" priority="149">
      <formula>$H$68="Board-approved"</formula>
    </cfRule>
  </conditionalFormatting>
  <conditionalFormatting sqref="O434">
    <cfRule type="expression" dxfId="149" priority="148">
      <formula>$H$69="Board-approved"</formula>
    </cfRule>
  </conditionalFormatting>
  <conditionalFormatting sqref="I430">
    <cfRule type="expression" dxfId="148" priority="147">
      <formula>$H$65="Board-approved"</formula>
    </cfRule>
  </conditionalFormatting>
  <conditionalFormatting sqref="I431">
    <cfRule type="expression" dxfId="147" priority="146">
      <formula>$H$66="Board-approved"</formula>
    </cfRule>
  </conditionalFormatting>
  <conditionalFormatting sqref="I432">
    <cfRule type="expression" dxfId="146" priority="145">
      <formula>$H$67="Board-approved"</formula>
    </cfRule>
  </conditionalFormatting>
  <conditionalFormatting sqref="I433">
    <cfRule type="expression" dxfId="145" priority="144">
      <formula>$H$68="Board-approved"</formula>
    </cfRule>
  </conditionalFormatting>
  <conditionalFormatting sqref="I434">
    <cfRule type="expression" dxfId="144" priority="143">
      <formula>$H$69="Board-approved"</formula>
    </cfRule>
  </conditionalFormatting>
  <conditionalFormatting sqref="K428:U446">
    <cfRule type="expression" dxfId="143" priority="142">
      <formula>$N$405="kWh"</formula>
    </cfRule>
  </conditionalFormatting>
  <conditionalFormatting sqref="I452">
    <cfRule type="expression" dxfId="142" priority="141">
      <formula>$H$65="Board-approved"</formula>
    </cfRule>
  </conditionalFormatting>
  <conditionalFormatting sqref="I453">
    <cfRule type="expression" dxfId="141" priority="140">
      <formula>$H$66="Board-approved"</formula>
    </cfRule>
  </conditionalFormatting>
  <conditionalFormatting sqref="I454">
    <cfRule type="expression" dxfId="140" priority="139">
      <formula>$H$67="Board-approved"</formula>
    </cfRule>
  </conditionalFormatting>
  <conditionalFormatting sqref="I455">
    <cfRule type="expression" dxfId="139" priority="138">
      <formula>$H$68="Board-approved"</formula>
    </cfRule>
  </conditionalFormatting>
  <conditionalFormatting sqref="I456">
    <cfRule type="expression" dxfId="138" priority="137">
      <formula>$H$69="Board-approved"</formula>
    </cfRule>
  </conditionalFormatting>
  <conditionalFormatting sqref="L452">
    <cfRule type="expression" dxfId="137" priority="136">
      <formula>$K$65="Forecastl"</formula>
    </cfRule>
  </conditionalFormatting>
  <conditionalFormatting sqref="L453">
    <cfRule type="expression" dxfId="136" priority="135">
      <formula>$K$66="Forecast"</formula>
    </cfRule>
  </conditionalFormatting>
  <conditionalFormatting sqref="L454">
    <cfRule type="expression" dxfId="135" priority="134">
      <formula>$K$67="Forecast"</formula>
    </cfRule>
  </conditionalFormatting>
  <conditionalFormatting sqref="L455">
    <cfRule type="expression" dxfId="134" priority="133">
      <formula>$K$68="Forecast"</formula>
    </cfRule>
  </conditionalFormatting>
  <conditionalFormatting sqref="L456">
    <cfRule type="expression" dxfId="133" priority="132">
      <formula>$K$69="Forecast"</formula>
    </cfRule>
  </conditionalFormatting>
  <conditionalFormatting sqref="L457">
    <cfRule type="expression" dxfId="132" priority="131">
      <formula>$K$70="Forecast"</formula>
    </cfRule>
  </conditionalFormatting>
  <conditionalFormatting sqref="L458">
    <cfRule type="expression" dxfId="131" priority="130">
      <formula>$K$71="Forecast"</formula>
    </cfRule>
  </conditionalFormatting>
  <conditionalFormatting sqref="O452">
    <cfRule type="expression" dxfId="130" priority="129">
      <formula>$H$65="Board-approved"</formula>
    </cfRule>
  </conditionalFormatting>
  <conditionalFormatting sqref="O453">
    <cfRule type="expression" dxfId="129" priority="128">
      <formula>$H$66="Board-approved"</formula>
    </cfRule>
  </conditionalFormatting>
  <conditionalFormatting sqref="O454">
    <cfRule type="expression" dxfId="128" priority="127">
      <formula>$H$67="Board-approved"</formula>
    </cfRule>
  </conditionalFormatting>
  <conditionalFormatting sqref="O456">
    <cfRule type="expression" dxfId="127" priority="126">
      <formula>$H$69="Board-approved"</formula>
    </cfRule>
  </conditionalFormatting>
  <conditionalFormatting sqref="L473">
    <cfRule type="expression" dxfId="126" priority="125">
      <formula>$K$65="Forecastl"</formula>
    </cfRule>
  </conditionalFormatting>
  <conditionalFormatting sqref="L474">
    <cfRule type="expression" dxfId="125" priority="124">
      <formula>$K$66="Forecast"</formula>
    </cfRule>
  </conditionalFormatting>
  <conditionalFormatting sqref="L475">
    <cfRule type="expression" dxfId="124" priority="123">
      <formula>$K$67="Forecast"</formula>
    </cfRule>
  </conditionalFormatting>
  <conditionalFormatting sqref="L476">
    <cfRule type="expression" dxfId="123" priority="122">
      <formula>$K$68="Forecast"</formula>
    </cfRule>
  </conditionalFormatting>
  <conditionalFormatting sqref="L477">
    <cfRule type="expression" dxfId="122" priority="121">
      <formula>$K$69="Forecast"</formula>
    </cfRule>
  </conditionalFormatting>
  <conditionalFormatting sqref="L478">
    <cfRule type="expression" dxfId="121" priority="120">
      <formula>$K$70="Forecast"</formula>
    </cfRule>
  </conditionalFormatting>
  <conditionalFormatting sqref="L479">
    <cfRule type="expression" dxfId="120" priority="119">
      <formula>$K$71="Forecast"</formula>
    </cfRule>
  </conditionalFormatting>
  <conditionalFormatting sqref="O473">
    <cfRule type="expression" dxfId="119" priority="118">
      <formula>$H$65="Board-approved"</formula>
    </cfRule>
  </conditionalFormatting>
  <conditionalFormatting sqref="O474">
    <cfRule type="expression" dxfId="118" priority="117">
      <formula>$H$66="Board-approved"</formula>
    </cfRule>
  </conditionalFormatting>
  <conditionalFormatting sqref="O475">
    <cfRule type="expression" dxfId="117" priority="116">
      <formula>$H$67="Board-approved"</formula>
    </cfRule>
  </conditionalFormatting>
  <conditionalFormatting sqref="O476">
    <cfRule type="expression" dxfId="116" priority="115">
      <formula>$H$68="Board-approved"</formula>
    </cfRule>
  </conditionalFormatting>
  <conditionalFormatting sqref="O477">
    <cfRule type="expression" dxfId="115" priority="114">
      <formula>$H$69="Board-approved"</formula>
    </cfRule>
  </conditionalFormatting>
  <conditionalFormatting sqref="I473">
    <cfRule type="expression" dxfId="114" priority="113">
      <formula>$H$65="Board-approved"</formula>
    </cfRule>
  </conditionalFormatting>
  <conditionalFormatting sqref="I474">
    <cfRule type="expression" dxfId="113" priority="112">
      <formula>$H$66="Board-approved"</formula>
    </cfRule>
  </conditionalFormatting>
  <conditionalFormatting sqref="I475">
    <cfRule type="expression" dxfId="112" priority="111">
      <formula>$H$67="Board-approved"</formula>
    </cfRule>
  </conditionalFormatting>
  <conditionalFormatting sqref="I476">
    <cfRule type="expression" dxfId="111" priority="110">
      <formula>$H$68="Board-approved"</formula>
    </cfRule>
  </conditionalFormatting>
  <conditionalFormatting sqref="I477">
    <cfRule type="expression" dxfId="110" priority="109">
      <formula>$H$69="Board-approved"</formula>
    </cfRule>
  </conditionalFormatting>
  <conditionalFormatting sqref="K471:U489">
    <cfRule type="expression" dxfId="109" priority="108">
      <formula>$N$448="kWh"</formula>
    </cfRule>
  </conditionalFormatting>
  <conditionalFormatting sqref="I67">
    <cfRule type="expression" dxfId="108" priority="107">
      <formula>$H$66="Board-approved"</formula>
    </cfRule>
  </conditionalFormatting>
  <conditionalFormatting sqref="I499">
    <cfRule type="expression" dxfId="107" priority="106">
      <formula>$H$65="Board-approved"</formula>
    </cfRule>
  </conditionalFormatting>
  <conditionalFormatting sqref="I500">
    <cfRule type="expression" dxfId="106" priority="105">
      <formula>$H$66="Board-approved"</formula>
    </cfRule>
  </conditionalFormatting>
  <conditionalFormatting sqref="I501">
    <cfRule type="expression" dxfId="105" priority="104">
      <formula>$H$67="Board-approved"</formula>
    </cfRule>
  </conditionalFormatting>
  <conditionalFormatting sqref="I502">
    <cfRule type="expression" dxfId="104" priority="103">
      <formula>$H$68="Board-approved"</formula>
    </cfRule>
  </conditionalFormatting>
  <conditionalFormatting sqref="I503">
    <cfRule type="expression" dxfId="103" priority="102">
      <formula>$H$69="Board-approved"</formula>
    </cfRule>
  </conditionalFormatting>
  <conditionalFormatting sqref="L499">
    <cfRule type="expression" dxfId="102" priority="101">
      <formula>$K$65="Forecastl"</formula>
    </cfRule>
  </conditionalFormatting>
  <conditionalFormatting sqref="L500">
    <cfRule type="expression" dxfId="101" priority="100">
      <formula>$K$66="Forecast"</formula>
    </cfRule>
  </conditionalFormatting>
  <conditionalFormatting sqref="L501">
    <cfRule type="expression" dxfId="100" priority="99">
      <formula>$K$67="Forecast"</formula>
    </cfRule>
  </conditionalFormatting>
  <conditionalFormatting sqref="L502">
    <cfRule type="expression" dxfId="99" priority="98">
      <formula>$K$68="Forecast"</formula>
    </cfRule>
  </conditionalFormatting>
  <conditionalFormatting sqref="L503">
    <cfRule type="expression" dxfId="98" priority="97">
      <formula>$K$69="Forecast"</formula>
    </cfRule>
  </conditionalFormatting>
  <conditionalFormatting sqref="L504">
    <cfRule type="expression" dxfId="97" priority="96">
      <formula>$K$70="Forecast"</formula>
    </cfRule>
  </conditionalFormatting>
  <conditionalFormatting sqref="L505">
    <cfRule type="expression" dxfId="96" priority="95">
      <formula>$K$71="Forecast"</formula>
    </cfRule>
  </conditionalFormatting>
  <conditionalFormatting sqref="O499">
    <cfRule type="expression" dxfId="95" priority="94">
      <formula>$H$65="Board-approved"</formula>
    </cfRule>
  </conditionalFormatting>
  <conditionalFormatting sqref="O500">
    <cfRule type="expression" dxfId="94" priority="93">
      <formula>$H$66="Board-approved"</formula>
    </cfRule>
  </conditionalFormatting>
  <conditionalFormatting sqref="O501">
    <cfRule type="expression" dxfId="93" priority="92">
      <formula>$H$67="Board-approved"</formula>
    </cfRule>
  </conditionalFormatting>
  <conditionalFormatting sqref="O502">
    <cfRule type="expression" dxfId="92" priority="91">
      <formula>$H$68="Board-approved"</formula>
    </cfRule>
  </conditionalFormatting>
  <conditionalFormatting sqref="O503">
    <cfRule type="expression" dxfId="91" priority="90">
      <formula>$H$69="Board-approved"</formula>
    </cfRule>
  </conditionalFormatting>
  <conditionalFormatting sqref="L520">
    <cfRule type="expression" dxfId="90" priority="89">
      <formula>$K$65="Forecastl"</formula>
    </cfRule>
  </conditionalFormatting>
  <conditionalFormatting sqref="L521">
    <cfRule type="expression" dxfId="89" priority="88">
      <formula>$K$66="Forecast"</formula>
    </cfRule>
  </conditionalFormatting>
  <conditionalFormatting sqref="L522">
    <cfRule type="expression" dxfId="88" priority="87">
      <formula>$K$67="Forecast"</formula>
    </cfRule>
  </conditionalFormatting>
  <conditionalFormatting sqref="L523">
    <cfRule type="expression" dxfId="87" priority="86">
      <formula>$K$68="Forecast"</formula>
    </cfRule>
  </conditionalFormatting>
  <conditionalFormatting sqref="L524">
    <cfRule type="expression" dxfId="86" priority="85">
      <formula>$K$69="Forecast"</formula>
    </cfRule>
  </conditionalFormatting>
  <conditionalFormatting sqref="L525">
    <cfRule type="expression" dxfId="85" priority="84">
      <formula>$K$70="Forecast"</formula>
    </cfRule>
  </conditionalFormatting>
  <conditionalFormatting sqref="L526">
    <cfRule type="expression" dxfId="84" priority="83">
      <formula>$K$71="Forecast"</formula>
    </cfRule>
  </conditionalFormatting>
  <conditionalFormatting sqref="O520">
    <cfRule type="expression" dxfId="83" priority="82">
      <formula>$H$65="Board-approved"</formula>
    </cfRule>
  </conditionalFormatting>
  <conditionalFormatting sqref="O521">
    <cfRule type="expression" dxfId="82" priority="81">
      <formula>$H$66="Board-approved"</formula>
    </cfRule>
  </conditionalFormatting>
  <conditionalFormatting sqref="O522">
    <cfRule type="expression" dxfId="81" priority="80">
      <formula>$H$67="Board-approved"</formula>
    </cfRule>
  </conditionalFormatting>
  <conditionalFormatting sqref="O523">
    <cfRule type="expression" dxfId="80" priority="79">
      <formula>$H$68="Board-approved"</formula>
    </cfRule>
  </conditionalFormatting>
  <conditionalFormatting sqref="O524">
    <cfRule type="expression" dxfId="79" priority="78">
      <formula>$H$69="Board-approved"</formula>
    </cfRule>
  </conditionalFormatting>
  <conditionalFormatting sqref="I520">
    <cfRule type="expression" dxfId="78" priority="77">
      <formula>$H$65="Board-approved"</formula>
    </cfRule>
  </conditionalFormatting>
  <conditionalFormatting sqref="I521">
    <cfRule type="expression" dxfId="77" priority="76">
      <formula>$H$66="Board-approved"</formula>
    </cfRule>
  </conditionalFormatting>
  <conditionalFormatting sqref="I522">
    <cfRule type="expression" dxfId="76" priority="75">
      <formula>$H$67="Board-approved"</formula>
    </cfRule>
  </conditionalFormatting>
  <conditionalFormatting sqref="I523">
    <cfRule type="expression" dxfId="75" priority="74">
      <formula>$H$68="Board-approved"</formula>
    </cfRule>
  </conditionalFormatting>
  <conditionalFormatting sqref="I524">
    <cfRule type="expression" dxfId="74" priority="73">
      <formula>$H$69="Board-approved"</formula>
    </cfRule>
  </conditionalFormatting>
  <conditionalFormatting sqref="K518:U536">
    <cfRule type="expression" dxfId="73" priority="72">
      <formula>$N$448="kWh"</formula>
    </cfRule>
  </conditionalFormatting>
  <conditionalFormatting sqref="I544">
    <cfRule type="expression" dxfId="72" priority="71">
      <formula>$H$65="Board-approved"</formula>
    </cfRule>
  </conditionalFormatting>
  <conditionalFormatting sqref="I545">
    <cfRule type="expression" dxfId="71" priority="70">
      <formula>$H$66="Board-approved"</formula>
    </cfRule>
  </conditionalFormatting>
  <conditionalFormatting sqref="I546">
    <cfRule type="expression" dxfId="70" priority="69">
      <formula>$H$67="Board-approved"</formula>
    </cfRule>
  </conditionalFormatting>
  <conditionalFormatting sqref="I547">
    <cfRule type="expression" dxfId="69" priority="68">
      <formula>$H$68="Board-approved"</formula>
    </cfRule>
  </conditionalFormatting>
  <conditionalFormatting sqref="I548">
    <cfRule type="expression" dxfId="68" priority="67">
      <formula>$H$69="Board-approved"</formula>
    </cfRule>
  </conditionalFormatting>
  <conditionalFormatting sqref="L544">
    <cfRule type="expression" dxfId="67" priority="66">
      <formula>$K$65="Forecastl"</formula>
    </cfRule>
  </conditionalFormatting>
  <conditionalFormatting sqref="L545">
    <cfRule type="expression" dxfId="66" priority="65">
      <formula>$K$66="Forecast"</formula>
    </cfRule>
  </conditionalFormatting>
  <conditionalFormatting sqref="L546">
    <cfRule type="expression" dxfId="65" priority="64">
      <formula>$K$67="Forecast"</formula>
    </cfRule>
  </conditionalFormatting>
  <conditionalFormatting sqref="L547">
    <cfRule type="expression" dxfId="64" priority="63">
      <formula>$K$68="Forecast"</formula>
    </cfRule>
  </conditionalFormatting>
  <conditionalFormatting sqref="L548">
    <cfRule type="expression" dxfId="63" priority="62">
      <formula>$K$69="Forecast"</formula>
    </cfRule>
  </conditionalFormatting>
  <conditionalFormatting sqref="L549">
    <cfRule type="expression" dxfId="62" priority="61">
      <formula>$K$70="Forecast"</formula>
    </cfRule>
  </conditionalFormatting>
  <conditionalFormatting sqref="L550">
    <cfRule type="expression" dxfId="61" priority="60">
      <formula>$K$71="Forecast"</formula>
    </cfRule>
  </conditionalFormatting>
  <conditionalFormatting sqref="O544">
    <cfRule type="expression" dxfId="60" priority="59">
      <formula>$H$65="Board-approved"</formula>
    </cfRule>
  </conditionalFormatting>
  <conditionalFormatting sqref="O545">
    <cfRule type="expression" dxfId="59" priority="58">
      <formula>$H$66="Board-approved"</formula>
    </cfRule>
  </conditionalFormatting>
  <conditionalFormatting sqref="O546">
    <cfRule type="expression" dxfId="58" priority="57">
      <formula>$H$67="Board-approved"</formula>
    </cfRule>
  </conditionalFormatting>
  <conditionalFormatting sqref="O547">
    <cfRule type="expression" dxfId="57" priority="56">
      <formula>$H$68="Board-approved"</formula>
    </cfRule>
  </conditionalFormatting>
  <conditionalFormatting sqref="O548">
    <cfRule type="expression" dxfId="56" priority="55">
      <formula>$H$69="Board-approved"</formula>
    </cfRule>
  </conditionalFormatting>
  <conditionalFormatting sqref="L565">
    <cfRule type="expression" dxfId="55" priority="54">
      <formula>$K$65="Forecastl"</formula>
    </cfRule>
  </conditionalFormatting>
  <conditionalFormatting sqref="L566">
    <cfRule type="expression" dxfId="54" priority="53">
      <formula>$K$66="Forecast"</formula>
    </cfRule>
  </conditionalFormatting>
  <conditionalFormatting sqref="L567">
    <cfRule type="expression" dxfId="53" priority="52">
      <formula>$K$67="Forecast"</formula>
    </cfRule>
  </conditionalFormatting>
  <conditionalFormatting sqref="L568">
    <cfRule type="expression" dxfId="52" priority="51">
      <formula>$K$68="Forecast"</formula>
    </cfRule>
  </conditionalFormatting>
  <conditionalFormatting sqref="L569">
    <cfRule type="expression" dxfId="51" priority="50">
      <formula>$K$69="Forecast"</formula>
    </cfRule>
  </conditionalFormatting>
  <conditionalFormatting sqref="L570">
    <cfRule type="expression" dxfId="50" priority="49">
      <formula>$K$70="Forecast"</formula>
    </cfRule>
  </conditionalFormatting>
  <conditionalFormatting sqref="L571">
    <cfRule type="expression" dxfId="49" priority="48">
      <formula>$K$71="Forecast"</formula>
    </cfRule>
  </conditionalFormatting>
  <conditionalFormatting sqref="O565">
    <cfRule type="expression" dxfId="48" priority="47">
      <formula>$H$65="Board-approved"</formula>
    </cfRule>
  </conditionalFormatting>
  <conditionalFormatting sqref="O566">
    <cfRule type="expression" dxfId="47" priority="46">
      <formula>$H$66="Board-approved"</formula>
    </cfRule>
  </conditionalFormatting>
  <conditionalFormatting sqref="O567">
    <cfRule type="expression" dxfId="46" priority="45">
      <formula>$H$67="Board-approved"</formula>
    </cfRule>
  </conditionalFormatting>
  <conditionalFormatting sqref="O568">
    <cfRule type="expression" dxfId="45" priority="44">
      <formula>$H$68="Board-approved"</formula>
    </cfRule>
  </conditionalFormatting>
  <conditionalFormatting sqref="O569">
    <cfRule type="expression" dxfId="44" priority="43">
      <formula>$H$69="Board-approved"</formula>
    </cfRule>
  </conditionalFormatting>
  <conditionalFormatting sqref="I565">
    <cfRule type="expression" dxfId="43" priority="42">
      <formula>$H$65="Board-approved"</formula>
    </cfRule>
  </conditionalFormatting>
  <conditionalFormatting sqref="I566">
    <cfRule type="expression" dxfId="42" priority="41">
      <formula>$H$66="Board-approved"</formula>
    </cfRule>
  </conditionalFormatting>
  <conditionalFormatting sqref="I567">
    <cfRule type="expression" dxfId="41" priority="40">
      <formula>$H$67="Board-approved"</formula>
    </cfRule>
  </conditionalFormatting>
  <conditionalFormatting sqref="I568">
    <cfRule type="expression" dxfId="40" priority="39">
      <formula>$H$68="Board-approved"</formula>
    </cfRule>
  </conditionalFormatting>
  <conditionalFormatting sqref="I569">
    <cfRule type="expression" dxfId="39" priority="38">
      <formula>$H$69="Board-approved"</formula>
    </cfRule>
  </conditionalFormatting>
  <conditionalFormatting sqref="K563:U581">
    <cfRule type="expression" dxfId="38" priority="37">
      <formula>$N$448="kWh"</formula>
    </cfRule>
  </conditionalFormatting>
  <conditionalFormatting sqref="I588">
    <cfRule type="expression" dxfId="37" priority="36">
      <formula>$H$65="Board-approved"</formula>
    </cfRule>
  </conditionalFormatting>
  <conditionalFormatting sqref="I589">
    <cfRule type="expression" dxfId="36" priority="35">
      <formula>$H$66="Board-approved"</formula>
    </cfRule>
  </conditionalFormatting>
  <conditionalFormatting sqref="I590">
    <cfRule type="expression" dxfId="35" priority="34">
      <formula>$H$67="Board-approved"</formula>
    </cfRule>
  </conditionalFormatting>
  <conditionalFormatting sqref="I591">
    <cfRule type="expression" dxfId="34" priority="33">
      <formula>$H$68="Board-approved"</formula>
    </cfRule>
  </conditionalFormatting>
  <conditionalFormatting sqref="I592">
    <cfRule type="expression" dxfId="33" priority="32">
      <formula>$H$69="Board-approved"</formula>
    </cfRule>
  </conditionalFormatting>
  <conditionalFormatting sqref="L588">
    <cfRule type="expression" dxfId="32" priority="31">
      <formula>$K$65="Forecastl"</formula>
    </cfRule>
  </conditionalFormatting>
  <conditionalFormatting sqref="L589">
    <cfRule type="expression" dxfId="31" priority="30">
      <formula>$K$66="Forecast"</formula>
    </cfRule>
  </conditionalFormatting>
  <conditionalFormatting sqref="L590">
    <cfRule type="expression" dxfId="30" priority="29">
      <formula>$K$67="Forecast"</formula>
    </cfRule>
  </conditionalFormatting>
  <conditionalFormatting sqref="L591">
    <cfRule type="expression" dxfId="29" priority="28">
      <formula>$K$68="Forecast"</formula>
    </cfRule>
  </conditionalFormatting>
  <conditionalFormatting sqref="L592">
    <cfRule type="expression" dxfId="28" priority="27">
      <formula>$K$69="Forecast"</formula>
    </cfRule>
  </conditionalFormatting>
  <conditionalFormatting sqref="L593">
    <cfRule type="expression" dxfId="27" priority="26">
      <formula>$K$70="Forecast"</formula>
    </cfRule>
  </conditionalFormatting>
  <conditionalFormatting sqref="L594">
    <cfRule type="expression" dxfId="26" priority="25">
      <formula>$K$71="Forecast"</formula>
    </cfRule>
  </conditionalFormatting>
  <conditionalFormatting sqref="O588">
    <cfRule type="expression" dxfId="25" priority="24">
      <formula>$H$65="Board-approved"</formula>
    </cfRule>
  </conditionalFormatting>
  <conditionalFormatting sqref="O589">
    <cfRule type="expression" dxfId="24" priority="23">
      <formula>$H$66="Board-approved"</formula>
    </cfRule>
  </conditionalFormatting>
  <conditionalFormatting sqref="O590">
    <cfRule type="expression" dxfId="23" priority="22">
      <formula>$H$67="Board-approved"</formula>
    </cfRule>
  </conditionalFormatting>
  <conditionalFormatting sqref="O591">
    <cfRule type="expression" dxfId="22" priority="21">
      <formula>$H$68="Board-approved"</formula>
    </cfRule>
  </conditionalFormatting>
  <conditionalFormatting sqref="O592">
    <cfRule type="expression" dxfId="21" priority="20">
      <formula>$H$69="Board-approved"</formula>
    </cfRule>
  </conditionalFormatting>
  <conditionalFormatting sqref="L609">
    <cfRule type="expression" dxfId="20" priority="19">
      <formula>$K$65="Forecastl"</formula>
    </cfRule>
  </conditionalFormatting>
  <conditionalFormatting sqref="L610">
    <cfRule type="expression" dxfId="19" priority="18">
      <formula>$K$66="Forecast"</formula>
    </cfRule>
  </conditionalFormatting>
  <conditionalFormatting sqref="L611">
    <cfRule type="expression" dxfId="18" priority="17">
      <formula>$K$67="Forecast"</formula>
    </cfRule>
  </conditionalFormatting>
  <conditionalFormatting sqref="L612">
    <cfRule type="expression" dxfId="17" priority="16">
      <formula>$K$68="Forecast"</formula>
    </cfRule>
  </conditionalFormatting>
  <conditionalFormatting sqref="L613">
    <cfRule type="expression" dxfId="16" priority="15">
      <formula>$K$69="Forecast"</formula>
    </cfRule>
  </conditionalFormatting>
  <conditionalFormatting sqref="L614">
    <cfRule type="expression" dxfId="15" priority="14">
      <formula>$K$70="Forecast"</formula>
    </cfRule>
  </conditionalFormatting>
  <conditionalFormatting sqref="L615">
    <cfRule type="expression" dxfId="14" priority="13">
      <formula>$K$71="Forecast"</formula>
    </cfRule>
  </conditionalFormatting>
  <conditionalFormatting sqref="O609">
    <cfRule type="expression" dxfId="13" priority="12">
      <formula>$H$65="Board-approved"</formula>
    </cfRule>
  </conditionalFormatting>
  <conditionalFormatting sqref="O610">
    <cfRule type="expression" dxfId="12" priority="11">
      <formula>$H$66="Board-approved"</formula>
    </cfRule>
  </conditionalFormatting>
  <conditionalFormatting sqref="O611">
    <cfRule type="expression" dxfId="11" priority="10">
      <formula>$H$67="Board-approved"</formula>
    </cfRule>
  </conditionalFormatting>
  <conditionalFormatting sqref="O612">
    <cfRule type="expression" dxfId="10" priority="9">
      <formula>$H$68="Board-approved"</formula>
    </cfRule>
  </conditionalFormatting>
  <conditionalFormatting sqref="O613">
    <cfRule type="expression" dxfId="9" priority="8">
      <formula>$H$69="Board-approved"</formula>
    </cfRule>
  </conditionalFormatting>
  <conditionalFormatting sqref="I609">
    <cfRule type="expression" dxfId="8" priority="7">
      <formula>$H$65="Board-approved"</formula>
    </cfRule>
  </conditionalFormatting>
  <conditionalFormatting sqref="I610">
    <cfRule type="expression" dxfId="7" priority="6">
      <formula>$H$66="Board-approved"</formula>
    </cfRule>
  </conditionalFormatting>
  <conditionalFormatting sqref="I611">
    <cfRule type="expression" dxfId="6" priority="5">
      <formula>$H$67="Board-approved"</formula>
    </cfRule>
  </conditionalFormatting>
  <conditionalFormatting sqref="I612">
    <cfRule type="expression" dxfId="5" priority="4">
      <formula>$H$68="Board-approved"</formula>
    </cfRule>
  </conditionalFormatting>
  <conditionalFormatting sqref="I613">
    <cfRule type="expression" dxfId="4" priority="3">
      <formula>$H$69="Board-approved"</formula>
    </cfRule>
  </conditionalFormatting>
  <conditionalFormatting sqref="K607:U625">
    <cfRule type="expression" dxfId="3" priority="2">
      <formula>$N$448="kWh"</formula>
    </cfRule>
  </conditionalFormatting>
  <conditionalFormatting sqref="I132">
    <cfRule type="expression" dxfId="2" priority="1">
      <formula>$H$68="Board-approved"</formula>
    </cfRule>
  </conditionalFormatting>
  <dataValidations disablePrompts="1" count="3">
    <dataValidation type="list" allowBlank="1" showInputMessage="1" showErrorMessage="1" sqref="N61 N104 N147 N190 N233 N276 N319 N362 N405 N448 N495 N540 N584">
      <formula1>"kWh, kW, kVA"</formula1>
    </dataValidation>
    <dataValidation type="list" allowBlank="1" showInputMessage="1" showErrorMessage="1" sqref="F63:I63 F149:I149 F106:I106 F192:I192 F235:I235 F278:I278 F321:I321 F364:I364 F407:I407 F450:I450 F497:I497 F542:I542 F586:I586">
      <formula1>"Customers, Connections"</formula1>
    </dataValidation>
    <dataValidation type="list" allowBlank="1" showInputMessage="1" showErrorMessage="1" sqref="K41:K47">
      <formula1>"Actual, Forecast"</formula1>
    </dataValidation>
  </dataValidations>
  <pageMargins left="0.7" right="0.7" top="0.75" bottom="0.75" header="0.3" footer="0.3"/>
  <pageSetup scale="52" fitToHeight="0" orientation="landscape" r:id="rId1"/>
  <headerFooter>
    <oddHeader>&amp;RFiled: 2017-03-31
EB-2017-0049
Exhibit E1-2-1
Attachment 2
Page &amp;P of &amp;N</oddHeader>
  </headerFooter>
  <rowBreaks count="14" manualBreakCount="14">
    <brk id="58" max="21" man="1"/>
    <brk id="102" max="21" man="1"/>
    <brk id="146" max="21" man="1"/>
    <brk id="189" max="21" man="1"/>
    <brk id="232" max="21" man="1"/>
    <brk id="275" max="21" man="1"/>
    <brk id="317" max="21" man="1"/>
    <brk id="360" max="21" man="1"/>
    <brk id="404" max="21" man="1"/>
    <brk id="446" max="16383" man="1"/>
    <brk id="492" max="21" man="1"/>
    <brk id="538" max="21" man="1"/>
    <brk id="582" max="21" man="1"/>
    <brk id="62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U594"/>
  <sheetViews>
    <sheetView view="pageLayout" zoomScaleNormal="85" workbookViewId="0">
      <selection activeCell="V588" sqref="V588"/>
    </sheetView>
  </sheetViews>
  <sheetFormatPr defaultColWidth="9.28515625" defaultRowHeight="15" x14ac:dyDescent="0.25"/>
  <cols>
    <col min="1" max="1" width="30.7109375" style="151" customWidth="1"/>
    <col min="2" max="2" width="40.28515625" style="151" customWidth="1"/>
    <col min="3" max="3" width="26.42578125" style="151" bestFit="1" customWidth="1"/>
    <col min="4" max="4" width="27.7109375" style="151" bestFit="1" customWidth="1"/>
    <col min="5" max="5" width="24.28515625" style="151" bestFit="1" customWidth="1"/>
    <col min="6" max="6" width="23" style="151" bestFit="1" customWidth="1"/>
    <col min="7" max="7" width="21.5703125" style="151" bestFit="1" customWidth="1"/>
    <col min="8" max="8" width="27" style="151" customWidth="1"/>
    <col min="9" max="9" width="12.42578125" style="151" customWidth="1"/>
    <col min="10" max="12" width="9.28515625" style="151" hidden="1" customWidth="1"/>
    <col min="13" max="14" width="0" style="151" hidden="1" customWidth="1"/>
    <col min="15" max="16384" width="9.28515625" style="151"/>
  </cols>
  <sheetData>
    <row r="1" spans="1:10" s="149" customFormat="1" x14ac:dyDescent="0.25">
      <c r="G1" s="284"/>
      <c r="H1" s="150"/>
      <c r="I1" s="151"/>
      <c r="J1" s="2"/>
    </row>
    <row r="2" spans="1:10" s="149" customFormat="1" x14ac:dyDescent="0.25">
      <c r="G2" s="284"/>
      <c r="H2" s="285"/>
      <c r="I2" s="151"/>
      <c r="J2" s="152"/>
    </row>
    <row r="3" spans="1:10" s="149" customFormat="1" ht="12.4" x14ac:dyDescent="0.25">
      <c r="G3" s="153"/>
    </row>
    <row r="4" spans="1:10" s="149" customFormat="1" ht="18" x14ac:dyDescent="0.4">
      <c r="A4" s="319" t="s">
        <v>62</v>
      </c>
      <c r="B4" s="319"/>
      <c r="C4" s="319"/>
      <c r="D4" s="319"/>
      <c r="E4" s="319"/>
      <c r="F4" s="319"/>
      <c r="G4" s="319"/>
      <c r="H4" s="319"/>
    </row>
    <row r="5" spans="1:10" s="149" customFormat="1" ht="18" x14ac:dyDescent="0.4">
      <c r="A5" s="319" t="s">
        <v>63</v>
      </c>
      <c r="B5" s="319"/>
      <c r="C5" s="319"/>
      <c r="D5" s="319"/>
      <c r="E5" s="319"/>
      <c r="F5" s="319"/>
      <c r="G5" s="319"/>
      <c r="H5" s="319"/>
    </row>
    <row r="7" spans="1:10" ht="14.65" x14ac:dyDescent="0.35">
      <c r="A7" s="342" t="s">
        <v>64</v>
      </c>
      <c r="B7" s="323"/>
      <c r="C7" s="323"/>
      <c r="D7" s="323"/>
      <c r="E7" s="323"/>
      <c r="F7" s="323"/>
      <c r="G7" s="323"/>
      <c r="H7" s="323"/>
    </row>
    <row r="8" spans="1:10" ht="14.65" x14ac:dyDescent="0.35">
      <c r="A8" s="154"/>
      <c r="B8" s="154"/>
      <c r="C8" s="154"/>
      <c r="D8" s="154"/>
      <c r="E8" s="154"/>
      <c r="F8" s="154"/>
      <c r="G8" s="154"/>
      <c r="H8" s="154"/>
    </row>
    <row r="9" spans="1:10" ht="14.65" x14ac:dyDescent="0.35">
      <c r="A9" s="342" t="s">
        <v>65</v>
      </c>
      <c r="B9" s="323"/>
      <c r="C9" s="323"/>
      <c r="D9" s="323"/>
      <c r="E9" s="323"/>
      <c r="F9" s="323"/>
      <c r="G9" s="323"/>
      <c r="H9" s="323"/>
    </row>
    <row r="10" spans="1:10" ht="14.65" x14ac:dyDescent="0.35">
      <c r="A10" s="155"/>
      <c r="B10" s="155"/>
      <c r="C10" s="155"/>
      <c r="D10" s="155"/>
      <c r="E10" s="155"/>
      <c r="F10" s="155"/>
      <c r="G10" s="155"/>
      <c r="H10" s="155"/>
    </row>
    <row r="11" spans="1:10" ht="14.65" x14ac:dyDescent="0.35">
      <c r="A11" s="342" t="s">
        <v>66</v>
      </c>
      <c r="B11" s="323"/>
      <c r="C11" s="323"/>
      <c r="D11" s="323"/>
      <c r="E11" s="323"/>
      <c r="F11" s="323"/>
      <c r="G11" s="323"/>
      <c r="H11" s="323"/>
    </row>
    <row r="12" spans="1:10" ht="14.65" x14ac:dyDescent="0.35">
      <c r="A12" s="155"/>
      <c r="B12" s="155"/>
      <c r="C12" s="155"/>
      <c r="D12" s="155"/>
      <c r="E12" s="155"/>
      <c r="F12" s="155"/>
      <c r="G12" s="155"/>
      <c r="H12" s="155"/>
    </row>
    <row r="13" spans="1:10" ht="18.399999999999999" x14ac:dyDescent="0.35">
      <c r="A13" s="343" t="s">
        <v>67</v>
      </c>
      <c r="B13" s="343"/>
      <c r="C13" s="343"/>
      <c r="D13" s="343"/>
      <c r="E13" s="343"/>
      <c r="F13" s="343"/>
    </row>
    <row r="14" spans="1:10" ht="14.65" x14ac:dyDescent="0.35">
      <c r="A14" s="156"/>
      <c r="B14" s="157"/>
      <c r="C14" s="157"/>
      <c r="D14" s="157"/>
      <c r="E14" s="157"/>
      <c r="F14" s="157"/>
    </row>
    <row r="15" spans="1:10" ht="14.65" x14ac:dyDescent="0.35">
      <c r="A15" s="328" t="s">
        <v>68</v>
      </c>
      <c r="B15" s="328"/>
      <c r="C15" s="328"/>
      <c r="D15" s="328"/>
      <c r="E15" s="328"/>
      <c r="F15" s="328"/>
      <c r="G15" s="328"/>
      <c r="H15" s="328"/>
    </row>
    <row r="16" spans="1:10" thickBot="1" x14ac:dyDescent="0.4">
      <c r="A16" s="156"/>
      <c r="B16" s="157"/>
      <c r="C16" s="157"/>
      <c r="D16" s="157"/>
      <c r="E16" s="157"/>
      <c r="F16" s="157"/>
    </row>
    <row r="17" spans="1:14" ht="14.65" x14ac:dyDescent="0.35">
      <c r="A17" s="344" t="s">
        <v>69</v>
      </c>
      <c r="B17" s="345"/>
      <c r="C17" s="345"/>
      <c r="D17" s="345"/>
      <c r="E17" s="345"/>
      <c r="F17" s="345"/>
      <c r="G17" s="345"/>
      <c r="H17" s="346"/>
    </row>
    <row r="18" spans="1:14" ht="14.65" x14ac:dyDescent="0.35">
      <c r="A18" s="347">
        <v>1159020000</v>
      </c>
      <c r="B18" s="348"/>
      <c r="C18" s="348"/>
      <c r="D18" s="348"/>
      <c r="E18" s="348"/>
      <c r="F18" s="348"/>
      <c r="G18" s="348"/>
      <c r="H18" s="349"/>
    </row>
    <row r="19" spans="1:14" ht="14.65" x14ac:dyDescent="0.35">
      <c r="A19" s="158"/>
      <c r="B19" s="159">
        <v>2015</v>
      </c>
      <c r="C19" s="159">
        <v>2016</v>
      </c>
      <c r="D19" s="159">
        <v>2017</v>
      </c>
      <c r="E19" s="159">
        <v>2018</v>
      </c>
      <c r="F19" s="159">
        <v>2019</v>
      </c>
      <c r="G19" s="159">
        <v>2020</v>
      </c>
      <c r="H19" s="160" t="s">
        <v>70</v>
      </c>
    </row>
    <row r="20" spans="1:14" ht="14.65" x14ac:dyDescent="0.35">
      <c r="A20" s="350" t="s">
        <v>71</v>
      </c>
      <c r="B20" s="351"/>
      <c r="C20" s="351"/>
      <c r="D20" s="351"/>
      <c r="E20" s="351"/>
      <c r="F20" s="351"/>
      <c r="G20" s="351"/>
      <c r="H20" s="352"/>
    </row>
    <row r="21" spans="1:14" ht="14.65" x14ac:dyDescent="0.35">
      <c r="A21" s="161" t="s">
        <v>72</v>
      </c>
      <c r="B21" s="162">
        <f>B29/$H$35</f>
        <v>0.16666666666666666</v>
      </c>
      <c r="C21" s="162">
        <f t="shared" ref="C21:G25" si="0">C29/$H$35</f>
        <v>0.16666666666666666</v>
      </c>
      <c r="D21" s="162">
        <f t="shared" si="0"/>
        <v>0.16666666666666666</v>
      </c>
      <c r="E21" s="162">
        <f t="shared" si="0"/>
        <v>0.16666666666666666</v>
      </c>
      <c r="F21" s="162">
        <f t="shared" si="0"/>
        <v>0.16666666666666666</v>
      </c>
      <c r="G21" s="163">
        <f t="shared" si="0"/>
        <v>0.16666666666666666</v>
      </c>
      <c r="H21" s="164">
        <f>G21</f>
        <v>0.16666666666666666</v>
      </c>
    </row>
    <row r="22" spans="1:14" ht="14.65" x14ac:dyDescent="0.35">
      <c r="A22" s="161" t="s">
        <v>73</v>
      </c>
      <c r="B22" s="165"/>
      <c r="C22" s="162">
        <f t="shared" si="0"/>
        <v>0.16666666666666666</v>
      </c>
      <c r="D22" s="162">
        <f t="shared" si="0"/>
        <v>0.16666666666666666</v>
      </c>
      <c r="E22" s="162">
        <f t="shared" si="0"/>
        <v>0.16666666666666666</v>
      </c>
      <c r="F22" s="162">
        <f t="shared" si="0"/>
        <v>0.16666666666666666</v>
      </c>
      <c r="G22" s="163">
        <f t="shared" si="0"/>
        <v>0.16666666666666666</v>
      </c>
      <c r="H22" s="164">
        <f t="shared" ref="H22:H26" si="1">G22</f>
        <v>0.16666666666666666</v>
      </c>
    </row>
    <row r="23" spans="1:14" ht="14.65" x14ac:dyDescent="0.35">
      <c r="A23" s="161" t="s">
        <v>74</v>
      </c>
      <c r="B23" s="165"/>
      <c r="C23" s="165"/>
      <c r="D23" s="162">
        <f t="shared" si="0"/>
        <v>0.16666666666666666</v>
      </c>
      <c r="E23" s="162">
        <f t="shared" si="0"/>
        <v>0.16666666666666666</v>
      </c>
      <c r="F23" s="162">
        <f t="shared" si="0"/>
        <v>0.16666666666666666</v>
      </c>
      <c r="G23" s="163">
        <f t="shared" si="0"/>
        <v>0.16666666666666666</v>
      </c>
      <c r="H23" s="164">
        <f t="shared" si="1"/>
        <v>0.16666666666666666</v>
      </c>
    </row>
    <row r="24" spans="1:14" ht="14.65" x14ac:dyDescent="0.35">
      <c r="A24" s="161" t="s">
        <v>75</v>
      </c>
      <c r="B24" s="165"/>
      <c r="C24" s="165"/>
      <c r="D24" s="166"/>
      <c r="E24" s="162">
        <f t="shared" si="0"/>
        <v>0.16666666666666666</v>
      </c>
      <c r="F24" s="162">
        <f t="shared" si="0"/>
        <v>0.16666666666666666</v>
      </c>
      <c r="G24" s="163">
        <f t="shared" si="0"/>
        <v>0.16666666666666666</v>
      </c>
      <c r="H24" s="164">
        <f t="shared" si="1"/>
        <v>0.16666666666666666</v>
      </c>
    </row>
    <row r="25" spans="1:14" ht="14.65" x14ac:dyDescent="0.35">
      <c r="A25" s="161" t="s">
        <v>76</v>
      </c>
      <c r="B25" s="165"/>
      <c r="C25" s="165"/>
      <c r="D25" s="166"/>
      <c r="E25" s="166"/>
      <c r="F25" s="162">
        <f t="shared" si="0"/>
        <v>0.16666666666666666</v>
      </c>
      <c r="G25" s="163">
        <f t="shared" si="0"/>
        <v>0.16666666666666666</v>
      </c>
      <c r="H25" s="164">
        <f t="shared" si="1"/>
        <v>0.16666666666666666</v>
      </c>
    </row>
    <row r="26" spans="1:14" thickBot="1" x14ac:dyDescent="0.4">
      <c r="A26" s="167" t="s">
        <v>77</v>
      </c>
      <c r="B26" s="168"/>
      <c r="C26" s="168"/>
      <c r="D26" s="168"/>
      <c r="E26" s="168"/>
      <c r="F26" s="168"/>
      <c r="G26" s="169">
        <f>G34/$H$35</f>
        <v>0.16666666666666666</v>
      </c>
      <c r="H26" s="164">
        <f t="shared" si="1"/>
        <v>0.16666666666666666</v>
      </c>
    </row>
    <row r="27" spans="1:14" thickTop="1" x14ac:dyDescent="0.35">
      <c r="A27" s="170" t="s">
        <v>78</v>
      </c>
      <c r="B27" s="171">
        <f>SUM(B21:B26)</f>
        <v>0.16666666666666666</v>
      </c>
      <c r="C27" s="171">
        <f>SUM(C21:C26)</f>
        <v>0.33333333333333331</v>
      </c>
      <c r="D27" s="171">
        <f>SUM(D21:D26)</f>
        <v>0.5</v>
      </c>
      <c r="E27" s="171">
        <f>SUM(E21:E24)</f>
        <v>0.66666666666666663</v>
      </c>
      <c r="F27" s="171">
        <f>SUM(F21:F25)</f>
        <v>0.83333333333333326</v>
      </c>
      <c r="G27" s="172">
        <f>SUM(G21:G26)</f>
        <v>0.99999999999999989</v>
      </c>
      <c r="H27" s="173">
        <f>SUM(H21:H26)</f>
        <v>0.99999999999999989</v>
      </c>
    </row>
    <row r="28" spans="1:14" ht="14.65" x14ac:dyDescent="0.35">
      <c r="A28" s="353" t="s">
        <v>42</v>
      </c>
      <c r="B28" s="354"/>
      <c r="C28" s="354"/>
      <c r="D28" s="354"/>
      <c r="E28" s="354"/>
      <c r="F28" s="354"/>
      <c r="G28" s="354"/>
      <c r="H28" s="355"/>
    </row>
    <row r="29" spans="1:14" ht="14.65" x14ac:dyDescent="0.35">
      <c r="A29" s="161" t="str">
        <f t="shared" ref="A29:A34" si="2">A21</f>
        <v>2015 CDM Programs</v>
      </c>
      <c r="B29" s="174">
        <f>1/6*A18</f>
        <v>193170000</v>
      </c>
      <c r="C29" s="174">
        <f t="shared" ref="C29:H29" si="3">B29</f>
        <v>193170000</v>
      </c>
      <c r="D29" s="174">
        <f t="shared" si="3"/>
        <v>193170000</v>
      </c>
      <c r="E29" s="174">
        <f t="shared" si="3"/>
        <v>193170000</v>
      </c>
      <c r="F29" s="174">
        <f t="shared" si="3"/>
        <v>193170000</v>
      </c>
      <c r="G29" s="175">
        <f t="shared" si="3"/>
        <v>193170000</v>
      </c>
      <c r="H29" s="176">
        <f t="shared" si="3"/>
        <v>193170000</v>
      </c>
    </row>
    <row r="30" spans="1:14" ht="14.65" x14ac:dyDescent="0.35">
      <c r="A30" s="161" t="str">
        <f t="shared" si="2"/>
        <v>2016 CDM Programs</v>
      </c>
      <c r="B30" s="177"/>
      <c r="C30" s="178">
        <f>2/6*A18-C29</f>
        <v>193170000</v>
      </c>
      <c r="D30" s="179">
        <f>C30</f>
        <v>193170000</v>
      </c>
      <c r="E30" s="179">
        <f>D30</f>
        <v>193170000</v>
      </c>
      <c r="F30" s="179">
        <f>E30</f>
        <v>193170000</v>
      </c>
      <c r="G30" s="175">
        <f>F30</f>
        <v>193170000</v>
      </c>
      <c r="H30" s="176">
        <f>G30</f>
        <v>193170000</v>
      </c>
      <c r="K30" s="151">
        <v>2011</v>
      </c>
      <c r="L30" s="151">
        <v>2012</v>
      </c>
      <c r="M30" s="151">
        <v>2013</v>
      </c>
      <c r="N30" s="151">
        <v>2014</v>
      </c>
    </row>
    <row r="31" spans="1:14" ht="14.65" x14ac:dyDescent="0.35">
      <c r="A31" s="161" t="str">
        <f t="shared" si="2"/>
        <v>2017 CDM Programs</v>
      </c>
      <c r="B31" s="177"/>
      <c r="C31" s="177"/>
      <c r="D31" s="178">
        <f>3/6*A18-D29-D30</f>
        <v>193170000</v>
      </c>
      <c r="E31" s="179">
        <f>D31</f>
        <v>193170000</v>
      </c>
      <c r="F31" s="179">
        <f>E31</f>
        <v>193170000</v>
      </c>
      <c r="G31" s="175">
        <f>F31</f>
        <v>193170000</v>
      </c>
      <c r="H31" s="176">
        <f>G31</f>
        <v>193170000</v>
      </c>
      <c r="J31" s="151" t="s">
        <v>79</v>
      </c>
      <c r="K31" s="180">
        <f>50%</f>
        <v>0.5</v>
      </c>
      <c r="L31" s="181">
        <v>1</v>
      </c>
      <c r="M31" s="182">
        <v>1</v>
      </c>
      <c r="N31" s="182">
        <v>1</v>
      </c>
    </row>
    <row r="32" spans="1:14" ht="14.65" x14ac:dyDescent="0.35">
      <c r="A32" s="161" t="str">
        <f t="shared" si="2"/>
        <v>2018 CDM Programs</v>
      </c>
      <c r="B32" s="177"/>
      <c r="C32" s="177"/>
      <c r="D32" s="177"/>
      <c r="E32" s="174">
        <f>4/6*A18-E29-E30-E31</f>
        <v>193170000</v>
      </c>
      <c r="F32" s="174">
        <f>E32</f>
        <v>193170000</v>
      </c>
      <c r="G32" s="183">
        <f>F32</f>
        <v>193170000</v>
      </c>
      <c r="H32" s="176">
        <f>G32</f>
        <v>193170000</v>
      </c>
      <c r="J32" s="151" t="s">
        <v>80</v>
      </c>
      <c r="L32" s="181">
        <v>0.5</v>
      </c>
      <c r="M32" s="182">
        <v>1</v>
      </c>
      <c r="N32" s="182">
        <v>1</v>
      </c>
    </row>
    <row r="33" spans="1:15" ht="14.65" x14ac:dyDescent="0.35">
      <c r="A33" s="161" t="str">
        <f t="shared" si="2"/>
        <v>2019 CDM Programs</v>
      </c>
      <c r="B33" s="177"/>
      <c r="C33" s="177"/>
      <c r="D33" s="177"/>
      <c r="E33" s="177"/>
      <c r="F33" s="174">
        <f>5/6*A18-F29-F30-F31-F32</f>
        <v>193170000</v>
      </c>
      <c r="G33" s="183">
        <f>F33</f>
        <v>193170000</v>
      </c>
      <c r="H33" s="176">
        <f>G33</f>
        <v>193170000</v>
      </c>
      <c r="J33" s="151" t="s">
        <v>81</v>
      </c>
      <c r="M33" s="182">
        <v>0.5</v>
      </c>
      <c r="N33" s="182">
        <v>1</v>
      </c>
    </row>
    <row r="34" spans="1:15" thickBot="1" x14ac:dyDescent="0.4">
      <c r="A34" s="167" t="str">
        <f t="shared" si="2"/>
        <v>2020 CDM Programs</v>
      </c>
      <c r="B34" s="184"/>
      <c r="C34" s="184"/>
      <c r="D34" s="184"/>
      <c r="E34" s="184"/>
      <c r="F34" s="184"/>
      <c r="G34" s="185">
        <f>F33</f>
        <v>193170000</v>
      </c>
      <c r="H34" s="186">
        <f>G34</f>
        <v>193170000</v>
      </c>
      <c r="J34" s="151" t="s">
        <v>82</v>
      </c>
      <c r="N34" s="182">
        <v>0.5</v>
      </c>
    </row>
    <row r="35" spans="1:15" ht="15.6" thickTop="1" thickBot="1" x14ac:dyDescent="0.35">
      <c r="A35" s="187" t="s">
        <v>78</v>
      </c>
      <c r="B35" s="188">
        <f>SUM(B29:B34)</f>
        <v>193170000</v>
      </c>
      <c r="C35" s="188">
        <f t="shared" ref="C35:D35" si="4">SUM(C29:C34)</f>
        <v>386340000</v>
      </c>
      <c r="D35" s="188">
        <f t="shared" si="4"/>
        <v>579510000</v>
      </c>
      <c r="E35" s="188">
        <f>SUM(E29:E32)</f>
        <v>772680000</v>
      </c>
      <c r="F35" s="188">
        <f>SUM(F29:F33)</f>
        <v>965850000</v>
      </c>
      <c r="G35" s="189">
        <f>SUM(G29:G34)</f>
        <v>1159020000</v>
      </c>
      <c r="H35" s="190">
        <f>SUM(H29:H34)</f>
        <v>1159020000</v>
      </c>
    </row>
    <row r="36" spans="1:15" ht="12" customHeight="1" x14ac:dyDescent="0.3">
      <c r="A36" s="156"/>
      <c r="B36" s="157"/>
      <c r="C36" s="157"/>
      <c r="D36" s="157"/>
      <c r="E36" s="157"/>
      <c r="F36" s="157"/>
    </row>
    <row r="37" spans="1:15" ht="96.75" customHeight="1" x14ac:dyDescent="0.3">
      <c r="A37" s="341" t="s">
        <v>83</v>
      </c>
      <c r="B37" s="341"/>
      <c r="C37" s="341"/>
      <c r="D37" s="341"/>
      <c r="E37" s="341"/>
      <c r="F37" s="341"/>
      <c r="G37" s="271"/>
      <c r="H37" s="272"/>
      <c r="I37" s="271"/>
      <c r="J37" s="220"/>
      <c r="K37" s="220"/>
      <c r="L37" s="220"/>
      <c r="M37" s="220"/>
      <c r="N37" s="220"/>
      <c r="O37" s="220"/>
    </row>
    <row r="38" spans="1:15" x14ac:dyDescent="0.25">
      <c r="A38" s="156"/>
      <c r="B38" s="157"/>
      <c r="C38" s="157"/>
      <c r="D38" s="157"/>
      <c r="E38" s="157"/>
      <c r="F38" s="157"/>
      <c r="G38" s="220"/>
      <c r="H38" s="220"/>
      <c r="I38" s="220"/>
      <c r="J38" s="220"/>
      <c r="K38" s="220"/>
      <c r="L38" s="220"/>
      <c r="M38" s="220"/>
      <c r="N38" s="220"/>
      <c r="O38" s="220"/>
    </row>
    <row r="39" spans="1:15" ht="18.75" x14ac:dyDescent="0.3">
      <c r="A39" s="326" t="s">
        <v>84</v>
      </c>
      <c r="B39" s="326"/>
      <c r="C39" s="326"/>
      <c r="D39" s="326"/>
      <c r="E39" s="326"/>
      <c r="F39" s="326"/>
      <c r="G39" s="326"/>
      <c r="H39" s="326"/>
    </row>
    <row r="40" spans="1:15" x14ac:dyDescent="0.25">
      <c r="A40" s="156"/>
      <c r="B40" s="157"/>
      <c r="C40" s="157"/>
      <c r="D40" s="157"/>
      <c r="E40" s="157"/>
      <c r="F40" s="157"/>
    </row>
    <row r="41" spans="1:15" ht="52.5" customHeight="1" x14ac:dyDescent="0.25">
      <c r="A41" s="327" t="s">
        <v>85</v>
      </c>
      <c r="B41" s="328"/>
      <c r="C41" s="328"/>
      <c r="D41" s="328"/>
      <c r="E41" s="328"/>
      <c r="F41" s="328"/>
      <c r="G41" s="328"/>
      <c r="H41" s="328"/>
    </row>
    <row r="42" spans="1:15" ht="12" customHeight="1" x14ac:dyDescent="0.25">
      <c r="A42" s="156"/>
      <c r="B42" s="157"/>
      <c r="C42" s="157"/>
      <c r="D42" s="157"/>
      <c r="E42" s="157"/>
      <c r="F42" s="157"/>
    </row>
    <row r="43" spans="1:15" ht="44.25" customHeight="1" x14ac:dyDescent="0.25">
      <c r="A43" s="329" t="s">
        <v>86</v>
      </c>
      <c r="B43" s="328"/>
      <c r="C43" s="328"/>
      <c r="D43" s="328"/>
      <c r="E43" s="328"/>
      <c r="F43" s="328"/>
      <c r="G43" s="328"/>
      <c r="H43" s="328"/>
    </row>
    <row r="44" spans="1:15" ht="15.75" thickBot="1" x14ac:dyDescent="0.3">
      <c r="A44" s="191"/>
      <c r="B44" s="192"/>
      <c r="C44" s="192"/>
      <c r="D44" s="192"/>
      <c r="E44" s="192"/>
      <c r="F44" s="192"/>
    </row>
    <row r="45" spans="1:15" x14ac:dyDescent="0.25">
      <c r="A45" s="330" t="s">
        <v>87</v>
      </c>
      <c r="B45" s="331"/>
      <c r="C45" s="331"/>
      <c r="D45" s="331"/>
      <c r="E45" s="331"/>
      <c r="F45" s="332"/>
    </row>
    <row r="46" spans="1:15" x14ac:dyDescent="0.25">
      <c r="A46" s="193"/>
      <c r="B46" s="194"/>
      <c r="C46" s="194"/>
      <c r="D46" s="194"/>
      <c r="E46" s="194"/>
      <c r="F46" s="195"/>
    </row>
    <row r="47" spans="1:15" x14ac:dyDescent="0.25">
      <c r="A47" s="333" t="s">
        <v>88</v>
      </c>
      <c r="B47" s="334"/>
      <c r="C47" s="334"/>
      <c r="D47" s="334"/>
      <c r="E47" s="334"/>
      <c r="F47" s="196" t="s">
        <v>89</v>
      </c>
    </row>
    <row r="48" spans="1:15" x14ac:dyDescent="0.25">
      <c r="A48" s="197"/>
      <c r="B48" s="198"/>
      <c r="C48" s="198"/>
      <c r="D48" s="198"/>
      <c r="E48" s="198"/>
      <c r="F48" s="199"/>
    </row>
    <row r="49" spans="1:8" ht="30" x14ac:dyDescent="0.25">
      <c r="A49" s="200"/>
      <c r="B49" s="201"/>
      <c r="C49" s="194" t="s">
        <v>90</v>
      </c>
      <c r="D49" s="194" t="s">
        <v>91</v>
      </c>
      <c r="E49" s="194" t="s">
        <v>92</v>
      </c>
      <c r="F49" s="202" t="s">
        <v>93</v>
      </c>
    </row>
    <row r="50" spans="1:8" x14ac:dyDescent="0.25">
      <c r="A50" s="335" t="s">
        <v>94</v>
      </c>
      <c r="B50" s="336"/>
      <c r="C50" s="203" t="s">
        <v>42</v>
      </c>
      <c r="D50" s="203" t="s">
        <v>42</v>
      </c>
      <c r="E50" s="203" t="s">
        <v>42</v>
      </c>
      <c r="F50" s="204" t="s">
        <v>95</v>
      </c>
    </row>
    <row r="51" spans="1:8" x14ac:dyDescent="0.25">
      <c r="A51" s="205" t="s">
        <v>96</v>
      </c>
      <c r="B51" s="206"/>
      <c r="F51" s="207"/>
    </row>
    <row r="52" spans="1:8" x14ac:dyDescent="0.25">
      <c r="A52" s="205" t="s">
        <v>97</v>
      </c>
      <c r="B52" s="206"/>
      <c r="C52" s="273">
        <v>125397607</v>
      </c>
      <c r="D52" s="273">
        <v>85659571</v>
      </c>
      <c r="E52" s="273">
        <f>IF(ISBLANK(D52),"",C52-D52)</f>
        <v>39738036</v>
      </c>
      <c r="F52" s="207"/>
    </row>
    <row r="53" spans="1:8" x14ac:dyDescent="0.25">
      <c r="A53" s="205" t="s">
        <v>98</v>
      </c>
      <c r="B53" s="206"/>
      <c r="C53" s="274">
        <v>81864854</v>
      </c>
      <c r="D53" s="274">
        <v>59957751</v>
      </c>
      <c r="E53" s="274">
        <f>IF(ISBLANK(D53),"",C53-D53)</f>
        <v>21907103</v>
      </c>
      <c r="F53" s="207"/>
    </row>
    <row r="54" spans="1:8" x14ac:dyDescent="0.25">
      <c r="A54" s="205" t="s">
        <v>99</v>
      </c>
      <c r="B54" s="206"/>
      <c r="C54" s="274">
        <v>104555410</v>
      </c>
      <c r="D54" s="274">
        <v>80075123</v>
      </c>
      <c r="E54" s="274">
        <f>IF(ISBLANK(D54),"",C54-D54)</f>
        <v>24480287</v>
      </c>
      <c r="F54" s="207"/>
    </row>
    <row r="55" spans="1:8" x14ac:dyDescent="0.25">
      <c r="A55" s="205" t="s">
        <v>100</v>
      </c>
      <c r="B55" s="206"/>
      <c r="C55" s="274">
        <v>246423234</v>
      </c>
      <c r="D55" s="274">
        <v>211669008</v>
      </c>
      <c r="E55" s="274">
        <f>IF(ISBLANK(D55),"",C55-D55)</f>
        <v>34754226</v>
      </c>
      <c r="F55" s="207"/>
    </row>
    <row r="56" spans="1:8" ht="15.75" thickBot="1" x14ac:dyDescent="0.3">
      <c r="A56" s="208" t="s">
        <v>101</v>
      </c>
      <c r="B56" s="209"/>
      <c r="C56" s="275">
        <v>254562799</v>
      </c>
      <c r="D56" s="275">
        <v>229733480</v>
      </c>
      <c r="E56" s="275">
        <f>IF(ISBLANK(D56),"",C56-D56)</f>
        <v>24829319</v>
      </c>
      <c r="F56" s="210"/>
    </row>
    <row r="57" spans="1:8" ht="16.5" thickTop="1" thickBot="1" x14ac:dyDescent="0.3">
      <c r="A57" s="337" t="s">
        <v>102</v>
      </c>
      <c r="B57" s="338"/>
      <c r="C57" s="211">
        <f>SUM(C52:C56)</f>
        <v>812803904</v>
      </c>
      <c r="D57" s="211">
        <f>SUM(D52:D56)</f>
        <v>667094933</v>
      </c>
      <c r="E57" s="212">
        <f>C57-D57</f>
        <v>145708971</v>
      </c>
      <c r="F57" s="213">
        <f>IF(D57=0,0,IF(F47="net",0,E57/D57))</f>
        <v>0</v>
      </c>
    </row>
    <row r="58" spans="1:8" x14ac:dyDescent="0.25">
      <c r="A58" s="214"/>
      <c r="B58" s="214"/>
      <c r="C58" s="215"/>
      <c r="D58" s="215"/>
      <c r="E58" s="216"/>
      <c r="F58" s="217"/>
    </row>
    <row r="59" spans="1:8" x14ac:dyDescent="0.25">
      <c r="A59" s="328" t="s">
        <v>103</v>
      </c>
      <c r="B59" s="328"/>
      <c r="C59" s="328"/>
      <c r="D59" s="328"/>
      <c r="E59" s="328"/>
      <c r="F59" s="328"/>
      <c r="G59" s="328"/>
      <c r="H59" s="328"/>
    </row>
    <row r="60" spans="1:8" x14ac:dyDescent="0.25">
      <c r="A60" s="218"/>
      <c r="B60" s="218"/>
      <c r="C60" s="218"/>
      <c r="D60" s="218"/>
      <c r="E60" s="218"/>
      <c r="F60" s="218"/>
      <c r="G60" s="218"/>
      <c r="H60" s="218"/>
    </row>
    <row r="61" spans="1:8" x14ac:dyDescent="0.25">
      <c r="A61" s="328" t="s">
        <v>104</v>
      </c>
      <c r="B61" s="328"/>
      <c r="C61" s="328"/>
      <c r="D61" s="328"/>
      <c r="E61" s="328"/>
      <c r="F61" s="328"/>
      <c r="G61" s="328"/>
      <c r="H61" s="328"/>
    </row>
    <row r="62" spans="1:8" x14ac:dyDescent="0.25">
      <c r="A62" s="214"/>
      <c r="B62" s="219"/>
      <c r="C62" s="215"/>
      <c r="D62" s="215"/>
      <c r="E62" s="215"/>
      <c r="F62" s="217"/>
    </row>
    <row r="63" spans="1:8" ht="15.75" thickBot="1" x14ac:dyDescent="0.3">
      <c r="A63" s="339" t="s">
        <v>105</v>
      </c>
      <c r="B63" s="339"/>
      <c r="C63" s="339"/>
      <c r="D63" s="339"/>
      <c r="E63" s="339"/>
      <c r="F63" s="339"/>
      <c r="G63" s="220"/>
    </row>
    <row r="64" spans="1:8" x14ac:dyDescent="0.25">
      <c r="A64" s="221"/>
      <c r="B64" s="222">
        <v>2015</v>
      </c>
      <c r="C64" s="222">
        <v>2016</v>
      </c>
      <c r="D64" s="222">
        <v>2017</v>
      </c>
      <c r="E64" s="222">
        <v>2018</v>
      </c>
      <c r="F64" s="223">
        <v>2019</v>
      </c>
      <c r="G64" s="223">
        <v>2020</v>
      </c>
      <c r="H64" s="224"/>
    </row>
    <row r="65" spans="1:8" ht="45" x14ac:dyDescent="0.25">
      <c r="A65" s="225" t="s">
        <v>106</v>
      </c>
      <c r="B65" s="226">
        <v>1</v>
      </c>
      <c r="C65" s="226">
        <v>1</v>
      </c>
      <c r="D65" s="226">
        <v>1</v>
      </c>
      <c r="E65" s="227">
        <v>1</v>
      </c>
      <c r="F65" s="227">
        <v>1</v>
      </c>
      <c r="G65" s="227">
        <v>1</v>
      </c>
      <c r="H65" s="228" t="s">
        <v>107</v>
      </c>
    </row>
    <row r="66" spans="1:8" ht="90.75" thickBot="1" x14ac:dyDescent="0.3">
      <c r="A66" s="229" t="s">
        <v>108</v>
      </c>
      <c r="B66" s="230" t="s">
        <v>109</v>
      </c>
      <c r="C66" s="231" t="s">
        <v>110</v>
      </c>
      <c r="D66" s="231" t="s">
        <v>111</v>
      </c>
      <c r="E66" s="340" t="s">
        <v>112</v>
      </c>
      <c r="F66" s="340"/>
      <c r="G66" s="340"/>
      <c r="H66" s="213"/>
    </row>
    <row r="67" spans="1:8" x14ac:dyDescent="0.25">
      <c r="A67" s="232"/>
      <c r="B67" s="233"/>
      <c r="C67" s="233"/>
      <c r="D67" s="233"/>
      <c r="E67" s="233"/>
      <c r="F67" s="233"/>
      <c r="G67" s="217"/>
    </row>
    <row r="68" spans="1:8" ht="18.75" x14ac:dyDescent="0.25">
      <c r="A68" s="325" t="s">
        <v>113</v>
      </c>
      <c r="B68" s="325"/>
      <c r="C68" s="325"/>
      <c r="D68" s="325"/>
      <c r="E68" s="325"/>
      <c r="F68" s="325"/>
      <c r="G68" s="325"/>
      <c r="H68" s="325"/>
    </row>
    <row r="69" spans="1:8" ht="18.75" x14ac:dyDescent="0.25">
      <c r="A69" s="234"/>
      <c r="B69" s="234"/>
      <c r="C69" s="234"/>
      <c r="D69" s="234"/>
      <c r="E69" s="234"/>
      <c r="F69" s="234"/>
      <c r="G69" s="234"/>
      <c r="H69" s="234"/>
    </row>
    <row r="70" spans="1:8" x14ac:dyDescent="0.25">
      <c r="A70" s="323" t="s">
        <v>114</v>
      </c>
      <c r="B70" s="323"/>
      <c r="C70" s="323"/>
      <c r="D70" s="323"/>
      <c r="E70" s="323"/>
      <c r="F70" s="323"/>
      <c r="G70" s="323"/>
      <c r="H70" s="323"/>
    </row>
    <row r="71" spans="1:8" x14ac:dyDescent="0.25">
      <c r="A71" s="214"/>
      <c r="B71" s="233"/>
      <c r="C71" s="233"/>
      <c r="D71" s="233"/>
      <c r="E71" s="233"/>
      <c r="F71" s="217"/>
    </row>
    <row r="72" spans="1:8" x14ac:dyDescent="0.25">
      <c r="A72" s="323" t="s">
        <v>115</v>
      </c>
      <c r="B72" s="323"/>
      <c r="C72" s="323"/>
      <c r="D72" s="323"/>
      <c r="E72" s="323"/>
      <c r="F72" s="323"/>
      <c r="G72" s="323"/>
      <c r="H72" s="323"/>
    </row>
    <row r="73" spans="1:8" x14ac:dyDescent="0.25">
      <c r="A73" s="235"/>
      <c r="B73" s="235"/>
      <c r="C73" s="235"/>
      <c r="D73" s="235"/>
      <c r="E73" s="235"/>
      <c r="F73" s="235"/>
    </row>
    <row r="74" spans="1:8" x14ac:dyDescent="0.25">
      <c r="A74" s="324" t="s">
        <v>116</v>
      </c>
      <c r="B74" s="324"/>
      <c r="C74" s="324"/>
      <c r="D74" s="324"/>
      <c r="E74" s="324"/>
      <c r="F74" s="324"/>
      <c r="G74" s="324"/>
      <c r="H74" s="324"/>
    </row>
    <row r="75" spans="1:8" x14ac:dyDescent="0.25">
      <c r="A75" s="235"/>
      <c r="B75" s="235"/>
      <c r="C75" s="235"/>
      <c r="D75" s="235"/>
      <c r="E75" s="235"/>
      <c r="F75" s="235"/>
    </row>
    <row r="76" spans="1:8" x14ac:dyDescent="0.25">
      <c r="A76" s="323" t="s">
        <v>117</v>
      </c>
      <c r="B76" s="323"/>
      <c r="C76" s="323"/>
      <c r="D76" s="323"/>
      <c r="E76" s="323"/>
      <c r="F76" s="323"/>
      <c r="G76" s="323"/>
      <c r="H76" s="323"/>
    </row>
    <row r="77" spans="1:8" x14ac:dyDescent="0.25">
      <c r="A77" s="235"/>
      <c r="B77" s="235"/>
      <c r="C77" s="235"/>
      <c r="D77" s="235"/>
      <c r="E77" s="235"/>
      <c r="F77" s="235"/>
    </row>
    <row r="78" spans="1:8" x14ac:dyDescent="0.25">
      <c r="A78" s="323" t="s">
        <v>118</v>
      </c>
      <c r="B78" s="323"/>
      <c r="C78" s="323"/>
      <c r="D78" s="323"/>
      <c r="E78" s="323"/>
      <c r="F78" s="323"/>
      <c r="G78" s="323"/>
      <c r="H78" s="323"/>
    </row>
    <row r="79" spans="1:8" x14ac:dyDescent="0.25">
      <c r="A79" s="235"/>
      <c r="B79" s="235"/>
      <c r="C79" s="235"/>
      <c r="D79" s="235"/>
      <c r="E79" s="235"/>
      <c r="F79" s="235"/>
    </row>
    <row r="80" spans="1:8" x14ac:dyDescent="0.25">
      <c r="A80" s="323" t="s">
        <v>119</v>
      </c>
      <c r="B80" s="323"/>
      <c r="C80" s="323"/>
      <c r="D80" s="323"/>
      <c r="E80" s="323"/>
      <c r="F80" s="323"/>
      <c r="G80" s="323"/>
      <c r="H80" s="323"/>
    </row>
    <row r="81" spans="1:8" ht="15.75" thickBot="1" x14ac:dyDescent="0.3">
      <c r="A81" s="214"/>
      <c r="B81" s="219"/>
      <c r="C81" s="215"/>
      <c r="D81" s="215"/>
      <c r="E81" s="215"/>
      <c r="F81" s="217"/>
    </row>
    <row r="82" spans="1:8" x14ac:dyDescent="0.25">
      <c r="A82" s="236"/>
      <c r="B82" s="237">
        <v>2015</v>
      </c>
      <c r="C82" s="237">
        <v>2016</v>
      </c>
      <c r="D82" s="238">
        <v>2017</v>
      </c>
      <c r="E82" s="239">
        <v>2018</v>
      </c>
      <c r="F82" s="239">
        <v>2019</v>
      </c>
      <c r="G82" s="237">
        <v>2020</v>
      </c>
      <c r="H82" s="240"/>
    </row>
    <row r="83" spans="1:8" x14ac:dyDescent="0.25">
      <c r="A83" s="241"/>
      <c r="B83" s="242"/>
      <c r="C83" s="242"/>
      <c r="D83" s="242"/>
      <c r="E83" s="242"/>
      <c r="F83" s="242"/>
      <c r="G83" s="242"/>
      <c r="H83" s="243"/>
    </row>
    <row r="84" spans="1:8" ht="30.75" thickBot="1" x14ac:dyDescent="0.3">
      <c r="A84" s="244" t="s">
        <v>120</v>
      </c>
      <c r="B84" s="245">
        <f>B35</f>
        <v>193170000</v>
      </c>
      <c r="C84" s="245">
        <f t="shared" ref="C84:G84" si="5">C35</f>
        <v>386340000</v>
      </c>
      <c r="D84" s="245">
        <f t="shared" si="5"/>
        <v>579510000</v>
      </c>
      <c r="E84" s="245">
        <f t="shared" si="5"/>
        <v>772680000</v>
      </c>
      <c r="F84" s="245">
        <f t="shared" si="5"/>
        <v>965850000</v>
      </c>
      <c r="G84" s="245">
        <f t="shared" si="5"/>
        <v>1159020000</v>
      </c>
      <c r="H84" s="246"/>
    </row>
    <row r="85" spans="1:8" ht="16.5" thickTop="1" thickBot="1" x14ac:dyDescent="0.3">
      <c r="A85" s="247"/>
      <c r="B85" s="248"/>
      <c r="C85" s="249"/>
      <c r="D85" s="249"/>
      <c r="E85" s="249"/>
      <c r="F85" s="248"/>
      <c r="G85" s="248"/>
      <c r="H85" s="250"/>
    </row>
    <row r="86" spans="1:8" ht="30.75" thickTop="1" x14ac:dyDescent="0.25">
      <c r="A86" s="251" t="s">
        <v>121</v>
      </c>
      <c r="B86" s="252">
        <f>B84*(1+F57)*B65</f>
        <v>193170000</v>
      </c>
      <c r="C86" s="252">
        <f>C84*(1+G57)*C65</f>
        <v>386340000</v>
      </c>
      <c r="D86" s="252">
        <f t="shared" ref="D86:G86" si="6">D84*(1+H57)*D65</f>
        <v>579510000</v>
      </c>
      <c r="E86" s="252">
        <f t="shared" si="6"/>
        <v>772680000</v>
      </c>
      <c r="F86" s="252">
        <f t="shared" si="6"/>
        <v>965850000</v>
      </c>
      <c r="G86" s="252">
        <f t="shared" si="6"/>
        <v>1159020000</v>
      </c>
      <c r="H86" s="253"/>
    </row>
    <row r="87" spans="1:8" x14ac:dyDescent="0.25">
      <c r="A87" s="241"/>
      <c r="B87" s="254"/>
      <c r="C87" s="254"/>
      <c r="D87" s="254"/>
      <c r="E87" s="254"/>
      <c r="F87" s="255"/>
      <c r="G87" s="254"/>
      <c r="H87" s="256"/>
    </row>
    <row r="88" spans="1:8" x14ac:dyDescent="0.25">
      <c r="A88" s="257" t="s">
        <v>122</v>
      </c>
      <c r="B88" s="276">
        <v>7.3999999999999996E-2</v>
      </c>
      <c r="C88" s="258" t="s">
        <v>123</v>
      </c>
      <c r="D88" s="259"/>
      <c r="E88" s="258"/>
      <c r="F88" s="258"/>
      <c r="G88" s="260"/>
      <c r="H88" s="261"/>
    </row>
    <row r="89" spans="1:8" ht="45.75" thickBot="1" x14ac:dyDescent="0.3">
      <c r="A89" s="262" t="s">
        <v>124</v>
      </c>
      <c r="B89" s="263">
        <f>B86*(1+$B$88)</f>
        <v>207464580</v>
      </c>
      <c r="C89" s="263">
        <f t="shared" ref="C89:G89" si="7">C86*(1+$B$88)</f>
        <v>414929160</v>
      </c>
      <c r="D89" s="263">
        <f t="shared" si="7"/>
        <v>622393740</v>
      </c>
      <c r="E89" s="263">
        <f t="shared" si="7"/>
        <v>829858320</v>
      </c>
      <c r="F89" s="263">
        <f t="shared" si="7"/>
        <v>1037322900.0000001</v>
      </c>
      <c r="G89" s="263">
        <f t="shared" si="7"/>
        <v>1244787480</v>
      </c>
      <c r="H89" s="264"/>
    </row>
    <row r="90" spans="1:8" x14ac:dyDescent="0.25">
      <c r="A90" s="265"/>
      <c r="B90" s="258"/>
      <c r="C90" s="258"/>
      <c r="D90" s="258"/>
      <c r="E90" s="258"/>
      <c r="F90" s="258"/>
      <c r="G90" s="258"/>
      <c r="H90" s="258"/>
    </row>
    <row r="91" spans="1:8" x14ac:dyDescent="0.25">
      <c r="A91" s="322" t="s">
        <v>125</v>
      </c>
      <c r="B91" s="322"/>
      <c r="C91" s="322"/>
      <c r="D91" s="322"/>
      <c r="E91" s="322"/>
      <c r="F91" s="322"/>
      <c r="G91" s="322"/>
      <c r="H91" s="322"/>
    </row>
    <row r="108" ht="13.5" customHeight="1" x14ac:dyDescent="0.25"/>
    <row r="112" ht="12" customHeight="1" x14ac:dyDescent="0.25"/>
    <row r="113" spans="1:15" ht="63" customHeight="1" x14ac:dyDescent="0.25"/>
    <row r="114" spans="1:15" ht="12" customHeight="1" x14ac:dyDescent="0.25"/>
    <row r="116" spans="1:15" ht="12" customHeight="1" x14ac:dyDescent="0.25"/>
    <row r="118" spans="1:15" ht="12" customHeight="1" x14ac:dyDescent="0.25"/>
    <row r="120" spans="1:15" x14ac:dyDescent="0.25">
      <c r="I120" s="266"/>
      <c r="J120" s="220"/>
      <c r="O120" s="220"/>
    </row>
    <row r="121" spans="1:15" ht="12" customHeight="1" x14ac:dyDescent="0.25"/>
    <row r="122" spans="1:15" ht="31.5" customHeight="1" x14ac:dyDescent="0.25"/>
    <row r="123" spans="1:15" x14ac:dyDescent="0.25">
      <c r="A123" s="235"/>
      <c r="B123" s="235"/>
      <c r="C123" s="235"/>
      <c r="D123" s="235"/>
      <c r="E123" s="235"/>
      <c r="F123" s="235"/>
    </row>
    <row r="124" spans="1:15" x14ac:dyDescent="0.25">
      <c r="A124" s="267"/>
      <c r="B124" s="235"/>
      <c r="C124" s="235"/>
      <c r="D124" s="235"/>
      <c r="E124" s="235"/>
      <c r="F124" s="235"/>
    </row>
    <row r="125" spans="1:15" x14ac:dyDescent="0.25">
      <c r="A125" s="235"/>
      <c r="B125" s="235"/>
      <c r="C125" s="235"/>
      <c r="D125" s="235"/>
      <c r="E125" s="235"/>
      <c r="F125" s="235"/>
    </row>
    <row r="126" spans="1:15" x14ac:dyDescent="0.25">
      <c r="A126" s="235"/>
      <c r="B126" s="235"/>
      <c r="C126" s="235"/>
      <c r="D126" s="235"/>
      <c r="E126" s="235"/>
      <c r="F126" s="235"/>
    </row>
    <row r="127" spans="1:15" x14ac:dyDescent="0.25">
      <c r="A127" s="235"/>
      <c r="B127" s="235"/>
      <c r="C127" s="235"/>
      <c r="D127" s="235"/>
      <c r="E127" s="235"/>
      <c r="F127" s="235"/>
    </row>
    <row r="128" spans="1:15" x14ac:dyDescent="0.25">
      <c r="A128" s="235"/>
      <c r="B128" s="235"/>
      <c r="C128" s="235"/>
      <c r="D128" s="235"/>
      <c r="E128" s="235"/>
      <c r="F128" s="235"/>
    </row>
    <row r="129" spans="1:6" x14ac:dyDescent="0.25">
      <c r="A129" s="235"/>
      <c r="B129" s="235"/>
      <c r="C129" s="235"/>
      <c r="D129" s="235"/>
      <c r="E129" s="235"/>
      <c r="F129" s="235"/>
    </row>
    <row r="130" spans="1:6" x14ac:dyDescent="0.25">
      <c r="A130" s="235"/>
      <c r="B130" s="235"/>
      <c r="C130" s="235"/>
      <c r="D130" s="235"/>
      <c r="E130" s="235"/>
      <c r="F130" s="235"/>
    </row>
    <row r="131" spans="1:6" x14ac:dyDescent="0.25">
      <c r="A131" s="235"/>
      <c r="B131" s="235"/>
      <c r="C131" s="235"/>
      <c r="D131" s="235"/>
      <c r="E131" s="235"/>
      <c r="F131" s="235"/>
    </row>
    <row r="132" spans="1:6" x14ac:dyDescent="0.25">
      <c r="A132" s="235"/>
      <c r="B132" s="235"/>
      <c r="C132" s="235"/>
      <c r="D132" s="235"/>
      <c r="E132" s="235"/>
      <c r="F132" s="235"/>
    </row>
    <row r="133" spans="1:6" x14ac:dyDescent="0.25">
      <c r="A133" s="235"/>
      <c r="B133" s="235"/>
      <c r="C133" s="235"/>
      <c r="D133" s="235"/>
      <c r="E133" s="235"/>
      <c r="F133" s="235"/>
    </row>
    <row r="134" spans="1:6" x14ac:dyDescent="0.25">
      <c r="A134" s="235"/>
      <c r="B134" s="235"/>
      <c r="C134" s="235"/>
      <c r="D134" s="235"/>
      <c r="E134" s="235"/>
      <c r="F134" s="235"/>
    </row>
    <row r="135" spans="1:6" x14ac:dyDescent="0.25">
      <c r="A135" s="235"/>
      <c r="B135" s="235"/>
      <c r="C135" s="235"/>
      <c r="D135" s="235"/>
      <c r="E135" s="235"/>
      <c r="F135" s="235"/>
    </row>
    <row r="136" spans="1:6" x14ac:dyDescent="0.25">
      <c r="A136" s="235"/>
      <c r="B136" s="235"/>
      <c r="C136" s="235"/>
      <c r="D136" s="235"/>
      <c r="E136" s="235"/>
      <c r="F136" s="235"/>
    </row>
    <row r="544" spans="21:21" x14ac:dyDescent="0.25">
      <c r="U544" s="295"/>
    </row>
    <row r="545" spans="21:21" x14ac:dyDescent="0.25">
      <c r="U545" s="295"/>
    </row>
    <row r="546" spans="21:21" x14ac:dyDescent="0.25">
      <c r="U546" s="295"/>
    </row>
    <row r="547" spans="21:21" x14ac:dyDescent="0.25">
      <c r="U547" s="295"/>
    </row>
    <row r="548" spans="21:21" x14ac:dyDescent="0.25">
      <c r="U548" s="295"/>
    </row>
    <row r="549" spans="21:21" x14ac:dyDescent="0.25">
      <c r="U549" s="295"/>
    </row>
    <row r="550" spans="21:21" x14ac:dyDescent="0.25">
      <c r="U550" s="295"/>
    </row>
    <row r="587" spans="18:21" ht="15.75" thickBot="1" x14ac:dyDescent="0.3"/>
    <row r="588" spans="18:21" x14ac:dyDescent="0.25">
      <c r="R588" s="290"/>
      <c r="S588" s="291"/>
      <c r="T588" s="291"/>
      <c r="U588" s="224"/>
    </row>
    <row r="589" spans="18:21" x14ac:dyDescent="0.25">
      <c r="R589" s="292"/>
      <c r="S589" s="220"/>
      <c r="T589" s="220"/>
      <c r="U589" s="295"/>
    </row>
    <row r="590" spans="18:21" x14ac:dyDescent="0.25">
      <c r="R590" s="292"/>
      <c r="S590" s="220"/>
      <c r="T590" s="220"/>
      <c r="U590" s="295"/>
    </row>
    <row r="591" spans="18:21" x14ac:dyDescent="0.25">
      <c r="R591" s="292"/>
      <c r="S591" s="220"/>
      <c r="T591" s="220"/>
      <c r="U591" s="295"/>
    </row>
    <row r="592" spans="18:21" x14ac:dyDescent="0.25">
      <c r="R592" s="292"/>
      <c r="S592" s="220"/>
      <c r="T592" s="220"/>
      <c r="U592" s="295"/>
    </row>
    <row r="593" spans="18:21" x14ac:dyDescent="0.25">
      <c r="R593" s="292"/>
      <c r="S593" s="220"/>
      <c r="T593" s="220"/>
      <c r="U593" s="295"/>
    </row>
    <row r="594" spans="18:21" ht="15.75" thickBot="1" x14ac:dyDescent="0.3">
      <c r="R594" s="293"/>
      <c r="S594" s="294"/>
      <c r="T594" s="294"/>
      <c r="U594" s="296"/>
    </row>
  </sheetData>
  <mergeCells count="31">
    <mergeCell ref="A37:F37"/>
    <mergeCell ref="A4:H4"/>
    <mergeCell ref="A5:H5"/>
    <mergeCell ref="A7:H7"/>
    <mergeCell ref="A9:H9"/>
    <mergeCell ref="A11:H11"/>
    <mergeCell ref="A13:F13"/>
    <mergeCell ref="A15:H15"/>
    <mergeCell ref="A17:H17"/>
    <mergeCell ref="A18:H18"/>
    <mergeCell ref="A20:H20"/>
    <mergeCell ref="A28:H28"/>
    <mergeCell ref="A68:H68"/>
    <mergeCell ref="A39:H39"/>
    <mergeCell ref="A41:H41"/>
    <mergeCell ref="A43:H43"/>
    <mergeCell ref="A45:F45"/>
    <mergeCell ref="A47:E47"/>
    <mergeCell ref="A50:B50"/>
    <mergeCell ref="A57:B57"/>
    <mergeCell ref="A59:H59"/>
    <mergeCell ref="A61:H61"/>
    <mergeCell ref="A63:F63"/>
    <mergeCell ref="E66:G66"/>
    <mergeCell ref="A91:H91"/>
    <mergeCell ref="A70:H70"/>
    <mergeCell ref="A72:H72"/>
    <mergeCell ref="A74:H74"/>
    <mergeCell ref="A76:H76"/>
    <mergeCell ref="A78:H78"/>
    <mergeCell ref="A80:H80"/>
  </mergeCells>
  <conditionalFormatting sqref="H37">
    <cfRule type="expression" dxfId="1" priority="2">
      <formula>$H$35=$A$18</formula>
    </cfRule>
  </conditionalFormatting>
  <conditionalFormatting sqref="H35">
    <cfRule type="expression" dxfId="0" priority="1">
      <formula>$H$35=$A$18</formula>
    </cfRule>
  </conditionalFormatting>
  <dataValidations count="2">
    <dataValidation type="list" allowBlank="1" showInputMessage="1" showErrorMessage="1" sqref="B65:D65">
      <formula1>"0, 0.5, 1"</formula1>
    </dataValidation>
    <dataValidation type="list" allowBlank="1" showInputMessage="1" showErrorMessage="1" sqref="F47">
      <formula1>"net,gross"</formula1>
    </dataValidation>
  </dataValidations>
  <pageMargins left="0.7" right="0.7" top="0.75" bottom="0.75" header="0.3" footer="0.3"/>
  <pageSetup scale="52" fitToHeight="0" orientation="landscape" r:id="rId1"/>
  <rowBreaks count="1" manualBreakCount="1">
    <brk id="43"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0789A69331B447AA2C2A71A86A707D" ma:contentTypeVersion="0" ma:contentTypeDescription="Create a new document." ma:contentTypeScope="" ma:versionID="5399c839dd5a5c59d7d22ddc485bff23">
  <xsd:schema xmlns:xsd="http://www.w3.org/2001/XMLSchema" xmlns:xs="http://www.w3.org/2001/XMLSchema" xmlns:p="http://schemas.microsoft.com/office/2006/metadata/properties" xmlns:ns2="f0af1d65-dfd0-4b99-b523-def3a954563f" targetNamespace="http://schemas.microsoft.com/office/2006/metadata/properties" ma:root="true" ma:fieldsID="44cfc60566d61e9babd1b11f9b704ff8" ns2:_="">
    <xsd:import namespace="f0af1d65-dfd0-4b99-b523-def3a954563f"/>
    <xsd:element name="properties">
      <xsd:complexType>
        <xsd:sequence>
          <xsd:element name="documentManagement">
            <xsd:complexType>
              <xsd:all>
                <xsd:element ref="ns2:Hydro_x0020_One_x0020_Data_x0020_Class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Only Internal information is not for release to the public)" ma:description="Use these options to classify the data you are uploading onto the site. Any questions please contact BIT security team" ma:format="RadioButtons" ma:hidden="true" ma:internalName="Hydro_x0020_One_x0020_Data_x0020_Classification" ma:readOnly="false">
      <xsd:simpleType>
        <xsd:restriction base="dms:Choice">
          <xsd:enumeration value="Internal Use (Only Internal information is not for release to the 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FAE8FD-85EE-4D35-BD7A-F78140FFC9B1}">
  <ds:schemaRefs>
    <ds:schemaRef ds:uri="http://purl.org/dc/dcmitype/"/>
    <ds:schemaRef ds:uri="http://schemas.microsoft.com/office/2006/documentManagement/types"/>
    <ds:schemaRef ds:uri="http://purl.org/dc/terms/"/>
    <ds:schemaRef ds:uri="http://schemas.openxmlformats.org/package/2006/metadata/core-properties"/>
    <ds:schemaRef ds:uri="f0af1d65-dfd0-4b99-b523-def3a954563f"/>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2BC270F-E5A0-454A-8BD7-8F442F1BF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F67782-4805-411A-A464-9CA8170DDB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Appendix 2-IB</vt:lpstr>
      <vt:lpstr>Appendix 2-I</vt:lpstr>
      <vt:lpstr>'Appendix 2-I'!Print_Area</vt:lpstr>
      <vt:lpstr>'Appendix 2-IB'!Print_Area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2: Load Forecast Chapter 2 Appendix</dc:title>
  <dc:creator>LEE  LISA Seung-Yoon</dc:creator>
  <cp:lastModifiedBy>GAUVREAU Diane</cp:lastModifiedBy>
  <cp:lastPrinted>2017-03-29T15:06:51Z</cp:lastPrinted>
  <dcterms:created xsi:type="dcterms:W3CDTF">2017-03-02T14:30:02Z</dcterms:created>
  <dcterms:modified xsi:type="dcterms:W3CDTF">2017-05-03T15:30:22Z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0x010100050789A69331B447AA2C2A71A86A707D</vt:lpwstr>
  </property>
  <property fmtid="{D5CDD505-2E9C-101B-9397-08002B2CF9AE}" pid="3" name="ISD_Category">
    <vt:lpwstr>Other</vt:lpwstr>
  </property>
  <property fmtid="{D5CDD505-2E9C-101B-9397-08002B2CF9AE}" pid="4" name="RA2_Approved">
    <vt:bool>false</vt:bool>
  </property>
  <property fmtid="{D5CDD505-2E9C-101B-9397-08002B2CF9AE}" pid="5" name="AM_Approved">
    <vt:bool>false</vt:bool>
  </property>
</Properties>
</file>