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-15" windowWidth="12000" windowHeight="8385" tabRatio="939"/>
  </bookViews>
  <sheets>
    <sheet name="Summary" sheetId="3" r:id="rId1"/>
    <sheet name="H1-01-01 Table1" sheetId="7" r:id="rId2"/>
    <sheet name="H1-01-01 Table2" sheetId="8" r:id="rId3"/>
  </sheets>
  <externalReferences>
    <externalReference r:id="rId4"/>
  </externalReferences>
  <definedNames>
    <definedName name="A">#REF!</definedName>
    <definedName name="B">#REF!</definedName>
    <definedName name="JUNE">#REF!</definedName>
    <definedName name="st_cdet">#REF!</definedName>
    <definedName name="TotST">#REF!</definedName>
    <definedName name="TotTXPk">#REF!</definedName>
  </definedNames>
  <calcPr calcId="145621"/>
</workbook>
</file>

<file path=xl/calcChain.xml><?xml version="1.0" encoding="utf-8"?>
<calcChain xmlns="http://schemas.openxmlformats.org/spreadsheetml/2006/main">
  <c r="G22" i="3" l="1"/>
  <c r="G23" i="3"/>
  <c r="G24" i="3"/>
  <c r="G25" i="3"/>
  <c r="G26" i="3"/>
  <c r="G27" i="3"/>
  <c r="G28" i="3"/>
  <c r="G29" i="3"/>
  <c r="G30" i="3"/>
  <c r="G32" i="3"/>
  <c r="G31" i="3"/>
  <c r="G33" i="3"/>
  <c r="F23" i="3"/>
  <c r="F24" i="3"/>
  <c r="F25" i="3"/>
  <c r="F26" i="3"/>
  <c r="F27" i="3"/>
  <c r="F28" i="3"/>
  <c r="F29" i="3"/>
  <c r="F30" i="3"/>
  <c r="F32" i="3"/>
  <c r="F31" i="3"/>
  <c r="F33" i="3"/>
  <c r="F22" i="3"/>
  <c r="F16" i="3"/>
  <c r="G16" i="3"/>
  <c r="H16" i="3"/>
  <c r="G14" i="3"/>
  <c r="H14" i="3"/>
  <c r="F14" i="3"/>
  <c r="C23" i="3"/>
  <c r="D23" i="3"/>
  <c r="C24" i="3"/>
  <c r="C25" i="3"/>
  <c r="C26" i="3"/>
  <c r="C27" i="3"/>
  <c r="C28" i="3"/>
  <c r="D28" i="3"/>
  <c r="C29" i="3"/>
  <c r="C30" i="3"/>
  <c r="C32" i="3"/>
  <c r="C31" i="3"/>
  <c r="C33" i="3"/>
  <c r="D22" i="3"/>
  <c r="C22" i="3"/>
  <c r="D16" i="3"/>
  <c r="E16" i="3"/>
  <c r="C16" i="3"/>
  <c r="J14" i="3" l="1"/>
  <c r="K14" i="3" l="1"/>
  <c r="I14" i="3" l="1"/>
  <c r="D6" i="7"/>
  <c r="C6" i="7"/>
  <c r="I16" i="3" l="1"/>
  <c r="N16" i="3" s="1"/>
  <c r="K16" i="3"/>
  <c r="J16" i="3"/>
  <c r="B6" i="7"/>
  <c r="L14" i="3"/>
  <c r="P16" i="3" l="1"/>
  <c r="E19" i="8" s="1"/>
  <c r="E6" i="7"/>
  <c r="C8" i="7"/>
  <c r="O16" i="3"/>
  <c r="E18" i="8" s="1"/>
  <c r="I18" i="3"/>
  <c r="I22" i="3" s="1"/>
  <c r="K18" i="3"/>
  <c r="D22" i="7" s="1"/>
  <c r="D8" i="7"/>
  <c r="L16" i="3"/>
  <c r="J18" i="3"/>
  <c r="C22" i="7" s="1"/>
  <c r="B8" i="7"/>
  <c r="I33" i="3" l="1"/>
  <c r="N33" i="3" s="1"/>
  <c r="J33" i="3"/>
  <c r="O33" i="3" s="1"/>
  <c r="E17" i="8" s="1"/>
  <c r="I24" i="3"/>
  <c r="B17" i="7" s="1"/>
  <c r="C10" i="7"/>
  <c r="D10" i="7"/>
  <c r="M16" i="3"/>
  <c r="I23" i="3"/>
  <c r="I29" i="3"/>
  <c r="N29" i="3" s="1"/>
  <c r="I31" i="3"/>
  <c r="I28" i="3"/>
  <c r="B16" i="7" s="1"/>
  <c r="B10" i="7"/>
  <c r="I27" i="3"/>
  <c r="I25" i="3"/>
  <c r="I32" i="3"/>
  <c r="I26" i="3"/>
  <c r="I30" i="3"/>
  <c r="D20" i="7"/>
  <c r="C20" i="7"/>
  <c r="D19" i="7"/>
  <c r="D17" i="7"/>
  <c r="J24" i="3"/>
  <c r="O24" i="3" s="1"/>
  <c r="J22" i="3"/>
  <c r="J31" i="3"/>
  <c r="O31" i="3" s="1"/>
  <c r="L18" i="3"/>
  <c r="C17" i="7"/>
  <c r="C19" i="7"/>
  <c r="E8" i="7"/>
  <c r="D18" i="8"/>
  <c r="D13" i="7"/>
  <c r="J26" i="3"/>
  <c r="O26" i="3" s="1"/>
  <c r="C13" i="7"/>
  <c r="J30" i="3"/>
  <c r="O30" i="3" s="1"/>
  <c r="C11" i="7"/>
  <c r="D11" i="7"/>
  <c r="C18" i="7"/>
  <c r="J23" i="3"/>
  <c r="D18" i="7"/>
  <c r="J32" i="3"/>
  <c r="O32" i="3" s="1"/>
  <c r="C21" i="7"/>
  <c r="D21" i="7"/>
  <c r="J28" i="3"/>
  <c r="D16" i="7"/>
  <c r="C16" i="7"/>
  <c r="J25" i="3"/>
  <c r="O25" i="3" s="1"/>
  <c r="D12" i="7"/>
  <c r="C12" i="7"/>
  <c r="C14" i="7"/>
  <c r="D14" i="7"/>
  <c r="J27" i="3"/>
  <c r="O27" i="3" s="1"/>
  <c r="D15" i="7"/>
  <c r="J29" i="3"/>
  <c r="O29" i="3" s="1"/>
  <c r="C15" i="7"/>
  <c r="D17" i="8" l="1"/>
  <c r="B22" i="7"/>
  <c r="E22" i="7" s="1"/>
  <c r="E9" i="8"/>
  <c r="E12" i="8"/>
  <c r="E7" i="8"/>
  <c r="E6" i="8"/>
  <c r="E10" i="8"/>
  <c r="E15" i="8"/>
  <c r="E8" i="8"/>
  <c r="D10" i="8"/>
  <c r="N31" i="3"/>
  <c r="N24" i="3"/>
  <c r="B15" i="7"/>
  <c r="E15" i="7" s="1"/>
  <c r="F8" i="7"/>
  <c r="B18" i="7"/>
  <c r="E18" i="7" s="1"/>
  <c r="M18" i="3"/>
  <c r="P23" i="3"/>
  <c r="N30" i="3"/>
  <c r="N27" i="3"/>
  <c r="N26" i="3"/>
  <c r="B20" i="7"/>
  <c r="E20" i="7" s="1"/>
  <c r="N32" i="3"/>
  <c r="P22" i="3"/>
  <c r="N25" i="3"/>
  <c r="P28" i="3"/>
  <c r="B12" i="7"/>
  <c r="E12" i="7" s="1"/>
  <c r="B11" i="7"/>
  <c r="E11" i="7" s="1"/>
  <c r="B19" i="7"/>
  <c r="E19" i="7" s="1"/>
  <c r="B21" i="7"/>
  <c r="E21" i="7" s="1"/>
  <c r="B14" i="7"/>
  <c r="E14" i="7" s="1"/>
  <c r="B13" i="7"/>
  <c r="E13" i="7" s="1"/>
  <c r="E16" i="8"/>
  <c r="Q23" i="3"/>
  <c r="Q28" i="3"/>
  <c r="Q22" i="3"/>
  <c r="E17" i="7"/>
  <c r="E10" i="7"/>
  <c r="E16" i="7"/>
  <c r="E11" i="8" l="1"/>
  <c r="E13" i="8"/>
  <c r="E14" i="8"/>
  <c r="D11" i="8"/>
  <c r="D14" i="8"/>
  <c r="D13" i="8"/>
  <c r="D12" i="8"/>
  <c r="D8" i="8"/>
  <c r="D6" i="8"/>
  <c r="D15" i="8"/>
  <c r="D7" i="8"/>
  <c r="D9" i="8"/>
  <c r="F10" i="7"/>
  <c r="D16" i="8"/>
</calcChain>
</file>

<file path=xl/sharedStrings.xml><?xml version="1.0" encoding="utf-8"?>
<sst xmlns="http://schemas.openxmlformats.org/spreadsheetml/2006/main" count="116" uniqueCount="79">
  <si>
    <t>USL</t>
  </si>
  <si>
    <t>Proceeding</t>
  </si>
  <si>
    <t>Netwrk</t>
  </si>
  <si>
    <t>Conn</t>
  </si>
  <si>
    <t>a.</t>
  </si>
  <si>
    <t>b.</t>
  </si>
  <si>
    <t>c.</t>
  </si>
  <si>
    <t>Allocators:  Sum of Individual Peaks, coincident with Tx DP Peak</t>
  </si>
  <si>
    <t>Retail</t>
  </si>
  <si>
    <t>Tx Network</t>
  </si>
  <si>
    <t>Tx Line</t>
  </si>
  <si>
    <t>Tx Transformation</t>
  </si>
  <si>
    <t xml:space="preserve">Total IESO Bill </t>
  </si>
  <si>
    <t>Share</t>
  </si>
  <si>
    <t>Table 1</t>
  </si>
  <si>
    <t>Table 2</t>
  </si>
  <si>
    <t>RATE CLASS</t>
  </si>
  <si>
    <t>Distributed Generator ($/kW)</t>
  </si>
  <si>
    <t>ST ($/kW)</t>
  </si>
  <si>
    <t>* For customer classes that do not have separate proposed Line and Transformation charges, the Line Connection charges shown include</t>
  </si>
  <si>
    <t xml:space="preserve"> Transformation charges</t>
  </si>
  <si>
    <t>IESO Bill</t>
  </si>
  <si>
    <t>Network</t>
  </si>
  <si>
    <t>Line</t>
  </si>
  <si>
    <t>Connection</t>
  </si>
  <si>
    <t>ST</t>
  </si>
  <si>
    <t>CP Tx</t>
  </si>
  <si>
    <t>CPdX</t>
  </si>
  <si>
    <t>%</t>
  </si>
  <si>
    <t>Netwk</t>
  </si>
  <si>
    <t>Transf</t>
  </si>
  <si>
    <t>$/kW</t>
  </si>
  <si>
    <t>UTR</t>
  </si>
  <si>
    <t>Total</t>
  </si>
  <si>
    <t>Dgen</t>
  </si>
  <si>
    <t>GSd</t>
  </si>
  <si>
    <t>GSe</t>
  </si>
  <si>
    <t>R1</t>
  </si>
  <si>
    <t>R2</t>
  </si>
  <si>
    <t>Seasonal</t>
  </si>
  <si>
    <t>UGd</t>
  </si>
  <si>
    <t>UGe</t>
  </si>
  <si>
    <t>UR</t>
  </si>
  <si>
    <t>c/kwh</t>
  </si>
  <si>
    <t>kwh w loss</t>
  </si>
  <si>
    <t>Sen Lgt</t>
  </si>
  <si>
    <t>Urban ($/kWh)</t>
  </si>
  <si>
    <t>R1 ($/kWh)</t>
  </si>
  <si>
    <t>R2 ($/kWh)</t>
  </si>
  <si>
    <t>Seasonal ($/kWh)</t>
  </si>
  <si>
    <t>Urban General Service energy ($/kWh)</t>
  </si>
  <si>
    <t>General Service energy ($/kWh)</t>
  </si>
  <si>
    <t>Unmetered Scattered Load ($/kWh)</t>
  </si>
  <si>
    <t>Urban General Service demand ($/kW)</t>
  </si>
  <si>
    <t>Line Connection</t>
  </si>
  <si>
    <t>DGen</t>
  </si>
  <si>
    <t>Original filing</t>
  </si>
  <si>
    <t>General Service demand ($/kW)</t>
  </si>
  <si>
    <t>EB-2015-0311</t>
  </si>
  <si>
    <t>2018 Proposed Tx Charges</t>
  </si>
  <si>
    <t>2016 UTR (interim)</t>
  </si>
  <si>
    <t>2018 IESO charges</t>
  </si>
  <si>
    <t>Approved 2017 Rates</t>
  </si>
  <si>
    <t>Proposed 2018 RTSR</t>
  </si>
  <si>
    <t>Proposed 2018 Rates</t>
  </si>
  <si>
    <t>Sentinel Lights ($/kWh)</t>
  </si>
  <si>
    <t>Street Lights ($/kWh)</t>
  </si>
  <si>
    <t>St Lgt</t>
  </si>
  <si>
    <t>kW w loss</t>
  </si>
  <si>
    <t>2018 Frcst Charge Determinants</t>
  </si>
  <si>
    <t>Street Light</t>
  </si>
  <si>
    <t>Sentinel Light</t>
  </si>
  <si>
    <t>IESO Bill 
(Current 2016 UTR applied to 2018 Forecast Tx Charge Determinants)</t>
  </si>
  <si>
    <t>Retail Rate Classes</t>
  </si>
  <si>
    <t>ST Rate Class</t>
  </si>
  <si>
    <t>0.771 Line</t>
  </si>
  <si>
    <t>1.7493 Transf.</t>
  </si>
  <si>
    <t>* RTSR Rates shown for demand billed customers are to be adjusted by the total loss factor, as approved by the Ontario Energy Board, and applied to non-loss adjusted charge determinants</t>
  </si>
  <si>
    <t>2018 Proposed RTSR Rates*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</si>
</sst>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#,##0.0000"/>
    <numFmt numFmtId="168" formatCode="_(&quot;$&quot;* #,##0.0000_);_(&quot;$&quot;* \(#,##0.0000\);_(&quot;$&quot;* &quot;-&quot;??_);_(@_)"/>
    <numFmt numFmtId="169" formatCode="0.0000"/>
    <numFmt numFmtId="170" formatCode="&quot;$&quot;#,##0"/>
    <numFmt numFmtId="171" formatCode="#,##0.0000_);\(#,##0.0000\)"/>
  </numFmts>
  <fonts count="1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sz val="10"/>
      <color indexed="23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MS Sans Serif"/>
      <family val="2"/>
    </font>
    <font>
      <i/>
      <sz val="10"/>
      <color theme="0"/>
      <name val="MS Sans Serif"/>
      <family val="2"/>
    </font>
    <font>
      <i/>
      <sz val="10"/>
      <color theme="0"/>
      <name val="Arial"/>
      <family val="2"/>
    </font>
    <font>
      <sz val="10"/>
      <color theme="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9" fontId="2" fillId="0" borderId="0" applyFont="0" applyFill="0" applyBorder="0" applyAlignment="0" applyProtection="0"/>
    <xf numFmtId="0" fontId="1" fillId="0" borderId="0"/>
  </cellStyleXfs>
  <cellXfs count="18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9" fillId="0" borderId="0" xfId="0" applyFont="1"/>
    <xf numFmtId="166" fontId="0" fillId="0" borderId="0" xfId="2" applyNumberFormat="1" applyFont="1" applyBorder="1"/>
    <xf numFmtId="166" fontId="0" fillId="0" borderId="0" xfId="0" applyNumberFormat="1" applyBorder="1"/>
    <xf numFmtId="43" fontId="0" fillId="0" borderId="0" xfId="0" applyNumberFormat="1" applyBorder="1"/>
    <xf numFmtId="44" fontId="0" fillId="0" borderId="1" xfId="2" applyFont="1" applyBorder="1"/>
    <xf numFmtId="0" fontId="0" fillId="0" borderId="4" xfId="0" applyBorder="1"/>
    <xf numFmtId="166" fontId="0" fillId="0" borderId="1" xfId="2" applyNumberFormat="1" applyFont="1" applyBorder="1"/>
    <xf numFmtId="0" fontId="0" fillId="0" borderId="5" xfId="0" applyBorder="1"/>
    <xf numFmtId="0" fontId="0" fillId="0" borderId="6" xfId="0" applyBorder="1"/>
    <xf numFmtId="10" fontId="0" fillId="0" borderId="0" xfId="4" applyNumberFormat="1" applyFont="1" applyBorder="1"/>
    <xf numFmtId="10" fontId="0" fillId="0" borderId="1" xfId="4" applyNumberFormat="1" applyFont="1" applyBorder="1"/>
    <xf numFmtId="0" fontId="0" fillId="2" borderId="8" xfId="0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0" xfId="0" applyFill="1" applyBorder="1"/>
    <xf numFmtId="0" fontId="0" fillId="2" borderId="2" xfId="0" applyFill="1" applyBorder="1"/>
    <xf numFmtId="164" fontId="0" fillId="0" borderId="2" xfId="4" applyNumberFormat="1" applyFont="1" applyBorder="1"/>
    <xf numFmtId="0" fontId="0" fillId="2" borderId="7" xfId="0" applyFill="1" applyBorder="1" applyAlignment="1">
      <alignment horizontal="centerContinuous" wrapText="1"/>
    </xf>
    <xf numFmtId="0" fontId="0" fillId="2" borderId="8" xfId="0" applyFill="1" applyBorder="1" applyAlignment="1">
      <alignment horizontal="centerContinuous" wrapText="1"/>
    </xf>
    <xf numFmtId="0" fontId="7" fillId="0" borderId="1" xfId="0" applyFont="1" applyBorder="1"/>
    <xf numFmtId="44" fontId="7" fillId="0" borderId="0" xfId="2" applyFont="1" applyBorder="1"/>
    <xf numFmtId="0" fontId="9" fillId="0" borderId="0" xfId="0" applyFont="1" applyAlignment="1">
      <alignment horizontal="right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44" fontId="7" fillId="0" borderId="0" xfId="2" applyFont="1" applyFill="1" applyBorder="1" applyAlignment="1">
      <alignment horizontal="right" vertical="center" wrapText="1"/>
    </xf>
    <xf numFmtId="0" fontId="7" fillId="0" borderId="0" xfId="0" applyFont="1" applyBorder="1"/>
    <xf numFmtId="0" fontId="9" fillId="0" borderId="0" xfId="0" applyFont="1" applyBorder="1"/>
    <xf numFmtId="44" fontId="7" fillId="0" borderId="2" xfId="2" applyFont="1" applyFill="1" applyBorder="1" applyAlignment="1">
      <alignment horizontal="right" vertical="center" wrapText="1"/>
    </xf>
    <xf numFmtId="44" fontId="7" fillId="0" borderId="2" xfId="2" applyFont="1" applyBorder="1"/>
    <xf numFmtId="43" fontId="0" fillId="0" borderId="1" xfId="0" applyNumberFormat="1" applyBorder="1"/>
    <xf numFmtId="0" fontId="10" fillId="0" borderId="10" xfId="0" applyFont="1" applyBorder="1"/>
    <xf numFmtId="0" fontId="11" fillId="0" borderId="10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0" xfId="0" applyFont="1" applyBorder="1" applyAlignment="1">
      <alignment horizontal="center"/>
    </xf>
    <xf numFmtId="0" fontId="10" fillId="0" borderId="11" xfId="0" applyFont="1" applyBorder="1"/>
    <xf numFmtId="0" fontId="10" fillId="0" borderId="13" xfId="0" applyNumberFormat="1" applyFont="1" applyBorder="1" applyAlignment="1">
      <alignment horizontal="left"/>
    </xf>
    <xf numFmtId="0" fontId="0" fillId="0" borderId="16" xfId="0" applyBorder="1"/>
    <xf numFmtId="0" fontId="0" fillId="2" borderId="9" xfId="0" applyFill="1" applyBorder="1" applyAlignment="1">
      <alignment horizontal="centerContinuous" wrapText="1"/>
    </xf>
    <xf numFmtId="166" fontId="0" fillId="0" borderId="15" xfId="2" applyNumberFormat="1" applyFont="1" applyBorder="1"/>
    <xf numFmtId="166" fontId="0" fillId="0" borderId="4" xfId="2" applyNumberFormat="1" applyFont="1" applyBorder="1"/>
    <xf numFmtId="0" fontId="0" fillId="0" borderId="1" xfId="0" applyFill="1" applyBorder="1"/>
    <xf numFmtId="0" fontId="0" fillId="0" borderId="0" xfId="0" applyFill="1" applyBorder="1"/>
    <xf numFmtId="0" fontId="0" fillId="0" borderId="2" xfId="0" applyFill="1" applyBorder="1"/>
    <xf numFmtId="0" fontId="7" fillId="0" borderId="4" xfId="0" applyFont="1" applyFill="1" applyBorder="1"/>
    <xf numFmtId="0" fontId="0" fillId="0" borderId="0" xfId="0" applyFill="1"/>
    <xf numFmtId="9" fontId="0" fillId="0" borderId="0" xfId="4" applyFont="1"/>
    <xf numFmtId="168" fontId="0" fillId="0" borderId="1" xfId="2" applyNumberFormat="1" applyFont="1" applyBorder="1"/>
    <xf numFmtId="168" fontId="0" fillId="0" borderId="0" xfId="2" applyNumberFormat="1" applyFont="1" applyBorder="1"/>
    <xf numFmtId="168" fontId="0" fillId="0" borderId="1" xfId="0" applyNumberFormat="1" applyBorder="1"/>
    <xf numFmtId="168" fontId="0" fillId="0" borderId="0" xfId="0" applyNumberFormat="1" applyBorder="1"/>
    <xf numFmtId="168" fontId="0" fillId="0" borderId="15" xfId="0" applyNumberFormat="1" applyBorder="1"/>
    <xf numFmtId="168" fontId="0" fillId="0" borderId="4" xfId="0" applyNumberFormat="1" applyBorder="1"/>
    <xf numFmtId="43" fontId="0" fillId="0" borderId="0" xfId="1" applyFont="1"/>
    <xf numFmtId="2" fontId="10" fillId="0" borderId="14" xfId="0" applyNumberFormat="1" applyFont="1" applyBorder="1" applyAlignment="1">
      <alignment horizontal="center"/>
    </xf>
    <xf numFmtId="169" fontId="10" fillId="0" borderId="10" xfId="1" applyNumberFormat="1" applyFont="1" applyBorder="1" applyAlignment="1">
      <alignment horizontal="center"/>
    </xf>
    <xf numFmtId="169" fontId="10" fillId="0" borderId="11" xfId="1" applyNumberFormat="1" applyFont="1" applyBorder="1" applyAlignment="1">
      <alignment horizontal="center"/>
    </xf>
    <xf numFmtId="169" fontId="10" fillId="0" borderId="14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0" fontId="7" fillId="0" borderId="15" xfId="0" applyFont="1" applyBorder="1"/>
    <xf numFmtId="165" fontId="12" fillId="0" borderId="2" xfId="1" applyNumberFormat="1" applyFont="1" applyBorder="1"/>
    <xf numFmtId="0" fontId="0" fillId="4" borderId="1" xfId="0" applyFill="1" applyBorder="1"/>
    <xf numFmtId="0" fontId="0" fillId="4" borderId="0" xfId="0" applyFill="1" applyBorder="1"/>
    <xf numFmtId="0" fontId="2" fillId="2" borderId="7" xfId="0" applyFont="1" applyFill="1" applyBorder="1"/>
    <xf numFmtId="0" fontId="13" fillId="0" borderId="6" xfId="0" applyFont="1" applyBorder="1"/>
    <xf numFmtId="3" fontId="13" fillId="0" borderId="1" xfId="1" applyNumberFormat="1" applyFont="1" applyBorder="1"/>
    <xf numFmtId="3" fontId="13" fillId="0" borderId="0" xfId="0" applyNumberFormat="1" applyFont="1" applyBorder="1"/>
    <xf numFmtId="3" fontId="13" fillId="0" borderId="2" xfId="0" applyNumberFormat="1" applyFont="1" applyBorder="1"/>
    <xf numFmtId="165" fontId="13" fillId="0" borderId="1" xfId="1" applyNumberFormat="1" applyFont="1" applyBorder="1"/>
    <xf numFmtId="165" fontId="13" fillId="0" borderId="0" xfId="1" applyNumberFormat="1" applyFont="1" applyBorder="1"/>
    <xf numFmtId="165" fontId="13" fillId="0" borderId="2" xfId="1" applyNumberFormat="1" applyFont="1" applyBorder="1"/>
    <xf numFmtId="166" fontId="13" fillId="0" borderId="1" xfId="2" applyNumberFormat="1" applyFont="1" applyBorder="1"/>
    <xf numFmtId="166" fontId="13" fillId="0" borderId="0" xfId="2" applyNumberFormat="1" applyFont="1" applyBorder="1"/>
    <xf numFmtId="166" fontId="13" fillId="0" borderId="0" xfId="0" applyNumberFormat="1" applyFont="1" applyBorder="1"/>
    <xf numFmtId="0" fontId="13" fillId="0" borderId="2" xfId="0" applyFont="1" applyBorder="1"/>
    <xf numFmtId="43" fontId="13" fillId="0" borderId="1" xfId="0" applyNumberFormat="1" applyFont="1" applyBorder="1"/>
    <xf numFmtId="43" fontId="13" fillId="0" borderId="0" xfId="0" applyNumberFormat="1" applyFont="1" applyBorder="1"/>
    <xf numFmtId="0" fontId="13" fillId="0" borderId="0" xfId="0" applyFont="1" applyBorder="1"/>
    <xf numFmtId="3" fontId="13" fillId="0" borderId="1" xfId="1" applyNumberFormat="1" applyFont="1" applyFill="1" applyBorder="1"/>
    <xf numFmtId="3" fontId="13" fillId="0" borderId="0" xfId="1" applyNumberFormat="1" applyFont="1" applyFill="1" applyBorder="1"/>
    <xf numFmtId="3" fontId="13" fillId="0" borderId="2" xfId="1" applyNumberFormat="1" applyFont="1" applyFill="1" applyBorder="1"/>
    <xf numFmtId="165" fontId="13" fillId="0" borderId="1" xfId="1" applyNumberFormat="1" applyFont="1" applyFill="1" applyBorder="1"/>
    <xf numFmtId="165" fontId="13" fillId="0" borderId="0" xfId="1" applyNumberFormat="1" applyFont="1" applyFill="1" applyBorder="1"/>
    <xf numFmtId="165" fontId="13" fillId="0" borderId="2" xfId="1" applyNumberFormat="1" applyFont="1" applyFill="1" applyBorder="1"/>
    <xf numFmtId="164" fontId="13" fillId="0" borderId="2" xfId="4" applyNumberFormat="1" applyFont="1" applyBorder="1"/>
    <xf numFmtId="168" fontId="13" fillId="0" borderId="1" xfId="2" applyNumberFormat="1" applyFont="1" applyBorder="1"/>
    <xf numFmtId="168" fontId="13" fillId="0" borderId="0" xfId="2" applyNumberFormat="1" applyFont="1" applyBorder="1"/>
    <xf numFmtId="0" fontId="15" fillId="0" borderId="6" xfId="0" applyFont="1" applyBorder="1"/>
    <xf numFmtId="0" fontId="15" fillId="0" borderId="1" xfId="0" applyFont="1" applyBorder="1"/>
    <xf numFmtId="0" fontId="15" fillId="0" borderId="0" xfId="0" applyFont="1" applyBorder="1"/>
    <xf numFmtId="0" fontId="15" fillId="0" borderId="2" xfId="0" applyFont="1" applyBorder="1"/>
    <xf numFmtId="168" fontId="15" fillId="0" borderId="1" xfId="0" applyNumberFormat="1" applyFont="1" applyBorder="1"/>
    <xf numFmtId="168" fontId="15" fillId="0" borderId="0" xfId="0" applyNumberFormat="1" applyFont="1" applyBorder="1"/>
    <xf numFmtId="0" fontId="0" fillId="4" borderId="2" xfId="0" applyFill="1" applyBorder="1"/>
    <xf numFmtId="168" fontId="0" fillId="0" borderId="2" xfId="0" applyNumberFormat="1" applyBorder="1"/>
    <xf numFmtId="168" fontId="13" fillId="0" borderId="2" xfId="2" applyNumberFormat="1" applyFont="1" applyBorder="1"/>
    <xf numFmtId="168" fontId="15" fillId="0" borderId="2" xfId="0" applyNumberFormat="1" applyFont="1" applyBorder="1"/>
    <xf numFmtId="168" fontId="0" fillId="0" borderId="3" xfId="0" applyNumberFormat="1" applyBorder="1"/>
    <xf numFmtId="169" fontId="10" fillId="0" borderId="10" xfId="0" applyNumberFormat="1" applyFont="1" applyBorder="1" applyAlignment="1">
      <alignment horizontal="center"/>
    </xf>
    <xf numFmtId="169" fontId="10" fillId="0" borderId="11" xfId="0" applyNumberFormat="1" applyFont="1" applyBorder="1" applyAlignment="1">
      <alignment horizontal="center"/>
    </xf>
    <xf numFmtId="43" fontId="2" fillId="0" borderId="0" xfId="1" applyFont="1"/>
    <xf numFmtId="165" fontId="2" fillId="0" borderId="0" xfId="1" applyNumberFormat="1" applyFont="1" applyBorder="1"/>
    <xf numFmtId="44" fontId="0" fillId="0" borderId="1" xfId="2" applyNumberFormat="1" applyFont="1" applyBorder="1"/>
    <xf numFmtId="3" fontId="2" fillId="0" borderId="1" xfId="0" applyNumberFormat="1" applyFont="1" applyFill="1" applyBorder="1"/>
    <xf numFmtId="165" fontId="2" fillId="0" borderId="0" xfId="1" applyNumberFormat="1" applyFont="1" applyFill="1" applyBorder="1"/>
    <xf numFmtId="0" fontId="0" fillId="0" borderId="8" xfId="0" applyBorder="1"/>
    <xf numFmtId="0" fontId="0" fillId="0" borderId="7" xfId="0" applyBorder="1"/>
    <xf numFmtId="0" fontId="0" fillId="0" borderId="9" xfId="0" applyBorder="1"/>
    <xf numFmtId="0" fontId="4" fillId="0" borderId="0" xfId="0" applyFont="1" applyBorder="1"/>
    <xf numFmtId="3" fontId="2" fillId="0" borderId="1" xfId="1" applyNumberFormat="1" applyFont="1" applyBorder="1"/>
    <xf numFmtId="3" fontId="2" fillId="0" borderId="0" xfId="0" applyNumberFormat="1" applyFont="1" applyBorder="1"/>
    <xf numFmtId="3" fontId="2" fillId="0" borderId="2" xfId="0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/>
    <xf numFmtId="0" fontId="14" fillId="0" borderId="0" xfId="0" applyFont="1" applyBorder="1"/>
    <xf numFmtId="3" fontId="2" fillId="0" borderId="1" xfId="1" applyNumberFormat="1" applyFont="1" applyFill="1" applyBorder="1"/>
    <xf numFmtId="3" fontId="2" fillId="0" borderId="0" xfId="1" applyNumberFormat="1" applyFont="1" applyFill="1" applyBorder="1"/>
    <xf numFmtId="3" fontId="2" fillId="0" borderId="2" xfId="1" applyNumberFormat="1" applyFont="1" applyFill="1" applyBorder="1"/>
    <xf numFmtId="165" fontId="2" fillId="0" borderId="1" xfId="1" applyNumberFormat="1" applyFont="1" applyFill="1" applyBorder="1"/>
    <xf numFmtId="165" fontId="2" fillId="0" borderId="2" xfId="1" applyNumberFormat="1" applyFont="1" applyFill="1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2" xfId="0" applyFont="1" applyFill="1" applyBorder="1"/>
    <xf numFmtId="167" fontId="8" fillId="0" borderId="0" xfId="3" applyNumberFormat="1" applyBorder="1" applyAlignment="1">
      <alignment horizontal="center" vertical="center"/>
    </xf>
    <xf numFmtId="167" fontId="4" fillId="0" borderId="0" xfId="3" applyNumberFormat="1" applyFont="1" applyBorder="1" applyAlignment="1">
      <alignment horizontal="center" vertical="center"/>
    </xf>
    <xf numFmtId="167" fontId="4" fillId="0" borderId="4" xfId="3" applyNumberFormat="1" applyFont="1" applyFill="1" applyBorder="1" applyAlignment="1">
      <alignment horizontal="center" vertical="center"/>
    </xf>
    <xf numFmtId="3" fontId="2" fillId="0" borderId="15" xfId="0" applyNumberFormat="1" applyFont="1" applyFill="1" applyBorder="1"/>
    <xf numFmtId="0" fontId="2" fillId="0" borderId="4" xfId="0" applyFont="1" applyBorder="1"/>
    <xf numFmtId="0" fontId="2" fillId="0" borderId="3" xfId="0" applyFont="1" applyBorder="1"/>
    <xf numFmtId="10" fontId="0" fillId="0" borderId="15" xfId="4" applyNumberFormat="1" applyFont="1" applyBorder="1"/>
    <xf numFmtId="10" fontId="0" fillId="0" borderId="4" xfId="4" applyNumberFormat="1" applyFont="1" applyBorder="1"/>
    <xf numFmtId="169" fontId="10" fillId="0" borderId="13" xfId="0" applyNumberFormat="1" applyFont="1" applyBorder="1" applyAlignment="1">
      <alignment horizontal="center"/>
    </xf>
    <xf numFmtId="169" fontId="10" fillId="3" borderId="11" xfId="1" applyNumberFormat="1" applyFont="1" applyFill="1" applyBorder="1" applyAlignment="1">
      <alignment horizontal="center" vertical="center"/>
    </xf>
    <xf numFmtId="169" fontId="10" fillId="3" borderId="1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4" fillId="0" borderId="10" xfId="0" applyFont="1" applyBorder="1"/>
    <xf numFmtId="170" fontId="4" fillId="0" borderId="10" xfId="2" applyNumberFormat="1" applyFont="1" applyBorder="1"/>
    <xf numFmtId="170" fontId="4" fillId="0" borderId="10" xfId="0" applyNumberFormat="1" applyFont="1" applyBorder="1"/>
    <xf numFmtId="9" fontId="4" fillId="0" borderId="10" xfId="4" applyNumberFormat="1" applyFont="1" applyBorder="1"/>
    <xf numFmtId="9" fontId="4" fillId="0" borderId="10" xfId="0" applyNumberFormat="1" applyFont="1" applyBorder="1"/>
    <xf numFmtId="10" fontId="4" fillId="0" borderId="10" xfId="0" applyNumberFormat="1" applyFont="1" applyBorder="1"/>
    <xf numFmtId="167" fontId="4" fillId="0" borderId="0" xfId="3" applyNumberFormat="1" applyFont="1" applyFill="1" applyBorder="1" applyAlignment="1">
      <alignment horizontal="center" vertical="center"/>
    </xf>
    <xf numFmtId="168" fontId="0" fillId="0" borderId="0" xfId="0" applyNumberFormat="1"/>
    <xf numFmtId="44" fontId="0" fillId="0" borderId="0" xfId="2" applyFont="1" applyBorder="1"/>
    <xf numFmtId="0" fontId="4" fillId="0" borderId="0" xfId="0" applyFont="1" applyBorder="1" applyAlignment="1">
      <alignment wrapText="1"/>
    </xf>
    <xf numFmtId="0" fontId="2" fillId="2" borderId="1" xfId="0" applyFont="1" applyFill="1" applyBorder="1" applyAlignment="1">
      <alignment horizontal="centerContinuous"/>
    </xf>
    <xf numFmtId="0" fontId="0" fillId="2" borderId="0" xfId="0" applyFill="1" applyBorder="1" applyAlignment="1">
      <alignment horizontal="centerContinuous"/>
    </xf>
    <xf numFmtId="0" fontId="0" fillId="2" borderId="2" xfId="0" applyFill="1" applyBorder="1" applyAlignment="1">
      <alignment horizontal="centerContinuous"/>
    </xf>
    <xf numFmtId="0" fontId="2" fillId="4" borderId="7" xfId="0" applyFont="1" applyFill="1" applyBorder="1" applyAlignment="1">
      <alignment horizontal="centerContinuous"/>
    </xf>
    <xf numFmtId="0" fontId="0" fillId="4" borderId="8" xfId="0" applyFill="1" applyBorder="1" applyAlignment="1">
      <alignment horizontal="centerContinuous"/>
    </xf>
    <xf numFmtId="0" fontId="0" fillId="4" borderId="9" xfId="0" applyFill="1" applyBorder="1" applyAlignment="1">
      <alignment horizontal="centerContinuous"/>
    </xf>
    <xf numFmtId="0" fontId="0" fillId="0" borderId="0" xfId="0" applyFill="1" applyAlignment="1">
      <alignment horizontal="right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>
      <alignment wrapText="1"/>
    </xf>
    <xf numFmtId="44" fontId="2" fillId="0" borderId="0" xfId="2" applyFont="1" applyFill="1" applyBorder="1"/>
    <xf numFmtId="44" fontId="2" fillId="0" borderId="2" xfId="2" applyFont="1" applyFill="1" applyBorder="1"/>
    <xf numFmtId="168" fontId="2" fillId="0" borderId="0" xfId="0" applyNumberFormat="1" applyFont="1" applyBorder="1"/>
    <xf numFmtId="168" fontId="2" fillId="0" borderId="2" xfId="0" applyNumberFormat="1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1" fontId="10" fillId="3" borderId="11" xfId="0" applyNumberFormat="1" applyFont="1" applyFill="1" applyBorder="1" applyAlignment="1">
      <alignment horizontal="center" vertical="center"/>
    </xf>
    <xf numFmtId="171" fontId="10" fillId="3" borderId="12" xfId="0" applyNumberFormat="1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</cellXfs>
  <cellStyles count="6">
    <cellStyle name="Comma" xfId="1" builtinId="3"/>
    <cellStyle name="Currency" xfId="2" builtinId="4"/>
    <cellStyle name="Normal" xfId="0" builtinId="0"/>
    <cellStyle name="Normal 2" xfId="5"/>
    <cellStyle name="Normal_H1 Load Shapes for 2010_May 2009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8/RTSR%20Calculation_2018_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x_peak"/>
      <sheetName val="tx_peak"/>
      <sheetName val="TotTXPk"/>
      <sheetName val="TotST"/>
      <sheetName val="Hourly load shapes by class"/>
      <sheetName val="st_cdet"/>
      <sheetName val="Line Loss Factors"/>
      <sheetName val="Summary"/>
      <sheetName val="Evidence-Table1"/>
      <sheetName val="Evidence-Table2"/>
      <sheetName val="Sheet1"/>
      <sheetName val="DRO Exhibit 3.4"/>
      <sheetName val="RTSR Calculation_2018_v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F16">
            <v>63112464.000286795</v>
          </cell>
          <cell r="G16">
            <v>55578669.419949219</v>
          </cell>
          <cell r="H16">
            <v>63916165.659063287</v>
          </cell>
        </row>
        <row r="18">
          <cell r="C18">
            <v>29767536.068281412</v>
          </cell>
          <cell r="D18">
            <v>24533038.234414872</v>
          </cell>
          <cell r="E18">
            <v>29577951.830873515</v>
          </cell>
          <cell r="F18">
            <v>27425040.122790284</v>
          </cell>
          <cell r="G18">
            <v>20647159.790721096</v>
          </cell>
          <cell r="H18">
            <v>26127859.606975395</v>
          </cell>
        </row>
        <row r="24">
          <cell r="C24">
            <v>19488522.618362669</v>
          </cell>
          <cell r="D24">
            <v>196008.28627242715</v>
          </cell>
          <cell r="F24">
            <v>8.9254287633904839E-4</v>
          </cell>
          <cell r="G24">
            <v>9.4766865401714386E-4</v>
          </cell>
        </row>
        <row r="25">
          <cell r="C25">
            <v>2484839759.0989752</v>
          </cell>
          <cell r="D25">
            <v>8515499.0345519967</v>
          </cell>
          <cell r="F25">
            <v>0.10272606506734357</v>
          </cell>
          <cell r="G25">
            <v>9.6026865920498694E-2</v>
          </cell>
        </row>
        <row r="26">
          <cell r="C26">
            <v>2306022337.8997641</v>
          </cell>
          <cell r="F26">
            <v>0.10050427185573679</v>
          </cell>
          <cell r="G26">
            <v>9.6662364050534272E-2</v>
          </cell>
        </row>
        <row r="27">
          <cell r="C27">
            <v>5298297493.5724878</v>
          </cell>
          <cell r="F27">
            <v>0.29236079172433233</v>
          </cell>
          <cell r="G27">
            <v>0.29945165876413099</v>
          </cell>
        </row>
        <row r="28">
          <cell r="C28">
            <v>5016000872.9578171</v>
          </cell>
          <cell r="F28">
            <v>0.25884721590192794</v>
          </cell>
          <cell r="G28">
            <v>0.2646067324380923</v>
          </cell>
        </row>
        <row r="29">
          <cell r="C29">
            <v>697641022.49210095</v>
          </cell>
          <cell r="F29">
            <v>3.0209150313893506E-2</v>
          </cell>
          <cell r="G29">
            <v>3.1513009141791774E-2</v>
          </cell>
        </row>
        <row r="30">
          <cell r="C30">
            <v>1110402329.2072151</v>
          </cell>
          <cell r="D30">
            <v>2973938.5662316065</v>
          </cell>
          <cell r="F30">
            <v>4.8378364858919561E-2</v>
          </cell>
          <cell r="G30">
            <v>4.5240030948886893E-2</v>
          </cell>
        </row>
        <row r="31">
          <cell r="C31">
            <v>638457338.64482975</v>
          </cell>
          <cell r="F31">
            <v>2.984454122212412E-2</v>
          </cell>
          <cell r="G31">
            <v>2.7827625207390808E-2</v>
          </cell>
        </row>
        <row r="32">
          <cell r="C32">
            <v>2163956873.586134</v>
          </cell>
          <cell r="F32">
            <v>0.12968766869908557</v>
          </cell>
          <cell r="G32">
            <v>0.13054123371222603</v>
          </cell>
        </row>
        <row r="33">
          <cell r="C33">
            <v>132533689.67405702</v>
          </cell>
          <cell r="F33">
            <v>4.7670369307801427E-3</v>
          </cell>
          <cell r="G33">
            <v>5.3273615061055777E-3</v>
          </cell>
        </row>
        <row r="34">
          <cell r="C34">
            <v>26685411.047606945</v>
          </cell>
          <cell r="F34">
            <v>9.7443928778027673E-4</v>
          </cell>
          <cell r="G34">
            <v>9.4889758869658148E-4</v>
          </cell>
        </row>
        <row r="35">
          <cell r="C35">
            <v>22261051.34639027</v>
          </cell>
          <cell r="F35">
            <v>8.0791126173693673E-4</v>
          </cell>
          <cell r="G35">
            <v>9.065520676290157E-4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5"/>
  <sheetViews>
    <sheetView tabSelected="1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B14" sqref="B14"/>
    </sheetView>
  </sheetViews>
  <sheetFormatPr defaultRowHeight="12.75" x14ac:dyDescent="0.2"/>
  <cols>
    <col min="1" max="1" width="5.28515625" customWidth="1"/>
    <col min="2" max="2" width="25.28515625" customWidth="1"/>
    <col min="3" max="3" width="16.85546875" customWidth="1"/>
    <col min="4" max="4" width="14" bestFit="1" customWidth="1"/>
    <col min="5" max="5" width="17.42578125" customWidth="1"/>
    <col min="6" max="8" width="13.5703125" bestFit="1" customWidth="1"/>
    <col min="9" max="9" width="19.85546875" bestFit="1" customWidth="1"/>
    <col min="10" max="10" width="14.85546875" bestFit="1" customWidth="1"/>
    <col min="11" max="12" width="13.140625" bestFit="1" customWidth="1"/>
    <col min="13" max="13" width="7.85546875" bestFit="1" customWidth="1"/>
    <col min="14" max="17" width="8.5703125" bestFit="1" customWidth="1"/>
  </cols>
  <sheetData>
    <row r="2" spans="1:17" ht="13.5" thickBot="1" x14ac:dyDescent="0.25">
      <c r="I2" s="1"/>
      <c r="J2" s="1"/>
      <c r="K2" s="1"/>
      <c r="L2" s="1"/>
      <c r="M2" s="1"/>
      <c r="N2" s="1"/>
    </row>
    <row r="3" spans="1:17" x14ac:dyDescent="0.2">
      <c r="I3" s="160" t="s">
        <v>32</v>
      </c>
      <c r="J3" s="161" t="s">
        <v>1</v>
      </c>
      <c r="K3" s="161" t="s">
        <v>22</v>
      </c>
      <c r="L3" s="161" t="s">
        <v>23</v>
      </c>
      <c r="M3" s="162" t="s">
        <v>30</v>
      </c>
      <c r="N3" s="1"/>
    </row>
    <row r="4" spans="1:17" x14ac:dyDescent="0.2">
      <c r="I4" s="163"/>
      <c r="J4" s="126"/>
      <c r="K4" s="126" t="s">
        <v>31</v>
      </c>
      <c r="L4" s="126" t="s">
        <v>31</v>
      </c>
      <c r="M4" s="164" t="s">
        <v>31</v>
      </c>
      <c r="N4" s="1"/>
    </row>
    <row r="5" spans="1:17" x14ac:dyDescent="0.2">
      <c r="G5" s="51"/>
      <c r="H5" s="159"/>
      <c r="I5" s="165" t="s">
        <v>60</v>
      </c>
      <c r="J5" s="166" t="s">
        <v>58</v>
      </c>
      <c r="K5" s="167">
        <v>3.66</v>
      </c>
      <c r="L5" s="167">
        <v>0.87</v>
      </c>
      <c r="M5" s="168">
        <v>2.02</v>
      </c>
      <c r="N5" s="1"/>
    </row>
    <row r="6" spans="1:17" s="6" customFormat="1" x14ac:dyDescent="0.2">
      <c r="B6" s="5"/>
      <c r="C6" s="5"/>
      <c r="D6" s="5"/>
      <c r="H6" s="27"/>
      <c r="I6" s="25"/>
      <c r="J6" s="32"/>
      <c r="K6" s="31"/>
      <c r="L6" s="31"/>
      <c r="M6" s="34"/>
      <c r="N6" s="33"/>
    </row>
    <row r="7" spans="1:17" x14ac:dyDescent="0.2">
      <c r="H7" s="27"/>
      <c r="I7" s="25"/>
      <c r="J7" s="32"/>
      <c r="K7" s="26"/>
      <c r="L7" s="26"/>
      <c r="M7" s="35"/>
      <c r="N7" s="1"/>
    </row>
    <row r="8" spans="1:17" x14ac:dyDescent="0.2">
      <c r="H8" s="27"/>
      <c r="I8" s="25"/>
      <c r="J8" s="32"/>
      <c r="K8" s="26"/>
      <c r="L8" s="26"/>
      <c r="M8" s="35"/>
      <c r="N8" s="1"/>
    </row>
    <row r="9" spans="1:17" ht="13.5" thickBot="1" x14ac:dyDescent="0.25">
      <c r="H9" s="27"/>
      <c r="I9" s="65"/>
      <c r="J9" s="50"/>
      <c r="K9" s="11"/>
      <c r="L9" s="11"/>
      <c r="M9" s="4"/>
      <c r="N9" s="1"/>
    </row>
    <row r="10" spans="1:17" ht="25.5" x14ac:dyDescent="0.2">
      <c r="A10" s="13"/>
      <c r="B10" s="13"/>
      <c r="C10" s="69" t="s">
        <v>69</v>
      </c>
      <c r="D10" s="17"/>
      <c r="E10" s="18"/>
      <c r="F10" s="23" t="s">
        <v>7</v>
      </c>
      <c r="G10" s="24"/>
      <c r="H10" s="44"/>
      <c r="I10" s="153" t="s">
        <v>59</v>
      </c>
      <c r="J10" s="154"/>
      <c r="K10" s="154"/>
      <c r="L10" s="154"/>
      <c r="M10" s="155"/>
      <c r="N10" s="156" t="s">
        <v>78</v>
      </c>
      <c r="O10" s="157"/>
      <c r="P10" s="157"/>
      <c r="Q10" s="158"/>
    </row>
    <row r="11" spans="1:17" ht="13.5" thickBot="1" x14ac:dyDescent="0.25">
      <c r="A11" s="14"/>
      <c r="B11" s="14"/>
      <c r="C11" s="19" t="s">
        <v>22</v>
      </c>
      <c r="D11" s="20" t="s">
        <v>23</v>
      </c>
      <c r="E11" s="21" t="s">
        <v>30</v>
      </c>
      <c r="F11" s="19" t="s">
        <v>22</v>
      </c>
      <c r="G11" s="20" t="s">
        <v>23</v>
      </c>
      <c r="H11" s="21" t="s">
        <v>30</v>
      </c>
      <c r="I11" s="19" t="s">
        <v>22</v>
      </c>
      <c r="J11" s="20" t="s">
        <v>23</v>
      </c>
      <c r="K11" s="20" t="s">
        <v>30</v>
      </c>
      <c r="L11" s="20" t="s">
        <v>33</v>
      </c>
      <c r="M11" s="21"/>
      <c r="N11" s="67" t="s">
        <v>29</v>
      </c>
      <c r="O11" s="68" t="s">
        <v>3</v>
      </c>
      <c r="P11" s="68" t="s">
        <v>2</v>
      </c>
      <c r="Q11" s="99" t="s">
        <v>3</v>
      </c>
    </row>
    <row r="12" spans="1:17" x14ac:dyDescent="0.2">
      <c r="A12" s="13"/>
      <c r="B12" s="111"/>
      <c r="C12" s="112"/>
      <c r="D12" s="111"/>
      <c r="E12" s="113"/>
      <c r="F12" s="112"/>
      <c r="G12" s="111"/>
      <c r="H12" s="113"/>
      <c r="I12" s="112"/>
      <c r="J12" s="111"/>
      <c r="K12" s="111"/>
      <c r="L12" s="111"/>
      <c r="M12" s="113"/>
      <c r="N12" s="112" t="s">
        <v>31</v>
      </c>
      <c r="O12" s="111" t="s">
        <v>31</v>
      </c>
      <c r="P12" s="111" t="s">
        <v>31</v>
      </c>
      <c r="Q12" s="113"/>
    </row>
    <row r="13" spans="1:17" x14ac:dyDescent="0.2">
      <c r="A13" s="14"/>
      <c r="B13" s="1"/>
      <c r="C13" s="2"/>
      <c r="D13" s="1"/>
      <c r="E13" s="3"/>
      <c r="F13" s="2"/>
      <c r="G13" s="1"/>
      <c r="H13" s="3"/>
      <c r="I13" s="10"/>
      <c r="J13" s="1"/>
      <c r="K13" s="1"/>
      <c r="L13" s="1"/>
      <c r="M13" s="3"/>
      <c r="N13" s="2"/>
      <c r="O13" s="1"/>
      <c r="P13" s="1"/>
      <c r="Q13" s="3"/>
    </row>
    <row r="14" spans="1:17" s="1" customFormat="1" ht="51" x14ac:dyDescent="0.2">
      <c r="A14" s="14" t="s">
        <v>4</v>
      </c>
      <c r="B14" s="152" t="s">
        <v>72</v>
      </c>
      <c r="C14" s="115"/>
      <c r="D14" s="116"/>
      <c r="E14" s="117"/>
      <c r="F14" s="118">
        <f>[1]Summary!F16</f>
        <v>63112464.000286795</v>
      </c>
      <c r="G14" s="107">
        <f>[1]Summary!G16</f>
        <v>55578669.419949219</v>
      </c>
      <c r="H14" s="119">
        <f>[1]Summary!H16</f>
        <v>63916165.659063287</v>
      </c>
      <c r="I14" s="12">
        <f t="shared" ref="I14:K14" si="0">K$5*F14</f>
        <v>230991618.24104968</v>
      </c>
      <c r="J14" s="7">
        <f t="shared" si="0"/>
        <v>48353442.395355821</v>
      </c>
      <c r="K14" s="7">
        <f t="shared" si="0"/>
        <v>129110654.63130784</v>
      </c>
      <c r="L14" s="8">
        <f>SUM(I14:K14)</f>
        <v>408455715.26771331</v>
      </c>
      <c r="M14" s="3"/>
      <c r="N14" s="36"/>
      <c r="O14" s="9"/>
      <c r="P14" s="9"/>
      <c r="Q14" s="3"/>
    </row>
    <row r="15" spans="1:17" s="83" customFormat="1" x14ac:dyDescent="0.2">
      <c r="A15" s="70"/>
      <c r="B15" s="120" t="s">
        <v>56</v>
      </c>
      <c r="C15" s="71"/>
      <c r="D15" s="72"/>
      <c r="E15" s="73"/>
      <c r="F15" s="74"/>
      <c r="G15" s="75"/>
      <c r="H15" s="76"/>
      <c r="I15" s="77"/>
      <c r="J15" s="78"/>
      <c r="K15" s="78"/>
      <c r="L15" s="79"/>
      <c r="M15" s="80"/>
      <c r="N15" s="81"/>
      <c r="O15" s="82"/>
      <c r="P15" s="82"/>
      <c r="Q15" s="80"/>
    </row>
    <row r="16" spans="1:17" s="1" customFormat="1" x14ac:dyDescent="0.2">
      <c r="A16" s="14" t="s">
        <v>5</v>
      </c>
      <c r="B16" s="114" t="s">
        <v>74</v>
      </c>
      <c r="C16" s="121">
        <f>[1]Summary!C18</f>
        <v>29767536.068281412</v>
      </c>
      <c r="D16" s="122">
        <f>[1]Summary!D18</f>
        <v>24533038.234414872</v>
      </c>
      <c r="E16" s="123">
        <f>[1]Summary!E18</f>
        <v>29577951.830873515</v>
      </c>
      <c r="F16" s="124">
        <f>[1]Summary!F18</f>
        <v>27425040.122790284</v>
      </c>
      <c r="G16" s="110">
        <f>[1]Summary!G18</f>
        <v>20647159.790721096</v>
      </c>
      <c r="H16" s="125">
        <f>[1]Summary!H18</f>
        <v>26127859.606975395</v>
      </c>
      <c r="I16" s="108">
        <f>(F16/F14)*I14</f>
        <v>100375646.84941244</v>
      </c>
      <c r="J16" s="7">
        <f>(G16/G14)*J14</f>
        <v>17963029.017927352</v>
      </c>
      <c r="K16" s="7">
        <f>(H16/H14)*K14</f>
        <v>52778276.406090297</v>
      </c>
      <c r="L16" s="8">
        <f>SUM(I16:K16)</f>
        <v>171116952.27343008</v>
      </c>
      <c r="M16" s="22">
        <f>L16/L14</f>
        <v>0.41893636415706714</v>
      </c>
      <c r="N16" s="53">
        <f>ROUND(I16/C16,4)</f>
        <v>3.3719999999999999</v>
      </c>
      <c r="O16" s="54">
        <f>ROUND(J16/D16,4)</f>
        <v>0.73219999999999996</v>
      </c>
      <c r="P16" s="54">
        <f>ROUND(K16/E16,4)</f>
        <v>1.7844</v>
      </c>
      <c r="Q16" s="100"/>
    </row>
    <row r="17" spans="1:17" s="83" customFormat="1" x14ac:dyDescent="0.2">
      <c r="A17" s="70"/>
      <c r="B17" s="120" t="s">
        <v>56</v>
      </c>
      <c r="C17" s="84"/>
      <c r="D17" s="85"/>
      <c r="E17" s="86"/>
      <c r="F17" s="87"/>
      <c r="G17" s="88"/>
      <c r="H17" s="89"/>
      <c r="I17" s="77"/>
      <c r="J17" s="78"/>
      <c r="K17" s="78"/>
      <c r="L17" s="79"/>
      <c r="M17" s="90"/>
      <c r="N17" s="91"/>
      <c r="O17" s="92"/>
      <c r="P17" s="92"/>
      <c r="Q17" s="101"/>
    </row>
    <row r="18" spans="1:17" s="1" customFormat="1" x14ac:dyDescent="0.2">
      <c r="A18" s="14" t="s">
        <v>6</v>
      </c>
      <c r="B18" s="126" t="s">
        <v>73</v>
      </c>
      <c r="C18" s="124"/>
      <c r="D18" s="127"/>
      <c r="E18" s="128"/>
      <c r="F18" s="47"/>
      <c r="G18" s="48"/>
      <c r="H18" s="49"/>
      <c r="I18" s="12">
        <f>I14-I16</f>
        <v>130615971.39163724</v>
      </c>
      <c r="J18" s="7">
        <f>J14-J16</f>
        <v>30390413.377428468</v>
      </c>
      <c r="K18" s="7">
        <f>K14-K16</f>
        <v>76332378.225217551</v>
      </c>
      <c r="L18" s="8">
        <f>SUM(I18:K18)</f>
        <v>237338762.99428326</v>
      </c>
      <c r="M18" s="22">
        <f>L18/L14</f>
        <v>0.58106363584293286</v>
      </c>
      <c r="N18" s="55"/>
      <c r="O18" s="56"/>
      <c r="P18" s="56"/>
      <c r="Q18" s="100"/>
    </row>
    <row r="19" spans="1:17" s="95" customFormat="1" x14ac:dyDescent="0.2">
      <c r="A19" s="93"/>
      <c r="B19" s="120"/>
      <c r="C19" s="94"/>
      <c r="E19" s="96"/>
      <c r="F19" s="94"/>
      <c r="H19" s="96"/>
      <c r="I19" s="77"/>
      <c r="J19" s="78"/>
      <c r="K19" s="78"/>
      <c r="L19" s="79"/>
      <c r="M19" s="90"/>
      <c r="N19" s="97"/>
      <c r="O19" s="98"/>
      <c r="P19" s="98"/>
      <c r="Q19" s="102"/>
    </row>
    <row r="20" spans="1:17" x14ac:dyDescent="0.2">
      <c r="A20" s="14"/>
      <c r="B20" s="1"/>
      <c r="C20" s="2" t="s">
        <v>44</v>
      </c>
      <c r="D20" s="1" t="s">
        <v>68</v>
      </c>
      <c r="E20" s="3"/>
      <c r="F20" s="2" t="s">
        <v>26</v>
      </c>
      <c r="G20" s="1" t="s">
        <v>27</v>
      </c>
      <c r="H20" s="3"/>
      <c r="I20" s="2"/>
      <c r="J20" s="1"/>
      <c r="K20" s="1"/>
      <c r="L20" s="1"/>
      <c r="M20" s="3"/>
      <c r="N20" s="55" t="s">
        <v>29</v>
      </c>
      <c r="O20" s="169" t="s">
        <v>3</v>
      </c>
      <c r="P20" s="169" t="s">
        <v>29</v>
      </c>
      <c r="Q20" s="170" t="s">
        <v>3</v>
      </c>
    </row>
    <row r="21" spans="1:17" x14ac:dyDescent="0.2">
      <c r="A21" s="14"/>
      <c r="B21" s="1"/>
      <c r="C21" s="2"/>
      <c r="D21" s="1"/>
      <c r="E21" s="3"/>
      <c r="F21" s="2" t="s">
        <v>28</v>
      </c>
      <c r="G21" s="1" t="s">
        <v>28</v>
      </c>
      <c r="H21" s="3"/>
      <c r="I21" s="2" t="s">
        <v>22</v>
      </c>
      <c r="J21" s="1" t="s">
        <v>24</v>
      </c>
      <c r="K21" s="1"/>
      <c r="L21" s="1"/>
      <c r="M21" s="3"/>
      <c r="N21" s="55" t="s">
        <v>43</v>
      </c>
      <c r="O21" s="56" t="s">
        <v>43</v>
      </c>
      <c r="P21" s="56" t="s">
        <v>31</v>
      </c>
      <c r="Q21" s="100" t="s">
        <v>31</v>
      </c>
    </row>
    <row r="22" spans="1:17" x14ac:dyDescent="0.2">
      <c r="A22" s="14"/>
      <c r="B22" s="129" t="s">
        <v>34</v>
      </c>
      <c r="C22" s="109">
        <f>[1]Summary!C24</f>
        <v>19488522.618362669</v>
      </c>
      <c r="D22" s="110">
        <f>[1]Summary!D24</f>
        <v>196008.28627242715</v>
      </c>
      <c r="E22" s="66"/>
      <c r="F22" s="16">
        <f>[1]Summary!F24</f>
        <v>8.9254287633904839E-4</v>
      </c>
      <c r="G22" s="15">
        <f>[1]Summary!G24</f>
        <v>9.4766865401714386E-4</v>
      </c>
      <c r="H22" s="3"/>
      <c r="I22" s="12">
        <f>$I$18*F22</f>
        <v>116580.35480171075</v>
      </c>
      <c r="J22" s="151">
        <f t="shared" ref="J22:J30" si="1">G22*($J$18+$K$18)</f>
        <v>101137.8442710317</v>
      </c>
      <c r="K22" s="1"/>
      <c r="L22" s="1"/>
      <c r="M22" s="3"/>
      <c r="N22" s="55"/>
      <c r="O22" s="56"/>
      <c r="P22" s="56">
        <f>ROUND(I22/D22,4)</f>
        <v>0.5948</v>
      </c>
      <c r="Q22" s="100">
        <f>ROUND(J22/D22,4)</f>
        <v>0.51600000000000001</v>
      </c>
    </row>
    <row r="23" spans="1:17" x14ac:dyDescent="0.2">
      <c r="A23" s="14"/>
      <c r="B23" s="129" t="s">
        <v>35</v>
      </c>
      <c r="C23" s="109">
        <f>[1]Summary!C25</f>
        <v>2484839759.0989752</v>
      </c>
      <c r="D23" s="110">
        <f>[1]Summary!D25</f>
        <v>8515499.0345519967</v>
      </c>
      <c r="E23" s="66"/>
      <c r="F23" s="16">
        <f>[1]Summary!F25</f>
        <v>0.10272606506734357</v>
      </c>
      <c r="G23" s="15">
        <f>[1]Summary!G25</f>
        <v>9.6026865920498694E-2</v>
      </c>
      <c r="H23" s="3"/>
      <c r="I23" s="12">
        <f t="shared" ref="I23:I31" si="2">$I$18*F23</f>
        <v>13417664.776011612</v>
      </c>
      <c r="J23" s="7">
        <f t="shared" si="1"/>
        <v>10248255.199888613</v>
      </c>
      <c r="K23" s="1"/>
      <c r="L23" s="1"/>
      <c r="M23" s="3"/>
      <c r="N23" s="55"/>
      <c r="O23" s="56"/>
      <c r="P23" s="56">
        <f>ROUND(I23/D23,4)</f>
        <v>1.5757000000000001</v>
      </c>
      <c r="Q23" s="100">
        <f>ROUND(J23/D23,4)</f>
        <v>1.2035</v>
      </c>
    </row>
    <row r="24" spans="1:17" x14ac:dyDescent="0.2">
      <c r="A24" s="14"/>
      <c r="B24" s="129" t="s">
        <v>36</v>
      </c>
      <c r="C24" s="109">
        <f>[1]Summary!C26</f>
        <v>2306022337.8997641</v>
      </c>
      <c r="D24" s="110"/>
      <c r="E24" s="66"/>
      <c r="F24" s="16">
        <f>[1]Summary!F26</f>
        <v>0.10050427185573679</v>
      </c>
      <c r="G24" s="15">
        <f>[1]Summary!G26</f>
        <v>9.6662364050534272E-2</v>
      </c>
      <c r="H24" s="3"/>
      <c r="I24" s="12">
        <f t="shared" si="2"/>
        <v>13127463.097446248</v>
      </c>
      <c r="J24" s="7">
        <f t="shared" si="1"/>
        <v>10316077.334384272</v>
      </c>
      <c r="K24" s="1"/>
      <c r="L24" s="1"/>
      <c r="M24" s="3"/>
      <c r="N24" s="55">
        <f>ROUND(I24/C24*100,4)</f>
        <v>0.56930000000000003</v>
      </c>
      <c r="O24" s="56">
        <f>ROUND(J24/C24*100,4)</f>
        <v>0.44740000000000002</v>
      </c>
      <c r="P24" s="56"/>
      <c r="Q24" s="100"/>
    </row>
    <row r="25" spans="1:17" x14ac:dyDescent="0.2">
      <c r="A25" s="14"/>
      <c r="B25" s="129" t="s">
        <v>37</v>
      </c>
      <c r="C25" s="109">
        <f>[1]Summary!C27</f>
        <v>5298297493.5724878</v>
      </c>
      <c r="D25" s="110"/>
      <c r="E25" s="66"/>
      <c r="F25" s="16">
        <f>[1]Summary!F27</f>
        <v>0.29236079172433233</v>
      </c>
      <c r="G25" s="15">
        <f>[1]Summary!G27</f>
        <v>0.29945165876413099</v>
      </c>
      <c r="H25" s="3"/>
      <c r="I25" s="12">
        <f t="shared" si="2"/>
        <v>38186988.8079018</v>
      </c>
      <c r="J25" s="7">
        <f t="shared" si="1"/>
        <v>31958316.97335102</v>
      </c>
      <c r="K25" s="1"/>
      <c r="L25" s="1"/>
      <c r="M25" s="3"/>
      <c r="N25" s="55">
        <f>ROUND(I25/C25*100,4)</f>
        <v>0.72070000000000001</v>
      </c>
      <c r="O25" s="56">
        <f>ROUND(J25/C25*100,4)</f>
        <v>0.60319999999999996</v>
      </c>
      <c r="P25" s="56"/>
      <c r="Q25" s="100"/>
    </row>
    <row r="26" spans="1:17" x14ac:dyDescent="0.2">
      <c r="A26" s="14"/>
      <c r="B26" s="129" t="s">
        <v>38</v>
      </c>
      <c r="C26" s="109">
        <f>[1]Summary!C28</f>
        <v>5016000872.9578171</v>
      </c>
      <c r="D26" s="110"/>
      <c r="E26" s="66"/>
      <c r="F26" s="16">
        <f>[1]Summary!F28</f>
        <v>0.25884721590192794</v>
      </c>
      <c r="G26" s="15">
        <f>[1]Summary!G28</f>
        <v>0.2646067324380923</v>
      </c>
      <c r="H26" s="3"/>
      <c r="I26" s="12">
        <f t="shared" si="2"/>
        <v>33809580.547051169</v>
      </c>
      <c r="J26" s="7">
        <f t="shared" si="1"/>
        <v>28239569.162647638</v>
      </c>
      <c r="K26" s="1"/>
      <c r="L26" s="1"/>
      <c r="M26" s="3"/>
      <c r="N26" s="55">
        <f>ROUND(I26/C26*100,4)</f>
        <v>0.67400000000000004</v>
      </c>
      <c r="O26" s="56">
        <f>ROUND(J26/C26*100,4)</f>
        <v>0.56299999999999994</v>
      </c>
      <c r="P26" s="56"/>
      <c r="Q26" s="100"/>
    </row>
    <row r="27" spans="1:17" x14ac:dyDescent="0.2">
      <c r="A27" s="14"/>
      <c r="B27" s="129" t="s">
        <v>39</v>
      </c>
      <c r="C27" s="109">
        <f>[1]Summary!C29</f>
        <v>697641022.49210095</v>
      </c>
      <c r="D27" s="110"/>
      <c r="E27" s="66"/>
      <c r="F27" s="16">
        <f>[1]Summary!F29</f>
        <v>3.0209150313893506E-2</v>
      </c>
      <c r="G27" s="15">
        <f>[1]Summary!G29</f>
        <v>3.1513009141791774E-2</v>
      </c>
      <c r="H27" s="3"/>
      <c r="I27" s="12">
        <f t="shared" si="2"/>
        <v>3945797.5131651834</v>
      </c>
      <c r="J27" s="7">
        <f t="shared" si="1"/>
        <v>3363156.3074117224</v>
      </c>
      <c r="K27" s="1"/>
      <c r="L27" s="1"/>
      <c r="M27" s="3"/>
      <c r="N27" s="55">
        <f>ROUND(I27/C27*100,4)</f>
        <v>0.56559999999999999</v>
      </c>
      <c r="O27" s="56">
        <f>ROUND(J27/C27*100,4)</f>
        <v>0.48209999999999997</v>
      </c>
      <c r="P27" s="56"/>
      <c r="Q27" s="100"/>
    </row>
    <row r="28" spans="1:17" x14ac:dyDescent="0.2">
      <c r="A28" s="14"/>
      <c r="B28" s="129" t="s">
        <v>40</v>
      </c>
      <c r="C28" s="109">
        <f>[1]Summary!C30</f>
        <v>1110402329.2072151</v>
      </c>
      <c r="D28" s="110">
        <f>[1]Summary!D30</f>
        <v>2973938.5662316065</v>
      </c>
      <c r="E28" s="66"/>
      <c r="F28" s="16">
        <f>[1]Summary!F30</f>
        <v>4.8378364858919561E-2</v>
      </c>
      <c r="G28" s="15">
        <f>[1]Summary!G30</f>
        <v>4.5240030948886893E-2</v>
      </c>
      <c r="H28" s="3"/>
      <c r="I28" s="12">
        <f t="shared" si="2"/>
        <v>6318987.1203868259</v>
      </c>
      <c r="J28" s="7">
        <f t="shared" si="1"/>
        <v>4828142.3950553127</v>
      </c>
      <c r="K28" s="1"/>
      <c r="L28" s="1"/>
      <c r="M28" s="3"/>
      <c r="N28" s="55"/>
      <c r="O28" s="56"/>
      <c r="P28" s="56">
        <f>ROUND(I28/D28,4)</f>
        <v>2.1248</v>
      </c>
      <c r="Q28" s="100">
        <f>ROUND(J28/D28,4)</f>
        <v>1.6234999999999999</v>
      </c>
    </row>
    <row r="29" spans="1:17" x14ac:dyDescent="0.2">
      <c r="A29" s="14"/>
      <c r="B29" s="129" t="s">
        <v>41</v>
      </c>
      <c r="C29" s="109">
        <f>[1]Summary!C31</f>
        <v>638457338.64482975</v>
      </c>
      <c r="D29" s="110"/>
      <c r="E29" s="66"/>
      <c r="F29" s="16">
        <f>[1]Summary!F31</f>
        <v>2.984454122212412E-2</v>
      </c>
      <c r="G29" s="15">
        <f>[1]Summary!G31</f>
        <v>2.7827625207390808E-2</v>
      </c>
      <c r="H29" s="3"/>
      <c r="I29" s="12">
        <f t="shared" si="2"/>
        <v>3898173.7424655021</v>
      </c>
      <c r="J29" s="7">
        <f t="shared" si="1"/>
        <v>2969841.8458049083</v>
      </c>
      <c r="K29" s="1"/>
      <c r="L29" s="1"/>
      <c r="M29" s="3"/>
      <c r="N29" s="55">
        <f>ROUND(I29/C29*100,4)</f>
        <v>0.61060000000000003</v>
      </c>
      <c r="O29" s="56">
        <f>ROUND(J29/C29*100,4)</f>
        <v>0.4652</v>
      </c>
      <c r="P29" s="56"/>
      <c r="Q29" s="100"/>
    </row>
    <row r="30" spans="1:17" x14ac:dyDescent="0.2">
      <c r="A30" s="14"/>
      <c r="B30" s="129" t="s">
        <v>42</v>
      </c>
      <c r="C30" s="109">
        <f>[1]Summary!C32</f>
        <v>2163956873.586134</v>
      </c>
      <c r="D30" s="110"/>
      <c r="E30" s="66"/>
      <c r="F30" s="16">
        <f>[1]Summary!F32</f>
        <v>0.12968766869908557</v>
      </c>
      <c r="G30" s="15">
        <f>[1]Summary!G32</f>
        <v>0.13054123371222603</v>
      </c>
      <c r="H30" s="3"/>
      <c r="I30" s="12">
        <f t="shared" si="2"/>
        <v>16939280.824647889</v>
      </c>
      <c r="J30" s="7">
        <f t="shared" si="1"/>
        <v>13931724.881022209</v>
      </c>
      <c r="K30" s="1"/>
      <c r="L30" s="1"/>
      <c r="M30" s="3"/>
      <c r="N30" s="55">
        <f>ROUND(I30/C30*100,4)</f>
        <v>0.78280000000000005</v>
      </c>
      <c r="O30" s="56">
        <f>ROUND(J30/C30*100,4)</f>
        <v>0.64380000000000004</v>
      </c>
      <c r="P30" s="56"/>
      <c r="Q30" s="100"/>
    </row>
    <row r="31" spans="1:17" s="1" customFormat="1" x14ac:dyDescent="0.2">
      <c r="A31" s="14"/>
      <c r="B31" s="130" t="s">
        <v>0</v>
      </c>
      <c r="C31" s="109">
        <f>[1]Summary!C34</f>
        <v>26685411.047606945</v>
      </c>
      <c r="D31" s="110"/>
      <c r="E31" s="66"/>
      <c r="F31" s="16">
        <f>[1]Summary!F34</f>
        <v>9.7443928778027673E-4</v>
      </c>
      <c r="G31" s="15">
        <f>[1]Summary!G34</f>
        <v>9.4889758869658148E-4</v>
      </c>
      <c r="H31" s="3"/>
      <c r="I31" s="12">
        <f t="shared" si="2"/>
        <v>127277.33413559599</v>
      </c>
      <c r="J31" s="7">
        <f>G31*($J$18+$K$18)</f>
        <v>101268.99961071859</v>
      </c>
      <c r="M31" s="3"/>
      <c r="N31" s="55">
        <f>ROUND(I31/C31*100,4)</f>
        <v>0.47699999999999998</v>
      </c>
      <c r="O31" s="56">
        <f>ROUND(J31/C31*100,4)</f>
        <v>0.3795</v>
      </c>
      <c r="P31" s="56"/>
      <c r="Q31" s="100"/>
    </row>
    <row r="32" spans="1:17" s="1" customFormat="1" x14ac:dyDescent="0.2">
      <c r="A32" s="14"/>
      <c r="B32" s="130" t="s">
        <v>70</v>
      </c>
      <c r="C32" s="109">
        <f>[1]Summary!C33</f>
        <v>132533689.67405702</v>
      </c>
      <c r="D32" s="110"/>
      <c r="E32" s="66"/>
      <c r="F32" s="16">
        <f>[1]Summary!F33</f>
        <v>4.7670369307801427E-3</v>
      </c>
      <c r="G32" s="15">
        <f>[1]Summary!G33</f>
        <v>5.3273615061055777E-3</v>
      </c>
      <c r="H32" s="3"/>
      <c r="I32" s="12">
        <f>$I$18*F32</f>
        <v>622651.15937365731</v>
      </c>
      <c r="J32" s="7">
        <f>G32*($J$18+$K$18)</f>
        <v>568550.89180806396</v>
      </c>
      <c r="M32" s="3"/>
      <c r="N32" s="55">
        <f>ROUND(I32/C32*100,4)</f>
        <v>0.4698</v>
      </c>
      <c r="O32" s="56">
        <f>ROUND(J32/C32*100,4)</f>
        <v>0.42899999999999999</v>
      </c>
      <c r="P32" s="56"/>
      <c r="Q32" s="100"/>
    </row>
    <row r="33" spans="1:17" ht="13.5" thickBot="1" x14ac:dyDescent="0.25">
      <c r="A33" s="43"/>
      <c r="B33" s="131" t="s">
        <v>71</v>
      </c>
      <c r="C33" s="132">
        <f>[1]Summary!C35</f>
        <v>22261051.34639027</v>
      </c>
      <c r="D33" s="133"/>
      <c r="E33" s="134"/>
      <c r="F33" s="135">
        <f>[1]Summary!F35</f>
        <v>8.0791126173693673E-4</v>
      </c>
      <c r="G33" s="136">
        <f>[1]Summary!G35</f>
        <v>9.065520676290157E-4</v>
      </c>
      <c r="H33" s="4"/>
      <c r="I33" s="45">
        <f t="shared" ref="I33" si="3">$I$18*F33</f>
        <v>105526.11425001327</v>
      </c>
      <c r="J33" s="46">
        <f t="shared" ref="J33" si="4">G33*($J$18+$K$18)</f>
        <v>96749.767390519308</v>
      </c>
      <c r="K33" s="58"/>
      <c r="L33" s="58"/>
      <c r="M33" s="103"/>
      <c r="N33" s="57">
        <f>ROUND(I33/C33*100,4)</f>
        <v>0.47399999999999998</v>
      </c>
      <c r="O33" s="58">
        <f t="shared" ref="O33" si="5">ROUND(J33/C33*100,4)</f>
        <v>0.43459999999999999</v>
      </c>
      <c r="P33" s="11"/>
      <c r="Q33" s="4"/>
    </row>
    <row r="34" spans="1:17" x14ac:dyDescent="0.2">
      <c r="A34" s="5" t="s">
        <v>77</v>
      </c>
      <c r="B34" s="149"/>
      <c r="C34" s="5"/>
      <c r="D34" s="5"/>
      <c r="E34" s="5"/>
      <c r="N34" s="150"/>
      <c r="O34" s="150"/>
    </row>
    <row r="35" spans="1:17" x14ac:dyDescent="0.2">
      <c r="C35" s="106"/>
      <c r="D35" s="5"/>
      <c r="E35" s="5"/>
    </row>
    <row r="36" spans="1:17" x14ac:dyDescent="0.2">
      <c r="C36" s="59"/>
    </row>
    <row r="37" spans="1:17" x14ac:dyDescent="0.2">
      <c r="C37" s="59"/>
    </row>
    <row r="38" spans="1:17" x14ac:dyDescent="0.2">
      <c r="C38" s="59"/>
    </row>
    <row r="39" spans="1:17" x14ac:dyDescent="0.2">
      <c r="C39" s="59"/>
    </row>
    <row r="40" spans="1:17" x14ac:dyDescent="0.2">
      <c r="C40" s="59"/>
    </row>
    <row r="41" spans="1:17" x14ac:dyDescent="0.2">
      <c r="C41" s="59"/>
    </row>
    <row r="42" spans="1:17" x14ac:dyDescent="0.2">
      <c r="C42" s="59"/>
    </row>
    <row r="43" spans="1:17" x14ac:dyDescent="0.2">
      <c r="C43" s="59"/>
    </row>
    <row r="44" spans="1:17" x14ac:dyDescent="0.2">
      <c r="C44" s="59"/>
    </row>
    <row r="45" spans="1:17" x14ac:dyDescent="0.2">
      <c r="C45" s="59"/>
    </row>
  </sheetData>
  <phoneticPr fontId="6" type="noConversion"/>
  <dataValidations count="1">
    <dataValidation type="list" allowBlank="1" showInputMessage="1" showErrorMessage="1" sqref="I5">
      <formula1>$I$6:$I$9</formula1>
    </dataValidation>
  </dataValidations>
  <pageMargins left="0.75" right="0.75" top="1" bottom="1" header="0.5" footer="0.5"/>
  <pageSetup paperSize="17" scale="87" orientation="landscape" r:id="rId1"/>
  <headerFooter alignWithMargins="0">
    <oddHeader>&amp;A</oddHeader>
    <oddFooter>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33" sqref="C33"/>
    </sheetView>
  </sheetViews>
  <sheetFormatPr defaultRowHeight="12.75" x14ac:dyDescent="0.2"/>
  <cols>
    <col min="2" max="2" width="14.7109375" bestFit="1" customWidth="1"/>
    <col min="3" max="3" width="13.42578125" bestFit="1" customWidth="1"/>
    <col min="4" max="4" width="16" customWidth="1"/>
    <col min="5" max="5" width="14.7109375" bestFit="1" customWidth="1"/>
    <col min="6" max="6" width="7.5703125" customWidth="1"/>
    <col min="9" max="9" width="10.42578125" customWidth="1"/>
    <col min="10" max="10" width="10" bestFit="1" customWidth="1"/>
    <col min="11" max="11" width="11.7109375" customWidth="1"/>
  </cols>
  <sheetData>
    <row r="1" spans="1:6" x14ac:dyDescent="0.2">
      <c r="A1" s="140" t="s">
        <v>14</v>
      </c>
      <c r="B1" s="141"/>
      <c r="C1" s="141"/>
      <c r="D1" s="141"/>
      <c r="E1" s="141"/>
      <c r="F1" s="142"/>
    </row>
    <row r="2" spans="1:6" x14ac:dyDescent="0.2">
      <c r="A2" s="140" t="s">
        <v>61</v>
      </c>
      <c r="B2" s="141"/>
      <c r="C2" s="141"/>
      <c r="D2" s="141"/>
      <c r="E2" s="141"/>
      <c r="F2" s="142"/>
    </row>
    <row r="3" spans="1:6" x14ac:dyDescent="0.2">
      <c r="A3" s="142"/>
      <c r="B3" s="142"/>
      <c r="C3" s="142"/>
      <c r="D3" s="142"/>
      <c r="E3" s="142"/>
      <c r="F3" s="142"/>
    </row>
    <row r="4" spans="1:6" s="64" customFormat="1" x14ac:dyDescent="0.2">
      <c r="A4" s="173"/>
      <c r="B4" s="171" t="s">
        <v>9</v>
      </c>
      <c r="C4" s="171" t="s">
        <v>10</v>
      </c>
      <c r="D4" s="171" t="s">
        <v>11</v>
      </c>
      <c r="E4" s="171" t="s">
        <v>12</v>
      </c>
      <c r="F4" s="171" t="s">
        <v>13</v>
      </c>
    </row>
    <row r="5" spans="1:6" s="64" customFormat="1" ht="17.25" customHeight="1" x14ac:dyDescent="0.2">
      <c r="A5" s="174"/>
      <c r="B5" s="172"/>
      <c r="C5" s="172"/>
      <c r="D5" s="172"/>
      <c r="E5" s="172"/>
      <c r="F5" s="172"/>
    </row>
    <row r="6" spans="1:6" x14ac:dyDescent="0.2">
      <c r="A6" s="143" t="s">
        <v>21</v>
      </c>
      <c r="B6" s="144">
        <f>Summary!I14</f>
        <v>230991618.24104968</v>
      </c>
      <c r="C6" s="144">
        <f>Summary!J14</f>
        <v>48353442.395355821</v>
      </c>
      <c r="D6" s="144">
        <f>Summary!K14</f>
        <v>129110654.63130784</v>
      </c>
      <c r="E6" s="144">
        <f>Summary!L14</f>
        <v>408455715.26771331</v>
      </c>
      <c r="F6" s="143"/>
    </row>
    <row r="7" spans="1:6" x14ac:dyDescent="0.2">
      <c r="A7" s="143"/>
      <c r="B7" s="145"/>
      <c r="C7" s="145"/>
      <c r="D7" s="145"/>
      <c r="E7" s="145"/>
      <c r="F7" s="143"/>
    </row>
    <row r="8" spans="1:6" x14ac:dyDescent="0.2">
      <c r="A8" s="143" t="s">
        <v>25</v>
      </c>
      <c r="B8" s="144">
        <f>Summary!I16</f>
        <v>100375646.84941244</v>
      </c>
      <c r="C8" s="144">
        <f>Summary!J16</f>
        <v>17963029.017927352</v>
      </c>
      <c r="D8" s="144">
        <f>Summary!K16</f>
        <v>52778276.406090297</v>
      </c>
      <c r="E8" s="144">
        <f>Summary!L16</f>
        <v>171116952.27343008</v>
      </c>
      <c r="F8" s="146">
        <f>Summary!M16</f>
        <v>0.41893636415706714</v>
      </c>
    </row>
    <row r="9" spans="1:6" x14ac:dyDescent="0.2">
      <c r="A9" s="143"/>
      <c r="B9" s="145"/>
      <c r="C9" s="145"/>
      <c r="D9" s="145"/>
      <c r="E9" s="145"/>
      <c r="F9" s="147"/>
    </row>
    <row r="10" spans="1:6" x14ac:dyDescent="0.2">
      <c r="A10" s="143" t="s">
        <v>8</v>
      </c>
      <c r="B10" s="144">
        <f>Summary!I18</f>
        <v>130615971.39163724</v>
      </c>
      <c r="C10" s="144">
        <f>Summary!J18</f>
        <v>30390413.377428468</v>
      </c>
      <c r="D10" s="144">
        <f>Summary!K18</f>
        <v>76332378.225217551</v>
      </c>
      <c r="E10" s="144">
        <f>Summary!L18</f>
        <v>237338762.99428326</v>
      </c>
      <c r="F10" s="146">
        <f>Summary!M18</f>
        <v>0.58106363584293286</v>
      </c>
    </row>
    <row r="11" spans="1:6" x14ac:dyDescent="0.2">
      <c r="A11" s="143" t="s">
        <v>42</v>
      </c>
      <c r="B11" s="144">
        <f>Summary!I30</f>
        <v>16939280.824647889</v>
      </c>
      <c r="C11" s="144">
        <f>Summary!$G$30*Summary!J18</f>
        <v>3967202.0553140501</v>
      </c>
      <c r="D11" s="144">
        <f>Summary!$G$30*Summary!K18</f>
        <v>9964522.8257081583</v>
      </c>
      <c r="E11" s="145">
        <f>SUM(B11:D11)</f>
        <v>30871005.705670096</v>
      </c>
      <c r="F11" s="148"/>
    </row>
    <row r="12" spans="1:6" x14ac:dyDescent="0.2">
      <c r="A12" s="143" t="s">
        <v>37</v>
      </c>
      <c r="B12" s="144">
        <f>Summary!I25</f>
        <v>38186988.8079018</v>
      </c>
      <c r="C12" s="144">
        <f>Summary!$G25*Summary!J18</f>
        <v>9100459.6963985916</v>
      </c>
      <c r="D12" s="144">
        <f>Summary!$G25*Summary!K18</f>
        <v>22857857.276952431</v>
      </c>
      <c r="E12" s="145">
        <f t="shared" ref="E12:E21" si="0">SUM(B12:D12)</f>
        <v>70145305.781252831</v>
      </c>
      <c r="F12" s="143"/>
    </row>
    <row r="13" spans="1:6" x14ac:dyDescent="0.2">
      <c r="A13" s="143" t="s">
        <v>38</v>
      </c>
      <c r="B13" s="144">
        <f>Summary!I26</f>
        <v>33809580.547051169</v>
      </c>
      <c r="C13" s="144">
        <f>Summary!$G26*Summary!J18</f>
        <v>8041507.9812442353</v>
      </c>
      <c r="D13" s="144">
        <f>Summary!$G26*Summary!K18</f>
        <v>20198061.181403402</v>
      </c>
      <c r="E13" s="145">
        <f t="shared" si="0"/>
        <v>62049149.709698811</v>
      </c>
      <c r="F13" s="143"/>
    </row>
    <row r="14" spans="1:6" x14ac:dyDescent="0.2">
      <c r="A14" s="143" t="s">
        <v>39</v>
      </c>
      <c r="B14" s="144">
        <f>Summary!I27</f>
        <v>3945797.5131651834</v>
      </c>
      <c r="C14" s="144">
        <f>Summary!$G27*Summary!J18</f>
        <v>957693.37458573433</v>
      </c>
      <c r="D14" s="144">
        <f>Summary!$G27*Summary!K18</f>
        <v>2405462.9328259882</v>
      </c>
      <c r="E14" s="145">
        <f t="shared" si="0"/>
        <v>7308953.8205769062</v>
      </c>
      <c r="F14" s="143"/>
    </row>
    <row r="15" spans="1:6" x14ac:dyDescent="0.2">
      <c r="A15" s="143" t="s">
        <v>41</v>
      </c>
      <c r="B15" s="144">
        <f>Summary!I29</f>
        <v>3898173.7424655021</v>
      </c>
      <c r="C15" s="144">
        <f>Summary!$G29*Summary!J18</f>
        <v>845693.03336475522</v>
      </c>
      <c r="D15" s="144">
        <f>Summary!$G29*Summary!K18</f>
        <v>2124148.8124401532</v>
      </c>
      <c r="E15" s="145">
        <f t="shared" si="0"/>
        <v>6868015.5882704109</v>
      </c>
      <c r="F15" s="143"/>
    </row>
    <row r="16" spans="1:6" x14ac:dyDescent="0.2">
      <c r="A16" s="143" t="s">
        <v>40</v>
      </c>
      <c r="B16" s="144">
        <f>Summary!I28</f>
        <v>6318987.1203868259</v>
      </c>
      <c r="C16" s="144">
        <f>Summary!$G28*Summary!J18</f>
        <v>1374863.2417443302</v>
      </c>
      <c r="D16" s="144">
        <f>Summary!$G28*Summary!K18</f>
        <v>3453279.153310982</v>
      </c>
      <c r="E16" s="145">
        <f t="shared" si="0"/>
        <v>11147129.515442139</v>
      </c>
      <c r="F16" s="143"/>
    </row>
    <row r="17" spans="1:6" x14ac:dyDescent="0.2">
      <c r="A17" s="143" t="s">
        <v>36</v>
      </c>
      <c r="B17" s="144">
        <f>Summary!I24</f>
        <v>13127463.097446248</v>
      </c>
      <c r="C17" s="144">
        <f>Summary!$G24*Summary!J18</f>
        <v>2937609.2015352175</v>
      </c>
      <c r="D17" s="144">
        <f>Summary!$G24*Summary!K18</f>
        <v>7378468.1328490544</v>
      </c>
      <c r="E17" s="145">
        <f t="shared" si="0"/>
        <v>23443540.431830518</v>
      </c>
      <c r="F17" s="143"/>
    </row>
    <row r="18" spans="1:6" x14ac:dyDescent="0.2">
      <c r="A18" s="143" t="s">
        <v>35</v>
      </c>
      <c r="B18" s="144">
        <f>Summary!I23</f>
        <v>13417664.776011612</v>
      </c>
      <c r="C18" s="144">
        <f>Summary!$G23*Summary!J18</f>
        <v>2918296.1506628534</v>
      </c>
      <c r="D18" s="144">
        <f>Summary!$G23*Summary!K18</f>
        <v>7329959.0492257597</v>
      </c>
      <c r="E18" s="145">
        <f t="shared" si="0"/>
        <v>23665919.975900225</v>
      </c>
      <c r="F18" s="143"/>
    </row>
    <row r="19" spans="1:6" x14ac:dyDescent="0.2">
      <c r="A19" s="143" t="s">
        <v>55</v>
      </c>
      <c r="B19" s="144">
        <f>Summary!I22</f>
        <v>116580.35480171075</v>
      </c>
      <c r="C19" s="144">
        <f>Summary!$G$22*Summary!J18</f>
        <v>28800.042140412239</v>
      </c>
      <c r="D19" s="144">
        <f>Summary!$G$22*Summary!K18</f>
        <v>72337.802130619457</v>
      </c>
      <c r="E19" s="145">
        <f>SUM(B19:D19)</f>
        <v>217718.19907274243</v>
      </c>
      <c r="F19" s="143"/>
    </row>
    <row r="20" spans="1:6" x14ac:dyDescent="0.2">
      <c r="A20" s="143" t="s">
        <v>0</v>
      </c>
      <c r="B20" s="144">
        <f>Summary!I31</f>
        <v>127277.33413559599</v>
      </c>
      <c r="C20" s="144">
        <f>Summary!$G31*Summary!J18</f>
        <v>28837.389973334208</v>
      </c>
      <c r="D20" s="144">
        <f>Summary!$G31*Summary!K18</f>
        <v>72431.609637384376</v>
      </c>
      <c r="E20" s="145">
        <f>SUM(B20:D20)</f>
        <v>228546.33374631457</v>
      </c>
      <c r="F20" s="143"/>
    </row>
    <row r="21" spans="1:6" x14ac:dyDescent="0.2">
      <c r="A21" s="143" t="s">
        <v>67</v>
      </c>
      <c r="B21" s="144">
        <f>Summary!I32</f>
        <v>622651.15937365731</v>
      </c>
      <c r="C21" s="144">
        <f>Summary!$G32*Summary!J18</f>
        <v>161900.71838154842</v>
      </c>
      <c r="D21" s="144">
        <f>Summary!$G32*Summary!K18</f>
        <v>406650.1734265156</v>
      </c>
      <c r="E21" s="145">
        <f t="shared" si="0"/>
        <v>1191202.0511817213</v>
      </c>
      <c r="F21" s="143"/>
    </row>
    <row r="22" spans="1:6" x14ac:dyDescent="0.2">
      <c r="A22" s="143" t="s">
        <v>45</v>
      </c>
      <c r="B22" s="144">
        <f>Summary!I33</f>
        <v>105526.11425001327</v>
      </c>
      <c r="C22" s="144">
        <f>Summary!$G33*Summary!J18</f>
        <v>27550.492083408277</v>
      </c>
      <c r="D22" s="144">
        <f>Summary!$G33*Summary!K18</f>
        <v>69199.27530711102</v>
      </c>
      <c r="E22" s="145">
        <f t="shared" ref="E22" si="1">SUM(B22:D22)</f>
        <v>202275.88164053258</v>
      </c>
      <c r="F22" s="143"/>
    </row>
  </sheetData>
  <mergeCells count="6">
    <mergeCell ref="F4:F5"/>
    <mergeCell ref="A4:A5"/>
    <mergeCell ref="B4:B5"/>
    <mergeCell ref="C4:C5"/>
    <mergeCell ref="D4:D5"/>
    <mergeCell ref="E4:E5"/>
  </mergeCells>
  <phoneticPr fontId="6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6" sqref="D6"/>
    </sheetView>
  </sheetViews>
  <sheetFormatPr defaultRowHeight="12.75" x14ac:dyDescent="0.2"/>
  <cols>
    <col min="1" max="1" width="30.85546875" customWidth="1"/>
    <col min="2" max="2" width="12.5703125" customWidth="1"/>
    <col min="3" max="3" width="16.5703125" customWidth="1"/>
    <col min="4" max="4" width="10.42578125" customWidth="1"/>
    <col min="5" max="5" width="16.140625" customWidth="1"/>
  </cols>
  <sheetData>
    <row r="1" spans="1:6" x14ac:dyDescent="0.2">
      <c r="A1" s="29" t="s">
        <v>15</v>
      </c>
      <c r="B1" s="28"/>
      <c r="C1" s="28"/>
      <c r="D1" s="28"/>
      <c r="E1" s="28"/>
    </row>
    <row r="2" spans="1:6" x14ac:dyDescent="0.2">
      <c r="A2" s="29" t="s">
        <v>63</v>
      </c>
      <c r="B2" s="28"/>
      <c r="C2" s="28"/>
      <c r="D2" s="28"/>
      <c r="E2" s="28"/>
    </row>
    <row r="4" spans="1:6" ht="13.15" customHeight="1" x14ac:dyDescent="0.2">
      <c r="A4" s="179" t="s">
        <v>16</v>
      </c>
      <c r="B4" s="38" t="s">
        <v>62</v>
      </c>
      <c r="C4" s="39"/>
      <c r="D4" s="38" t="s">
        <v>64</v>
      </c>
      <c r="E4" s="39"/>
    </row>
    <row r="5" spans="1:6" ht="13.15" customHeight="1" x14ac:dyDescent="0.2">
      <c r="A5" s="180"/>
      <c r="B5" s="40" t="s">
        <v>22</v>
      </c>
      <c r="C5" s="40" t="s">
        <v>54</v>
      </c>
      <c r="D5" s="40" t="s">
        <v>22</v>
      </c>
      <c r="E5" s="40" t="s">
        <v>54</v>
      </c>
    </row>
    <row r="6" spans="1:6" x14ac:dyDescent="0.2">
      <c r="A6" s="37" t="s">
        <v>46</v>
      </c>
      <c r="B6" s="104">
        <v>6.6949999999999996E-3</v>
      </c>
      <c r="C6" s="104">
        <v>4.7489999999999997E-3</v>
      </c>
      <c r="D6" s="61">
        <f>Summary!N30/100</f>
        <v>7.8279999999999999E-3</v>
      </c>
      <c r="E6" s="61">
        <f>Summary!O30/100</f>
        <v>6.4380000000000001E-3</v>
      </c>
      <c r="F6" s="52"/>
    </row>
    <row r="7" spans="1:6" x14ac:dyDescent="0.2">
      <c r="A7" s="37" t="s">
        <v>47</v>
      </c>
      <c r="B7" s="104">
        <v>6.4440000000000001E-3</v>
      </c>
      <c r="C7" s="104">
        <v>4.7239999999999999E-3</v>
      </c>
      <c r="D7" s="61">
        <f>Summary!N25/100</f>
        <v>7.2069999999999999E-3</v>
      </c>
      <c r="E7" s="61">
        <f>Summary!O25/100</f>
        <v>6.0319999999999992E-3</v>
      </c>
      <c r="F7" s="52"/>
    </row>
    <row r="8" spans="1:6" x14ac:dyDescent="0.2">
      <c r="A8" s="37" t="s">
        <v>48</v>
      </c>
      <c r="B8" s="104">
        <v>6.1980000000000004E-3</v>
      </c>
      <c r="C8" s="104">
        <v>4.3940000000000003E-3</v>
      </c>
      <c r="D8" s="61">
        <f>Summary!N26/100</f>
        <v>6.7400000000000003E-3</v>
      </c>
      <c r="E8" s="61">
        <f>Summary!O26/100</f>
        <v>5.6299999999999996E-3</v>
      </c>
      <c r="F8" s="52"/>
    </row>
    <row r="9" spans="1:6" x14ac:dyDescent="0.2">
      <c r="A9" s="37" t="s">
        <v>49</v>
      </c>
      <c r="B9" s="104">
        <v>5.1190000000000003E-3</v>
      </c>
      <c r="C9" s="104">
        <v>4.1960000000000001E-3</v>
      </c>
      <c r="D9" s="61">
        <f>Summary!N27/100</f>
        <v>5.6559999999999996E-3</v>
      </c>
      <c r="E9" s="61">
        <f>Summary!O27/100</f>
        <v>4.8209999999999998E-3</v>
      </c>
      <c r="F9" s="52"/>
    </row>
    <row r="10" spans="1:6" x14ac:dyDescent="0.2">
      <c r="A10" s="37" t="s">
        <v>50</v>
      </c>
      <c r="B10" s="104">
        <v>6.3649999999999991E-3</v>
      </c>
      <c r="C10" s="104">
        <v>3.9810000000000002E-3</v>
      </c>
      <c r="D10" s="61">
        <f>Summary!N29/100</f>
        <v>6.1060000000000003E-3</v>
      </c>
      <c r="E10" s="61">
        <f>Summary!O29/100</f>
        <v>4.6519999999999999E-3</v>
      </c>
      <c r="F10" s="52"/>
    </row>
    <row r="11" spans="1:6" x14ac:dyDescent="0.2">
      <c r="A11" s="37" t="s">
        <v>53</v>
      </c>
      <c r="B11" s="104">
        <v>2.0123000000000002</v>
      </c>
      <c r="C11" s="104">
        <v>1.3239000000000001</v>
      </c>
      <c r="D11" s="61">
        <f>Summary!P28</f>
        <v>2.1248</v>
      </c>
      <c r="E11" s="61">
        <f>Summary!Q28</f>
        <v>1.6234999999999999</v>
      </c>
      <c r="F11" s="52"/>
    </row>
    <row r="12" spans="1:6" x14ac:dyDescent="0.2">
      <c r="A12" s="37" t="s">
        <v>51</v>
      </c>
      <c r="B12" s="104">
        <v>5.8530000000000006E-3</v>
      </c>
      <c r="C12" s="104">
        <v>3.7830000000000003E-3</v>
      </c>
      <c r="D12" s="61">
        <f>Summary!N24/100</f>
        <v>5.6930000000000001E-3</v>
      </c>
      <c r="E12" s="61">
        <f>Summary!O24/100</f>
        <v>4.4740000000000005E-3</v>
      </c>
      <c r="F12" s="52"/>
    </row>
    <row r="13" spans="1:6" x14ac:dyDescent="0.2">
      <c r="A13" s="37" t="s">
        <v>57</v>
      </c>
      <c r="B13" s="104">
        <v>1.6048</v>
      </c>
      <c r="C13" s="104">
        <v>1.0743</v>
      </c>
      <c r="D13" s="61">
        <f>Summary!P23</f>
        <v>1.5757000000000001</v>
      </c>
      <c r="E13" s="61">
        <f>Summary!Q23</f>
        <v>1.2035</v>
      </c>
      <c r="F13" s="52"/>
    </row>
    <row r="14" spans="1:6" x14ac:dyDescent="0.2">
      <c r="A14" s="37" t="s">
        <v>17</v>
      </c>
      <c r="B14" s="104">
        <v>0.52300000000000002</v>
      </c>
      <c r="C14" s="104">
        <v>0.33489999999999998</v>
      </c>
      <c r="D14" s="61">
        <f>Summary!P22</f>
        <v>0.5948</v>
      </c>
      <c r="E14" s="61">
        <f>Summary!Q22</f>
        <v>0.51600000000000001</v>
      </c>
      <c r="F14" s="52"/>
    </row>
    <row r="15" spans="1:6" x14ac:dyDescent="0.2">
      <c r="A15" s="41" t="s">
        <v>52</v>
      </c>
      <c r="B15" s="105">
        <v>4.6589999999999999E-3</v>
      </c>
      <c r="C15" s="104">
        <v>3.0969999999999999E-3</v>
      </c>
      <c r="D15" s="62">
        <f>Summary!N31/100</f>
        <v>4.7699999999999999E-3</v>
      </c>
      <c r="E15" s="61">
        <f>Summary!O31/100</f>
        <v>3.7950000000000002E-3</v>
      </c>
      <c r="F15" s="52"/>
    </row>
    <row r="16" spans="1:6" x14ac:dyDescent="0.2">
      <c r="A16" s="41" t="s">
        <v>66</v>
      </c>
      <c r="B16" s="105">
        <v>4.5019999999999999E-3</v>
      </c>
      <c r="C16" s="104">
        <v>2.7360000000000002E-3</v>
      </c>
      <c r="D16" s="62">
        <f>Summary!N32/100</f>
        <v>4.6979999999999999E-3</v>
      </c>
      <c r="E16" s="61">
        <f>Summary!O32/100</f>
        <v>4.2899999999999995E-3</v>
      </c>
      <c r="F16" s="52"/>
    </row>
    <row r="17" spans="1:6" x14ac:dyDescent="0.2">
      <c r="A17" s="41" t="s">
        <v>65</v>
      </c>
      <c r="B17" s="105">
        <v>4.5019999999999999E-3</v>
      </c>
      <c r="C17" s="137">
        <v>2.7360000000000002E-3</v>
      </c>
      <c r="D17" s="62">
        <f>Summary!N33/100</f>
        <v>4.7399999999999994E-3</v>
      </c>
      <c r="E17" s="61">
        <f>Summary!O33/100</f>
        <v>4.346E-3</v>
      </c>
      <c r="F17" s="52"/>
    </row>
    <row r="18" spans="1:6" x14ac:dyDescent="0.2">
      <c r="A18" s="177" t="s">
        <v>18</v>
      </c>
      <c r="B18" s="175">
        <v>3.1941999999999999</v>
      </c>
      <c r="C18" s="42" t="s">
        <v>75</v>
      </c>
      <c r="D18" s="138">
        <f>Summary!N16</f>
        <v>3.3719999999999999</v>
      </c>
      <c r="E18" s="63" t="str">
        <f>ROUND(Summary!O16,4)&amp;" Line"</f>
        <v>0.7322 Line</v>
      </c>
      <c r="F18" s="52"/>
    </row>
    <row r="19" spans="1:6" x14ac:dyDescent="0.2">
      <c r="A19" s="178"/>
      <c r="B19" s="176"/>
      <c r="C19" s="42" t="s">
        <v>76</v>
      </c>
      <c r="D19" s="139"/>
      <c r="E19" s="60" t="str">
        <f>FIXED(ROUND(Summary!P16,4),4)&amp;" Transf."</f>
        <v>1.7844 Transf.</v>
      </c>
    </row>
    <row r="20" spans="1:6" x14ac:dyDescent="0.2">
      <c r="A20" s="30" t="s">
        <v>19</v>
      </c>
    </row>
    <row r="21" spans="1:6" x14ac:dyDescent="0.2">
      <c r="A21" s="30" t="s">
        <v>20</v>
      </c>
    </row>
  </sheetData>
  <mergeCells count="3">
    <mergeCell ref="B18:B19"/>
    <mergeCell ref="A18:A19"/>
    <mergeCell ref="A4:A5"/>
  </mergeCells>
  <phoneticPr fontId="6" type="noConversion"/>
  <pageMargins left="0.75" right="0.75" top="1" bottom="1" header="0.5" footer="0.5"/>
  <pageSetup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0789A69331B447AA2C2A71A86A707D" ma:contentTypeVersion="0" ma:contentTypeDescription="Create a new document." ma:contentTypeScope="" ma:versionID="5399c839dd5a5c59d7d22ddc485bff23">
  <xsd:schema xmlns:xsd="http://www.w3.org/2001/XMLSchema" xmlns:xs="http://www.w3.org/2001/XMLSchema" xmlns:p="http://schemas.microsoft.com/office/2006/metadata/properties" xmlns:ns2="f0af1d65-dfd0-4b99-b523-def3a954563f" targetNamespace="http://schemas.microsoft.com/office/2006/metadata/properties" ma:root="true" ma:fieldsID="44cfc60566d61e9babd1b11f9b704ff8" ns2:_="">
    <xsd:import namespace="f0af1d65-dfd0-4b99-b523-def3a954563f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hidden="true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0A7B93-7C5A-42FB-BD1B-90E0AE6BADC2}"/>
</file>

<file path=customXml/itemProps2.xml><?xml version="1.0" encoding="utf-8"?>
<ds:datastoreItem xmlns:ds="http://schemas.openxmlformats.org/officeDocument/2006/customXml" ds:itemID="{AA0934DA-21B3-4D4E-BD4D-609DD6CC7752}"/>
</file>

<file path=customXml/itemProps3.xml><?xml version="1.0" encoding="utf-8"?>
<ds:datastoreItem xmlns:ds="http://schemas.openxmlformats.org/officeDocument/2006/customXml" ds:itemID="{C60F2B0B-53C0-404D-9848-C2D5BB09D6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H1-01-01 Table1</vt:lpstr>
      <vt:lpstr>H1-01-01 Table2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KIM Susan</dc:creator>
  <cp:lastModifiedBy>GAUVREAU Diane</cp:lastModifiedBy>
  <cp:lastPrinted>2017-02-16T00:22:34Z</cp:lastPrinted>
  <dcterms:created xsi:type="dcterms:W3CDTF">2009-06-17T18:19:45Z</dcterms:created>
  <dcterms:modified xsi:type="dcterms:W3CDTF">2017-05-02T21:12:57Z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0x010100050789A69331B447AA2C2A71A86A707D</vt:lpwstr>
  </property>
</Properties>
</file>