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910" yWindow="150" windowWidth="14595" windowHeight="11265" tabRatio="939" activeTab="2"/>
  </bookViews>
  <sheets>
    <sheet name="Summary" sheetId="3" r:id="rId1"/>
    <sheet name="H1-01-01 Table1" sheetId="7" r:id="rId2"/>
    <sheet name="H1-01-01 Table2" sheetId="8" r:id="rId3"/>
  </sheets>
  <externalReferences>
    <externalReference r:id="rId4"/>
    <externalReference r:id="rId5"/>
    <externalReference r:id="rId6"/>
  </externalReferences>
  <definedNames>
    <definedName name="A">#REF!</definedName>
    <definedName name="B">#REF!</definedName>
    <definedName name="JUNE">#REF!</definedName>
    <definedName name="st_cdet">#REF!</definedName>
    <definedName name="TotST">#REF!</definedName>
    <definedName name="TotTXPk">#REF!</definedName>
  </definedNames>
  <calcPr calcId="145621"/>
</workbook>
</file>

<file path=xl/calcChain.xml><?xml version="1.0" encoding="utf-8"?>
<calcChain xmlns="http://schemas.openxmlformats.org/spreadsheetml/2006/main">
  <c r="B22" i="8" l="1"/>
  <c r="C22" i="8"/>
  <c r="B23" i="8"/>
  <c r="C23" i="8"/>
  <c r="C21" i="8"/>
  <c r="B21" i="8"/>
  <c r="B19" i="8"/>
  <c r="C19" i="8"/>
  <c r="B20" i="8"/>
  <c r="C20" i="8"/>
  <c r="C18" i="8"/>
  <c r="B18" i="8"/>
  <c r="C17" i="8"/>
  <c r="B17" i="8"/>
  <c r="F23" i="3" l="1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G22" i="3"/>
  <c r="F22" i="3"/>
  <c r="G16" i="3"/>
  <c r="H16" i="3"/>
  <c r="F16" i="3"/>
  <c r="G14" i="3"/>
  <c r="H14" i="3"/>
  <c r="F14" i="3"/>
  <c r="D22" i="3"/>
  <c r="D23" i="3"/>
  <c r="D28" i="3"/>
  <c r="D36" i="3"/>
  <c r="D39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22" i="3"/>
  <c r="D16" i="3"/>
  <c r="E16" i="3"/>
  <c r="C16" i="3"/>
  <c r="C25" i="8" l="1"/>
  <c r="C24" i="8"/>
  <c r="B24" i="8"/>
  <c r="C16" i="8" l="1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J14" i="3" l="1"/>
  <c r="K14" i="3" l="1"/>
  <c r="I14" i="3" l="1"/>
  <c r="D6" i="7"/>
  <c r="C6" i="7"/>
  <c r="I16" i="3" l="1"/>
  <c r="N16" i="3" s="1"/>
  <c r="K16" i="3"/>
  <c r="J16" i="3"/>
  <c r="B6" i="7"/>
  <c r="L14" i="3"/>
  <c r="P16" i="3" l="1"/>
  <c r="E25" i="8" s="1"/>
  <c r="E6" i="7"/>
  <c r="C8" i="7"/>
  <c r="O16" i="3"/>
  <c r="E24" i="8" s="1"/>
  <c r="I18" i="3"/>
  <c r="K18" i="3"/>
  <c r="D8" i="7"/>
  <c r="L16" i="3"/>
  <c r="J18" i="3"/>
  <c r="B8" i="7"/>
  <c r="C22" i="7" l="1"/>
  <c r="C21" i="7"/>
  <c r="C24" i="7"/>
  <c r="C25" i="7"/>
  <c r="C26" i="7"/>
  <c r="C28" i="7"/>
  <c r="C23" i="7"/>
  <c r="C27" i="7"/>
  <c r="D23" i="7"/>
  <c r="D24" i="7"/>
  <c r="D25" i="7"/>
  <c r="D26" i="7"/>
  <c r="D27" i="7"/>
  <c r="D28" i="7"/>
  <c r="D22" i="7"/>
  <c r="D21" i="7"/>
  <c r="I39" i="3"/>
  <c r="I38" i="3"/>
  <c r="I37" i="3"/>
  <c r="I34" i="3"/>
  <c r="I36" i="3"/>
  <c r="I35" i="3"/>
  <c r="I33" i="3"/>
  <c r="J22" i="3"/>
  <c r="J36" i="3"/>
  <c r="Q36" i="3" s="1"/>
  <c r="J37" i="3"/>
  <c r="O37" i="3" s="1"/>
  <c r="J38" i="3"/>
  <c r="O38" i="3" s="1"/>
  <c r="J39" i="3"/>
  <c r="Q39" i="3" s="1"/>
  <c r="J33" i="3"/>
  <c r="O33" i="3" s="1"/>
  <c r="J34" i="3"/>
  <c r="O34" i="3" s="1"/>
  <c r="J35" i="3"/>
  <c r="O35" i="3" s="1"/>
  <c r="I24" i="3"/>
  <c r="B17" i="7" s="1"/>
  <c r="C10" i="7"/>
  <c r="D10" i="7"/>
  <c r="M16" i="3"/>
  <c r="I23" i="3"/>
  <c r="I29" i="3"/>
  <c r="I32" i="3"/>
  <c r="I28" i="3"/>
  <c r="B16" i="7" s="1"/>
  <c r="I22" i="3"/>
  <c r="P22" i="3" s="1"/>
  <c r="B10" i="7"/>
  <c r="I27" i="3"/>
  <c r="I25" i="3"/>
  <c r="I31" i="3"/>
  <c r="B21" i="7" s="1"/>
  <c r="I26" i="3"/>
  <c r="I30" i="3"/>
  <c r="D20" i="7"/>
  <c r="C20" i="7"/>
  <c r="D19" i="7"/>
  <c r="D17" i="7"/>
  <c r="J24" i="3"/>
  <c r="O24" i="3" s="1"/>
  <c r="J32" i="3"/>
  <c r="O32" i="3" s="1"/>
  <c r="E17" i="8" s="1"/>
  <c r="L18" i="3"/>
  <c r="C17" i="7"/>
  <c r="C19" i="7"/>
  <c r="E8" i="7"/>
  <c r="D24" i="8"/>
  <c r="D13" i="7"/>
  <c r="J26" i="3"/>
  <c r="O26" i="3" s="1"/>
  <c r="C13" i="7"/>
  <c r="J30" i="3"/>
  <c r="O30" i="3" s="1"/>
  <c r="C11" i="7"/>
  <c r="D11" i="7"/>
  <c r="C18" i="7"/>
  <c r="J23" i="3"/>
  <c r="D18" i="7"/>
  <c r="J31" i="3"/>
  <c r="O31" i="3" s="1"/>
  <c r="J28" i="3"/>
  <c r="D16" i="7"/>
  <c r="C16" i="7"/>
  <c r="J25" i="3"/>
  <c r="O25" i="3" s="1"/>
  <c r="D12" i="7"/>
  <c r="C12" i="7"/>
  <c r="C14" i="7"/>
  <c r="D14" i="7"/>
  <c r="J27" i="3"/>
  <c r="O27" i="3" s="1"/>
  <c r="D15" i="7"/>
  <c r="J29" i="3"/>
  <c r="O29" i="3" s="1"/>
  <c r="C15" i="7"/>
  <c r="E10" i="8" l="1"/>
  <c r="E19" i="8"/>
  <c r="E9" i="8"/>
  <c r="E18" i="8"/>
  <c r="E21" i="8"/>
  <c r="E23" i="8"/>
  <c r="E6" i="8"/>
  <c r="E22" i="8"/>
  <c r="E7" i="8"/>
  <c r="E8" i="8"/>
  <c r="E12" i="8"/>
  <c r="E15" i="8"/>
  <c r="E20" i="8"/>
  <c r="E21" i="7"/>
  <c r="N34" i="3"/>
  <c r="B23" i="7"/>
  <c r="E23" i="7" s="1"/>
  <c r="N33" i="3"/>
  <c r="B22" i="7"/>
  <c r="E22" i="7" s="1"/>
  <c r="N37" i="3"/>
  <c r="B26" i="7"/>
  <c r="E26" i="7" s="1"/>
  <c r="N35" i="3"/>
  <c r="B24" i="7"/>
  <c r="E24" i="7" s="1"/>
  <c r="N38" i="3"/>
  <c r="B27" i="7"/>
  <c r="E27" i="7" s="1"/>
  <c r="P36" i="3"/>
  <c r="B25" i="7"/>
  <c r="E25" i="7" s="1"/>
  <c r="P39" i="3"/>
  <c r="B28" i="7"/>
  <c r="E28" i="7" s="1"/>
  <c r="N32" i="3"/>
  <c r="D17" i="8" s="1"/>
  <c r="N29" i="3"/>
  <c r="N24" i="3"/>
  <c r="B15" i="7"/>
  <c r="E15" i="7" s="1"/>
  <c r="F8" i="7"/>
  <c r="B18" i="7"/>
  <c r="E18" i="7" s="1"/>
  <c r="M18" i="3"/>
  <c r="P23" i="3"/>
  <c r="N30" i="3"/>
  <c r="N27" i="3"/>
  <c r="N26" i="3"/>
  <c r="B20" i="7"/>
  <c r="E20" i="7" s="1"/>
  <c r="N31" i="3"/>
  <c r="D14" i="8"/>
  <c r="N25" i="3"/>
  <c r="P28" i="3"/>
  <c r="B12" i="7"/>
  <c r="E12" i="7" s="1"/>
  <c r="B11" i="7"/>
  <c r="E11" i="7" s="1"/>
  <c r="B19" i="7"/>
  <c r="E19" i="7" s="1"/>
  <c r="B14" i="7"/>
  <c r="E14" i="7" s="1"/>
  <c r="B13" i="7"/>
  <c r="E13" i="7" s="1"/>
  <c r="E16" i="8"/>
  <c r="Q23" i="3"/>
  <c r="Q28" i="3"/>
  <c r="Q22" i="3"/>
  <c r="E17" i="7"/>
  <c r="E10" i="7"/>
  <c r="E16" i="7"/>
  <c r="E14" i="8" l="1"/>
  <c r="E11" i="8"/>
  <c r="D19" i="8"/>
  <c r="D13" i="8"/>
  <c r="D12" i="8"/>
  <c r="D7" i="8"/>
  <c r="D9" i="8"/>
  <c r="D20" i="8"/>
  <c r="D15" i="8"/>
  <c r="E13" i="8"/>
  <c r="D8" i="8"/>
  <c r="D6" i="8"/>
  <c r="D10" i="8"/>
  <c r="D23" i="8"/>
  <c r="D22" i="8"/>
  <c r="D21" i="8"/>
  <c r="D18" i="8"/>
  <c r="D11" i="8"/>
  <c r="F10" i="7"/>
  <c r="D16" i="8"/>
</calcChain>
</file>

<file path=xl/sharedStrings.xml><?xml version="1.0" encoding="utf-8"?>
<sst xmlns="http://schemas.openxmlformats.org/spreadsheetml/2006/main" count="134" uniqueCount="93">
  <si>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</si>
  <si>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</si>
  <si>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</si>
  <si>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</si>
  <si>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</si>
  <si>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</si>
  <si>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</si>
  <si>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</si>
  <si>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</si>
  <si>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</si>
  <si>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</si>
  <si>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</si>
  <si>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</si>
  <si>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</si>
  <si>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</si>
  <si>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</si>
  <si>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</si>
  <si>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</si>
  <si>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</si>
  <si>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* For customer classes that do not have separate proposed Line and Transformation charges, the Line Connection charges shown include</t>
  </si>
  <si>
    <t xml:space="preserve"> Transformation charges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</si>
  <si>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</si>
  <si>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</si>
  <si>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</si>
  <si>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</si>
  <si>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</si>
  <si>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</si>
  <si>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</si>
  <si>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</si>
  <si>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</si>
  <si>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</si>
  <si>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</si>
  <si>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UTR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</si>
  <si>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</si>
  <si>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</si>
  <si>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</si>
  <si>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</si>
  <si>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</si>
  <si>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</si>
  <si>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</si>
  <si>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</si>
  <si>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</si>
  <si>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</si>
  <si>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</si>
  <si>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</si>
  <si>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Sen Lgt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</si>
  <si>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</si>
  <si>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</si>
  <si>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</si>
  <si>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</si>
  <si>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</si>
  <si>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</si>
  <si>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</si>
  <si>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Original filing</t>
  </si>
  <si>
    <t>General Service demand ($/kW)</t>
  </si>
  <si>
    <t>EB-2015-0311</t>
  </si>
  <si>
    <t>2016 UTR (interim)</t>
  </si>
  <si>
    <t>2021 Frcst Charge Determinants (Seas Status Quo)</t>
  </si>
  <si>
    <t>2021 Proposed Tx Charges</t>
  </si>
  <si>
    <t>Approved 2017 Rates</t>
  </si>
  <si>
    <t>Proposed 2021 Rates</t>
  </si>
  <si>
    <t>Proposed 2021 RTSR</t>
  </si>
  <si>
    <t>Urban Residential ($/kWh)</t>
  </si>
  <si>
    <t>Medium Density Residential ($/kWh)</t>
  </si>
  <si>
    <t>Low Density Residential ($/kWh)</t>
  </si>
  <si>
    <t>Acquired Urban Residential ($/kWh)</t>
  </si>
  <si>
    <t>Acquired Urban General Service energy ($/kWh)</t>
  </si>
  <si>
    <t>Acquired Urban General Service demand ($/kW)</t>
  </si>
  <si>
    <t>Acquired General Service energy ($/kWh)</t>
  </si>
  <si>
    <t>Acquired General Service demand ($/kW)</t>
  </si>
  <si>
    <t>Street Lights ($/kWh)</t>
  </si>
  <si>
    <t>Sentinel Lights ($/kWh)</t>
  </si>
  <si>
    <t>St Lgt</t>
  </si>
  <si>
    <t>2021 IESO charges</t>
  </si>
  <si>
    <t>UAR</t>
  </si>
  <si>
    <t>UAGe</t>
  </si>
  <si>
    <t>UAGd</t>
  </si>
  <si>
    <t>AR</t>
  </si>
  <si>
    <t>AGSe</t>
  </si>
  <si>
    <t>AGSd</t>
  </si>
  <si>
    <t>AUR</t>
  </si>
  <si>
    <t>AUGe</t>
  </si>
  <si>
    <t>AUGd</t>
  </si>
  <si>
    <t>kW w loss</t>
  </si>
  <si>
    <t>Acquired Residential ($/kWh)</t>
  </si>
  <si>
    <t>Retail Rate Classes</t>
  </si>
  <si>
    <t>* RTSR Rates shown for demand billed customers are to be adjusted by the total loss factor, as approved by the Ontario Energy Board, and applied to non-loss adjusted charge determinants</t>
  </si>
  <si>
    <t>2021 Proposed RTSR Rates*</t>
  </si>
  <si>
    <t>Street Lightning</t>
  </si>
  <si>
    <t>Sentinel Lighting</t>
  </si>
  <si>
    <t>IESO Bill 
(Current 2016 UTR applied to 2018 Forecast Tx Charge Determinants)</t>
  </si>
  <si>
    <t xml:space="preserve">**Approved 2017 RTSRs for Acquired Density rate classes are represented as a weighted average of the approved 2017 RTSRs for the </t>
  </si>
  <si>
    <t>customers formerly served by Haldimand County Hydro and Norfolk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</si>
</sst>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#,##0.0000_);\(#,##0.0000\)"/>
  </numFmts>
  <fonts count="15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color indexed="23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S Sans Serif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7" fillId="0" borderId="0" xfId="0" applyFont="1"/>
    <xf numFmtId="166" fontId="0" fillId="0" borderId="0" xfId="2" applyNumberFormat="1" applyFont="1" applyBorder="1"/>
    <xf numFmtId="166" fontId="0" fillId="0" borderId="0" xfId="0" applyNumberFormat="1" applyBorder="1"/>
    <xf numFmtId="43" fontId="0" fillId="0" borderId="0" xfId="0" applyNumberFormat="1" applyBorder="1"/>
    <xf numFmtId="44" fontId="0" fillId="0" borderId="1" xfId="2" applyFont="1" applyBorder="1"/>
    <xf numFmtId="0" fontId="0" fillId="0" borderId="4" xfId="0" applyBorder="1"/>
    <xf numFmtId="166" fontId="0" fillId="0" borderId="1" xfId="2" applyNumberFormat="1" applyFont="1" applyBorder="1"/>
    <xf numFmtId="0" fontId="0" fillId="0" borderId="5" xfId="0" applyBorder="1"/>
    <xf numFmtId="0" fontId="0" fillId="0" borderId="6" xfId="0" applyBorder="1"/>
    <xf numFmtId="10" fontId="0" fillId="0" borderId="0" xfId="3" applyNumberFormat="1" applyFont="1" applyBorder="1"/>
    <xf numFmtId="10" fontId="0" fillId="0" borderId="1" xfId="3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164" fontId="0" fillId="0" borderId="2" xfId="3" applyNumberFormat="1" applyFont="1" applyBorder="1"/>
    <xf numFmtId="0" fontId="0" fillId="2" borderId="7" xfId="0" applyFill="1" applyBorder="1" applyAlignment="1">
      <alignment horizontal="centerContinuous" wrapText="1"/>
    </xf>
    <xf numFmtId="0" fontId="0" fillId="2" borderId="8" xfId="0" applyFill="1" applyBorder="1" applyAlignment="1">
      <alignment horizontal="centerContinuous" wrapText="1"/>
    </xf>
    <xf numFmtId="0" fontId="6" fillId="0" borderId="1" xfId="0" applyFont="1" applyBorder="1"/>
    <xf numFmtId="44" fontId="6" fillId="0" borderId="0" xfId="2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44" fontId="6" fillId="0" borderId="0" xfId="2" applyFont="1" applyFill="1" applyBorder="1" applyAlignment="1">
      <alignment horizontal="right" vertical="center" wrapText="1"/>
    </xf>
    <xf numFmtId="0" fontId="6" fillId="0" borderId="0" xfId="0" applyFont="1" applyBorder="1"/>
    <xf numFmtId="0" fontId="7" fillId="0" borderId="0" xfId="0" applyFont="1" applyBorder="1"/>
    <xf numFmtId="44" fontId="6" fillId="0" borderId="2" xfId="2" applyFont="1" applyFill="1" applyBorder="1" applyAlignment="1">
      <alignment horizontal="right" vertical="center" wrapText="1"/>
    </xf>
    <xf numFmtId="44" fontId="6" fillId="0" borderId="2" xfId="2" applyFont="1" applyBorder="1"/>
    <xf numFmtId="43" fontId="0" fillId="0" borderId="1" xfId="0" applyNumberFormat="1" applyBorder="1"/>
    <xf numFmtId="0" fontId="8" fillId="0" borderId="10" xfId="0" applyFont="1" applyBorder="1"/>
    <xf numFmtId="0" fontId="9" fillId="0" borderId="10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NumberFormat="1" applyFont="1" applyBorder="1" applyAlignment="1">
      <alignment horizontal="left"/>
    </xf>
    <xf numFmtId="0" fontId="0" fillId="2" borderId="9" xfId="0" applyFill="1" applyBorder="1" applyAlignment="1">
      <alignment horizontal="centerContinuous" wrapText="1"/>
    </xf>
    <xf numFmtId="166" fontId="0" fillId="0" borderId="15" xfId="2" applyNumberFormat="1" applyFont="1" applyBorder="1"/>
    <xf numFmtId="166" fontId="0" fillId="0" borderId="4" xfId="2" applyNumberFormat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6" fillId="0" borderId="4" xfId="0" applyFont="1" applyFill="1" applyBorder="1"/>
    <xf numFmtId="0" fontId="0" fillId="0" borderId="0" xfId="0" applyFill="1"/>
    <xf numFmtId="9" fontId="0" fillId="0" borderId="0" xfId="3" applyFont="1"/>
    <xf numFmtId="168" fontId="0" fillId="0" borderId="1" xfId="2" applyNumberFormat="1" applyFont="1" applyBorder="1"/>
    <xf numFmtId="168" fontId="0" fillId="0" borderId="0" xfId="2" applyNumberFormat="1" applyFont="1" applyBorder="1"/>
    <xf numFmtId="168" fontId="0" fillId="0" borderId="1" xfId="0" applyNumberFormat="1" applyBorder="1"/>
    <xf numFmtId="168" fontId="0" fillId="0" borderId="0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43" fontId="0" fillId="0" borderId="0" xfId="1" applyFont="1"/>
    <xf numFmtId="2" fontId="8" fillId="0" borderId="14" xfId="0" applyNumberFormat="1" applyFont="1" applyBorder="1" applyAlignment="1">
      <alignment horizontal="center"/>
    </xf>
    <xf numFmtId="169" fontId="8" fillId="0" borderId="10" xfId="1" applyNumberFormat="1" applyFont="1" applyBorder="1" applyAlignment="1">
      <alignment horizontal="center"/>
    </xf>
    <xf numFmtId="169" fontId="8" fillId="0" borderId="11" xfId="1" applyNumberFormat="1" applyFont="1" applyBorder="1" applyAlignment="1">
      <alignment horizontal="center"/>
    </xf>
    <xf numFmtId="169" fontId="8" fillId="0" borderId="14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6" fillId="0" borderId="15" xfId="0" applyFont="1" applyBorder="1"/>
    <xf numFmtId="0" fontId="0" fillId="4" borderId="1" xfId="0" applyFill="1" applyBorder="1"/>
    <xf numFmtId="0" fontId="0" fillId="4" borderId="0" xfId="0" applyFill="1" applyBorder="1"/>
    <xf numFmtId="0" fontId="2" fillId="2" borderId="7" xfId="0" applyFont="1" applyFill="1" applyBorder="1"/>
    <xf numFmtId="3" fontId="11" fillId="0" borderId="1" xfId="1" applyNumberFormat="1" applyFont="1" applyBorder="1"/>
    <xf numFmtId="3" fontId="11" fillId="0" borderId="0" xfId="0" applyNumberFormat="1" applyFont="1" applyBorder="1"/>
    <xf numFmtId="165" fontId="11" fillId="0" borderId="1" xfId="1" applyNumberFormat="1" applyFont="1" applyBorder="1"/>
    <xf numFmtId="165" fontId="11" fillId="0" borderId="0" xfId="1" applyNumberFormat="1" applyFont="1" applyBorder="1"/>
    <xf numFmtId="165" fontId="11" fillId="0" borderId="2" xfId="1" applyNumberFormat="1" applyFont="1" applyBorder="1"/>
    <xf numFmtId="166" fontId="11" fillId="0" borderId="1" xfId="2" applyNumberFormat="1" applyFont="1" applyBorder="1"/>
    <xf numFmtId="166" fontId="11" fillId="0" borderId="0" xfId="2" applyNumberFormat="1" applyFont="1" applyBorder="1"/>
    <xf numFmtId="166" fontId="11" fillId="0" borderId="0" xfId="0" applyNumberFormat="1" applyFont="1" applyBorder="1"/>
    <xf numFmtId="0" fontId="11" fillId="0" borderId="2" xfId="0" applyFont="1" applyBorder="1"/>
    <xf numFmtId="43" fontId="11" fillId="0" borderId="1" xfId="0" applyNumberFormat="1" applyFont="1" applyBorder="1"/>
    <xf numFmtId="43" fontId="11" fillId="0" borderId="0" xfId="0" applyNumberFormat="1" applyFont="1" applyBorder="1"/>
    <xf numFmtId="0" fontId="11" fillId="0" borderId="0" xfId="0" applyFont="1" applyBorder="1"/>
    <xf numFmtId="3" fontId="11" fillId="0" borderId="1" xfId="1" applyNumberFormat="1" applyFont="1" applyFill="1" applyBorder="1"/>
    <xf numFmtId="3" fontId="11" fillId="0" borderId="0" xfId="1" applyNumberFormat="1" applyFont="1" applyFill="1" applyBorder="1"/>
    <xf numFmtId="165" fontId="11" fillId="0" borderId="1" xfId="1" applyNumberFormat="1" applyFont="1" applyFill="1" applyBorder="1"/>
    <xf numFmtId="165" fontId="11" fillId="0" borderId="0" xfId="1" applyNumberFormat="1" applyFont="1" applyFill="1" applyBorder="1"/>
    <xf numFmtId="165" fontId="11" fillId="0" borderId="2" xfId="1" applyNumberFormat="1" applyFont="1" applyFill="1" applyBorder="1"/>
    <xf numFmtId="164" fontId="11" fillId="0" borderId="2" xfId="3" applyNumberFormat="1" applyFont="1" applyBorder="1"/>
    <xf numFmtId="168" fontId="11" fillId="0" borderId="1" xfId="2" applyNumberFormat="1" applyFont="1" applyBorder="1"/>
    <xf numFmtId="168" fontId="11" fillId="0" borderId="0" xfId="2" applyNumberFormat="1" applyFont="1" applyBorder="1"/>
    <xf numFmtId="0" fontId="13" fillId="0" borderId="1" xfId="0" applyFont="1" applyBorder="1"/>
    <xf numFmtId="0" fontId="13" fillId="0" borderId="0" xfId="0" applyFont="1" applyBorder="1"/>
    <xf numFmtId="0" fontId="13" fillId="0" borderId="2" xfId="0" applyFont="1" applyBorder="1"/>
    <xf numFmtId="168" fontId="13" fillId="0" borderId="1" xfId="0" applyNumberFormat="1" applyFont="1" applyBorder="1"/>
    <xf numFmtId="168" fontId="13" fillId="0" borderId="0" xfId="0" applyNumberFormat="1" applyFont="1" applyBorder="1"/>
    <xf numFmtId="0" fontId="0" fillId="4" borderId="2" xfId="0" applyFill="1" applyBorder="1"/>
    <xf numFmtId="168" fontId="0" fillId="0" borderId="2" xfId="0" applyNumberFormat="1" applyBorder="1"/>
    <xf numFmtId="168" fontId="11" fillId="0" borderId="2" xfId="2" applyNumberFormat="1" applyFont="1" applyBorder="1"/>
    <xf numFmtId="168" fontId="13" fillId="0" borderId="2" xfId="0" applyNumberFormat="1" applyFont="1" applyBorder="1"/>
    <xf numFmtId="168" fontId="0" fillId="0" borderId="3" xfId="0" applyNumberFormat="1" applyBorder="1"/>
    <xf numFmtId="169" fontId="8" fillId="0" borderId="10" xfId="0" applyNumberFormat="1" applyFont="1" applyBorder="1" applyAlignment="1">
      <alignment horizontal="center"/>
    </xf>
    <xf numFmtId="169" fontId="8" fillId="0" borderId="11" xfId="0" applyNumberFormat="1" applyFont="1" applyBorder="1" applyAlignment="1">
      <alignment horizontal="center"/>
    </xf>
    <xf numFmtId="44" fontId="0" fillId="0" borderId="1" xfId="2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0" fillId="0" borderId="4" xfId="3" applyNumberFormat="1" applyFont="1" applyBorder="1"/>
    <xf numFmtId="165" fontId="2" fillId="0" borderId="0" xfId="1" applyNumberFormat="1" applyFont="1" applyFill="1" applyBorder="1"/>
    <xf numFmtId="10" fontId="0" fillId="0" borderId="15" xfId="3" applyNumberFormat="1" applyFont="1" applyBorder="1"/>
    <xf numFmtId="3" fontId="2" fillId="0" borderId="1" xfId="0" applyNumberFormat="1" applyFont="1" applyFill="1" applyBorder="1"/>
    <xf numFmtId="3" fontId="2" fillId="0" borderId="15" xfId="0" applyNumberFormat="1" applyFont="1" applyFill="1" applyBorder="1"/>
    <xf numFmtId="0" fontId="0" fillId="0" borderId="0" xfId="0" applyBorder="1" applyAlignment="1">
      <alignment horizontal="center" vertical="center"/>
    </xf>
    <xf numFmtId="169" fontId="8" fillId="0" borderId="13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166" fontId="8" fillId="0" borderId="10" xfId="2" applyNumberFormat="1" applyFont="1" applyBorder="1" applyAlignment="1">
      <alignment horizontal="left"/>
    </xf>
    <xf numFmtId="9" fontId="8" fillId="0" borderId="10" xfId="3" applyNumberFormat="1" applyFont="1" applyBorder="1" applyAlignment="1">
      <alignment horizontal="left"/>
    </xf>
    <xf numFmtId="9" fontId="8" fillId="0" borderId="10" xfId="0" applyNumberFormat="1" applyFont="1" applyBorder="1" applyAlignment="1">
      <alignment horizontal="left"/>
    </xf>
    <xf numFmtId="10" fontId="8" fillId="0" borderId="10" xfId="0" applyNumberFormat="1" applyFont="1" applyBorder="1" applyAlignment="1">
      <alignment horizontal="left"/>
    </xf>
    <xf numFmtId="0" fontId="14" fillId="0" borderId="1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68" fontId="0" fillId="0" borderId="0" xfId="0" applyNumberFormat="1"/>
    <xf numFmtId="0" fontId="2" fillId="0" borderId="0" xfId="0" applyFont="1" applyBorder="1"/>
    <xf numFmtId="0" fontId="8" fillId="0" borderId="11" xfId="0" quotePrefix="1" applyFont="1" applyBorder="1" applyAlignment="1">
      <alignment horizontal="left"/>
    </xf>
    <xf numFmtId="0" fontId="8" fillId="0" borderId="0" xfId="0" applyFont="1" applyBorder="1"/>
    <xf numFmtId="0" fontId="11" fillId="0" borderId="1" xfId="0" applyFont="1" applyBorder="1"/>
    <xf numFmtId="0" fontId="3" fillId="0" borderId="6" xfId="0" applyFont="1" applyBorder="1"/>
    <xf numFmtId="0" fontId="12" fillId="0" borderId="6" xfId="0" applyFont="1" applyBorder="1"/>
    <xf numFmtId="167" fontId="0" fillId="0" borderId="6" xfId="0" applyNumberForma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44" fontId="2" fillId="0" borderId="0" xfId="2" applyFont="1" applyFill="1" applyBorder="1"/>
    <xf numFmtId="44" fontId="2" fillId="0" borderId="2" xfId="2" applyFont="1" applyFill="1" applyBorder="1"/>
    <xf numFmtId="0" fontId="0" fillId="0" borderId="0" xfId="0" applyFill="1" applyAlignment="1">
      <alignment horizontal="right"/>
    </xf>
    <xf numFmtId="3" fontId="2" fillId="0" borderId="0" xfId="0" applyNumberFormat="1" applyFont="1" applyBorder="1"/>
    <xf numFmtId="165" fontId="2" fillId="0" borderId="1" xfId="1" applyNumberFormat="1" applyFont="1" applyBorder="1"/>
    <xf numFmtId="165" fontId="2" fillId="0" borderId="0" xfId="1" applyNumberFormat="1" applyFont="1" applyBorder="1"/>
    <xf numFmtId="165" fontId="2" fillId="0" borderId="2" xfId="1" applyNumberFormat="1" applyFont="1" applyBorder="1"/>
    <xf numFmtId="3" fontId="2" fillId="0" borderId="1" xfId="1" applyNumberFormat="1" applyFont="1" applyFill="1" applyBorder="1"/>
    <xf numFmtId="3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" fillId="0" borderId="0" xfId="0" applyFont="1" applyFill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165" fontId="10" fillId="0" borderId="0" xfId="1" applyNumberFormat="1" applyFont="1" applyBorder="1"/>
    <xf numFmtId="165" fontId="10" fillId="0" borderId="4" xfId="1" applyNumberFormat="1" applyFont="1" applyBorder="1"/>
    <xf numFmtId="168" fontId="2" fillId="0" borderId="0" xfId="0" applyNumberFormat="1" applyFont="1" applyBorder="1"/>
    <xf numFmtId="168" fontId="2" fillId="0" borderId="2" xfId="0" applyNumberFormat="1" applyFont="1" applyBorder="1"/>
    <xf numFmtId="167" fontId="2" fillId="0" borderId="6" xfId="0" applyNumberFormat="1" applyFont="1" applyBorder="1" applyAlignment="1">
      <alignment horizontal="center" vertical="center"/>
    </xf>
    <xf numFmtId="3" fontId="2" fillId="0" borderId="0" xfId="1" applyNumberFormat="1" applyFont="1" applyBorder="1"/>
    <xf numFmtId="0" fontId="3" fillId="0" borderId="6" xfId="0" applyFont="1" applyBorder="1" applyAlignment="1">
      <alignment wrapText="1"/>
    </xf>
    <xf numFmtId="0" fontId="2" fillId="2" borderId="7" xfId="0" applyFont="1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170" fontId="8" fillId="3" borderId="11" xfId="0" applyNumberFormat="1" applyFont="1" applyFill="1" applyBorder="1" applyAlignment="1">
      <alignment horizontal="center" vertical="center"/>
    </xf>
    <xf numFmtId="170" fontId="8" fillId="3" borderId="12" xfId="0" applyNumberFormat="1" applyFont="1" applyFill="1" applyBorder="1" applyAlignment="1">
      <alignment horizontal="center" vertical="center"/>
    </xf>
    <xf numFmtId="169" fontId="8" fillId="3" borderId="11" xfId="1" applyNumberFormat="1" applyFont="1" applyFill="1" applyBorder="1" applyAlignment="1">
      <alignment horizontal="center" vertical="center"/>
    </xf>
    <xf numFmtId="169" fontId="8" fillId="3" borderId="12" xfId="1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5" fillId="0" borderId="0" xfId="0" quotePrefix="1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RTSR%20Calculation_2021_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EB-2013-0416_UPDATE/2017/Post%20Decision/Seasonal_Status%20Quo/RTSR%20Calculation_2017_Seas%20Status%20Quo_Sept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Pre-filed%20Evidence/Tables%20and%20Charts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TotST"/>
      <sheetName val="Hourly load shapes by class"/>
      <sheetName val="st_cdet"/>
      <sheetName val="Line Loss Factors"/>
      <sheetName val="Summary"/>
      <sheetName val="Evidence-Table1"/>
      <sheetName val="Evidence-Table2"/>
      <sheetName val="YEAR OVER YEAR"/>
      <sheetName val="DRO Exhibit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F16">
            <v>63782399.820100859</v>
          </cell>
          <cell r="G16">
            <v>56553516.900381356</v>
          </cell>
          <cell r="H16">
            <v>64787381.599933468</v>
          </cell>
        </row>
        <row r="18">
          <cell r="C18">
            <v>29184085.006267</v>
          </cell>
          <cell r="D18">
            <v>24285739.066665281</v>
          </cell>
          <cell r="E18">
            <v>29330652.663123917</v>
          </cell>
          <cell r="F18">
            <v>27273542.807049423</v>
          </cell>
          <cell r="G18">
            <v>20897937.793592703</v>
          </cell>
          <cell r="H18">
            <v>26363135.187135503</v>
          </cell>
        </row>
        <row r="24">
          <cell r="C24">
            <v>21571753.001813445</v>
          </cell>
          <cell r="D24">
            <v>216960.63988932327</v>
          </cell>
          <cell r="F24">
            <v>9.7862032903041872E-4</v>
          </cell>
          <cell r="G24">
            <v>1.0433415072145715E-3</v>
          </cell>
        </row>
        <row r="25">
          <cell r="C25">
            <v>2442131220.8262715</v>
          </cell>
          <cell r="D25">
            <v>8369137.6786148138</v>
          </cell>
          <cell r="F25">
            <v>9.3903456581965819E-2</v>
          </cell>
          <cell r="G25">
            <v>9.379538689545136E-2</v>
          </cell>
        </row>
        <row r="26">
          <cell r="C26">
            <v>2211185962.2923179</v>
          </cell>
          <cell r="F26">
            <v>9.1147758549562738E-2</v>
          </cell>
          <cell r="G26">
            <v>9.1761192871509634E-2</v>
          </cell>
        </row>
        <row r="27">
          <cell r="C27">
            <v>5348993479.9313517</v>
          </cell>
          <cell r="F27">
            <v>0.28909531759989604</v>
          </cell>
          <cell r="G27">
            <v>0.28830928181207444</v>
          </cell>
        </row>
        <row r="28">
          <cell r="C28">
            <v>4890720496.5432253</v>
          </cell>
          <cell r="F28">
            <v>0.24871198827273619</v>
          </cell>
          <cell r="G28">
            <v>0.24746513396020217</v>
          </cell>
        </row>
        <row r="29">
          <cell r="C29">
            <v>668464339.66750121</v>
          </cell>
          <cell r="F29">
            <v>2.8961132022982873E-2</v>
          </cell>
          <cell r="G29">
            <v>2.905535218675858E-2</v>
          </cell>
        </row>
        <row r="30">
          <cell r="C30">
            <v>1096051249.5345447</v>
          </cell>
          <cell r="D30">
            <v>2910327.1735335714</v>
          </cell>
          <cell r="F30">
            <v>4.4282485793168611E-2</v>
          </cell>
          <cell r="G30">
            <v>4.4100988302116152E-2</v>
          </cell>
        </row>
        <row r="31">
          <cell r="C31">
            <v>628464080.90106177</v>
          </cell>
          <cell r="F31">
            <v>2.7310182917384154E-2</v>
          </cell>
          <cell r="G31">
            <v>2.711823225206568E-2</v>
          </cell>
        </row>
        <row r="32">
          <cell r="C32">
            <v>2193664954.7850957</v>
          </cell>
          <cell r="F32">
            <v>0.12702099109321555</v>
          </cell>
          <cell r="G32">
            <v>0.12688761284148564</v>
          </cell>
        </row>
        <row r="33">
          <cell r="C33">
            <v>145047762.38100258</v>
          </cell>
          <cell r="F33">
            <v>4.1640396489016351E-3</v>
          </cell>
          <cell r="G33">
            <v>4.8386297507617311E-3</v>
          </cell>
        </row>
        <row r="34">
          <cell r="C34">
            <v>22493835.958795864</v>
          </cell>
          <cell r="F34">
            <v>6.4352512509107274E-4</v>
          </cell>
          <cell r="G34">
            <v>7.5145089945108769E-4</v>
          </cell>
        </row>
        <row r="35">
          <cell r="C35">
            <v>28603366.889281474</v>
          </cell>
          <cell r="F35">
            <v>9.9817319407564985E-4</v>
          </cell>
          <cell r="G35">
            <v>9.9061657541342127E-4</v>
          </cell>
        </row>
        <row r="36">
          <cell r="C36">
            <v>306393839.69230568</v>
          </cell>
          <cell r="F36">
            <v>1.6217267964024375E-2</v>
          </cell>
          <cell r="G36">
            <v>1.6995850486704007E-2</v>
          </cell>
        </row>
        <row r="37">
          <cell r="C37">
            <v>110415369.43819664</v>
          </cell>
          <cell r="F37">
            <v>4.3566854431716E-3</v>
          </cell>
          <cell r="G37">
            <v>4.4345040104777573E-3</v>
          </cell>
        </row>
        <row r="38">
          <cell r="C38">
            <v>249220085.79341075</v>
          </cell>
          <cell r="D38">
            <v>700994.62853510736</v>
          </cell>
          <cell r="F38">
            <v>9.1797349434579716E-3</v>
          </cell>
          <cell r="G38">
            <v>9.2247061648397521E-3</v>
          </cell>
        </row>
        <row r="39">
          <cell r="C39">
            <v>98095516.039550081</v>
          </cell>
          <cell r="F39">
            <v>5.3919222337820627E-3</v>
          </cell>
          <cell r="G39">
            <v>5.5958889655995537E-3</v>
          </cell>
        </row>
        <row r="40">
          <cell r="C40">
            <v>45751937.747050002</v>
          </cell>
          <cell r="F40">
            <v>1.9154857652768531E-3</v>
          </cell>
          <cell r="G40">
            <v>1.9366847975222405E-3</v>
          </cell>
        </row>
        <row r="41">
          <cell r="C41">
            <v>148889412.53181222</v>
          </cell>
          <cell r="D41">
            <v>429854.9891351253</v>
          </cell>
          <cell r="F41">
            <v>5.7212325222760103E-3</v>
          </cell>
          <cell r="G41">
            <v>5.6951457203521022E-3</v>
          </cell>
        </row>
      </sheetData>
      <sheetData sheetId="8">
        <row r="6">
          <cell r="B6">
            <v>233443583.34156916</v>
          </cell>
        </row>
      </sheetData>
      <sheetData sheetId="9">
        <row r="4">
          <cell r="A4" t="str">
            <v>RATE CLASS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TotST"/>
      <sheetName val="Hourly load shapes by class"/>
      <sheetName val="st_cdet"/>
      <sheetName val="Line Loss Factors"/>
      <sheetName val="Summary"/>
      <sheetName val="Evidence-Table1"/>
      <sheetName val="Evidence-Table2"/>
      <sheetName val="Sheet1"/>
      <sheetName val="DRO Exhibit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J9">
            <v>3.1941999999999999</v>
          </cell>
          <cell r="K9" t="str">
            <v>0.771 Line</v>
          </cell>
        </row>
        <row r="10">
          <cell r="K10" t="str">
            <v>1.7493 Transf.</v>
          </cell>
        </row>
        <row r="12">
          <cell r="J12">
            <v>6.6949999999999996E-3</v>
          </cell>
          <cell r="K12">
            <v>4.7489999999999997E-3</v>
          </cell>
        </row>
        <row r="13">
          <cell r="J13">
            <v>6.4440000000000001E-3</v>
          </cell>
          <cell r="K13">
            <v>4.7239999999999999E-3</v>
          </cell>
        </row>
        <row r="14">
          <cell r="J14">
            <v>6.1980000000000004E-3</v>
          </cell>
          <cell r="K14">
            <v>4.3940000000000003E-3</v>
          </cell>
        </row>
        <row r="15">
          <cell r="J15">
            <v>5.1190000000000003E-3</v>
          </cell>
          <cell r="K15">
            <v>4.1960000000000001E-3</v>
          </cell>
        </row>
        <row r="16">
          <cell r="J16">
            <v>6.3649999999999991E-3</v>
          </cell>
          <cell r="K16">
            <v>3.9810000000000002E-3</v>
          </cell>
        </row>
        <row r="17">
          <cell r="J17">
            <v>2.0123000000000002</v>
          </cell>
          <cell r="K17">
            <v>1.3239000000000001</v>
          </cell>
        </row>
        <row r="18">
          <cell r="J18">
            <v>5.8530000000000006E-3</v>
          </cell>
          <cell r="K18">
            <v>3.7830000000000003E-3</v>
          </cell>
        </row>
        <row r="19">
          <cell r="J19">
            <v>1.6048</v>
          </cell>
          <cell r="K19">
            <v>1.0743</v>
          </cell>
        </row>
        <row r="20">
          <cell r="J20">
            <v>0.52300000000000002</v>
          </cell>
          <cell r="K20">
            <v>0.33489999999999998</v>
          </cell>
        </row>
        <row r="21">
          <cell r="J21">
            <v>4.6589999999999999E-3</v>
          </cell>
          <cell r="K21">
            <v>3.0969999999999999E-3</v>
          </cell>
        </row>
        <row r="22">
          <cell r="J22">
            <v>4.5019999999999999E-3</v>
          </cell>
          <cell r="K22">
            <v>2.7360000000000002E-3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02-01"/>
      <sheetName val="G1-03-01"/>
      <sheetName val="H1-01-01"/>
      <sheetName val="H1-01-02"/>
      <sheetName val="H1-01-04"/>
      <sheetName val="H1-01-05"/>
      <sheetName val="H1-02-01"/>
      <sheetName val="H1-02-02"/>
      <sheetName val="H1-03-01"/>
      <sheetName val="H1-03-02"/>
      <sheetName val="H1-04-01"/>
      <sheetName val="H1-04-02"/>
      <sheetName val="H1-04-03"/>
      <sheetName val="H1-05-01"/>
      <sheetName val="Avg rate increase 2016-2021 "/>
      <sheetName val="Sheet1"/>
    </sheetNames>
    <sheetDataSet>
      <sheetData sheetId="0"/>
      <sheetData sheetId="1"/>
      <sheetData sheetId="2">
        <row r="360">
          <cell r="B360">
            <v>7.1999999999999998E-3</v>
          </cell>
          <cell r="C360">
            <v>5.5688910375990336E-3</v>
          </cell>
        </row>
        <row r="361">
          <cell r="B361">
            <v>6.4999999999999997E-3</v>
          </cell>
          <cell r="C361">
            <v>5.2595081845627977E-3</v>
          </cell>
        </row>
        <row r="362">
          <cell r="B362">
            <v>2.6779482262703742</v>
          </cell>
          <cell r="C362">
            <v>2.1539136095185527</v>
          </cell>
        </row>
        <row r="363">
          <cell r="B363">
            <v>6.6555783260850744E-3</v>
          </cell>
          <cell r="C363">
            <v>2.3549998304980366E-3</v>
          </cell>
        </row>
        <row r="364">
          <cell r="B364">
            <v>6.0887645991775114E-3</v>
          </cell>
          <cell r="C364">
            <v>4.0345989777267974E-3</v>
          </cell>
        </row>
        <row r="365">
          <cell r="B365">
            <v>2.3797976717825513</v>
          </cell>
          <cell r="C365">
            <v>1.578510851370343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5"/>
  <sheetViews>
    <sheetView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E13" sqref="E13"/>
    </sheetView>
  </sheetViews>
  <sheetFormatPr defaultRowHeight="12.75" x14ac:dyDescent="0.2"/>
  <cols>
    <col min="1" max="1" width="2.5703125" bestFit="1" customWidth="1"/>
    <col min="2" max="2" width="27.140625" customWidth="1"/>
    <col min="3" max="3" width="16.85546875" customWidth="1"/>
    <col min="4" max="4" width="14" bestFit="1" customWidth="1"/>
    <col min="5" max="5" width="17.42578125" customWidth="1"/>
    <col min="6" max="8" width="13.5703125" bestFit="1" customWidth="1"/>
    <col min="9" max="9" width="17.140625" customWidth="1"/>
    <col min="10" max="11" width="16.5703125" bestFit="1" customWidth="1"/>
    <col min="12" max="12" width="17.5703125" bestFit="1" customWidth="1"/>
    <col min="13" max="13" width="12.140625" customWidth="1"/>
    <col min="14" max="14" width="10.5703125" bestFit="1" customWidth="1"/>
    <col min="15" max="15" width="11.28515625" customWidth="1"/>
    <col min="16" max="16" width="10.28515625" customWidth="1"/>
    <col min="17" max="17" width="13" customWidth="1"/>
  </cols>
  <sheetData>
    <row r="2" spans="1:17" ht="13.5" thickBot="1" x14ac:dyDescent="0.25">
      <c r="I2" s="1"/>
      <c r="J2" s="1"/>
      <c r="K2" s="1"/>
      <c r="L2" s="1"/>
      <c r="M2" s="1"/>
      <c r="N2" s="1"/>
    </row>
    <row r="3" spans="1:17" x14ac:dyDescent="0.2">
      <c r="I3" s="131" t="s">
        <v>32</v>
      </c>
      <c r="J3" s="132" t="s">
        <v>1</v>
      </c>
      <c r="K3" s="132" t="s">
        <v>22</v>
      </c>
      <c r="L3" s="132" t="s">
        <v>23</v>
      </c>
      <c r="M3" s="133" t="s">
        <v>30</v>
      </c>
      <c r="N3" s="1"/>
    </row>
    <row r="4" spans="1:17" x14ac:dyDescent="0.2">
      <c r="I4" s="134"/>
      <c r="J4" s="119"/>
      <c r="K4" s="119" t="s">
        <v>31</v>
      </c>
      <c r="L4" s="119" t="s">
        <v>31</v>
      </c>
      <c r="M4" s="135" t="s">
        <v>31</v>
      </c>
      <c r="N4" s="1"/>
    </row>
    <row r="5" spans="1:17" x14ac:dyDescent="0.2">
      <c r="G5" s="50"/>
      <c r="H5" s="140"/>
      <c r="I5" s="136" t="s">
        <v>56</v>
      </c>
      <c r="J5" s="137" t="s">
        <v>55</v>
      </c>
      <c r="K5" s="138">
        <v>3.66</v>
      </c>
      <c r="L5" s="138">
        <v>0.87</v>
      </c>
      <c r="M5" s="139">
        <v>2.02</v>
      </c>
      <c r="N5" s="1"/>
    </row>
    <row r="6" spans="1:17" s="6" customFormat="1" x14ac:dyDescent="0.2">
      <c r="B6" s="5"/>
      <c r="C6" s="5"/>
      <c r="D6" s="5"/>
      <c r="H6" s="27"/>
      <c r="I6" s="25"/>
      <c r="J6" s="32"/>
      <c r="K6" s="31"/>
      <c r="L6" s="31"/>
      <c r="M6" s="34"/>
      <c r="N6" s="33"/>
    </row>
    <row r="7" spans="1:17" x14ac:dyDescent="0.2">
      <c r="H7" s="27"/>
      <c r="I7" s="25"/>
      <c r="J7" s="32"/>
      <c r="K7" s="26"/>
      <c r="L7" s="26"/>
      <c r="M7" s="35"/>
      <c r="N7" s="1"/>
    </row>
    <row r="8" spans="1:17" x14ac:dyDescent="0.2">
      <c r="H8" s="27"/>
      <c r="I8" s="25"/>
      <c r="J8" s="32"/>
      <c r="K8" s="26"/>
      <c r="L8" s="26"/>
      <c r="M8" s="35"/>
      <c r="N8" s="1"/>
    </row>
    <row r="9" spans="1:17" ht="13.5" thickBot="1" x14ac:dyDescent="0.25">
      <c r="H9" s="27"/>
      <c r="I9" s="64"/>
      <c r="J9" s="49"/>
      <c r="K9" s="11"/>
      <c r="L9" s="11"/>
      <c r="M9" s="4"/>
      <c r="N9" s="1"/>
    </row>
    <row r="10" spans="1:17" ht="25.5" x14ac:dyDescent="0.2">
      <c r="A10" s="101"/>
      <c r="B10" s="13"/>
      <c r="C10" s="67" t="s">
        <v>57</v>
      </c>
      <c r="D10" s="17"/>
      <c r="E10" s="18"/>
      <c r="F10" s="23" t="s">
        <v>7</v>
      </c>
      <c r="G10" s="24"/>
      <c r="H10" s="43"/>
      <c r="I10" s="159" t="s">
        <v>58</v>
      </c>
      <c r="J10" s="160"/>
      <c r="K10" s="160"/>
      <c r="L10" s="160"/>
      <c r="M10" s="161"/>
      <c r="N10" s="162" t="s">
        <v>87</v>
      </c>
      <c r="O10" s="163"/>
      <c r="P10" s="163"/>
      <c r="Q10" s="164"/>
    </row>
    <row r="11" spans="1:17" ht="13.5" thickBot="1" x14ac:dyDescent="0.25">
      <c r="A11" s="2"/>
      <c r="B11" s="14"/>
      <c r="C11" s="19" t="s">
        <v>22</v>
      </c>
      <c r="D11" s="20" t="s">
        <v>23</v>
      </c>
      <c r="E11" s="21" t="s">
        <v>30</v>
      </c>
      <c r="F11" s="19" t="s">
        <v>22</v>
      </c>
      <c r="G11" s="20" t="s">
        <v>23</v>
      </c>
      <c r="H11" s="21" t="s">
        <v>30</v>
      </c>
      <c r="I11" s="19" t="s">
        <v>22</v>
      </c>
      <c r="J11" s="20" t="s">
        <v>23</v>
      </c>
      <c r="K11" s="20" t="s">
        <v>30</v>
      </c>
      <c r="L11" s="20" t="s">
        <v>33</v>
      </c>
      <c r="M11" s="21"/>
      <c r="N11" s="65" t="s">
        <v>29</v>
      </c>
      <c r="O11" s="66" t="s">
        <v>3</v>
      </c>
      <c r="P11" s="66" t="s">
        <v>2</v>
      </c>
      <c r="Q11" s="93" t="s">
        <v>3</v>
      </c>
    </row>
    <row r="12" spans="1:17" x14ac:dyDescent="0.2">
      <c r="A12" s="101"/>
      <c r="B12" s="13"/>
      <c r="C12" s="101"/>
      <c r="D12" s="102"/>
      <c r="E12" s="102"/>
      <c r="F12" s="101"/>
      <c r="G12" s="102"/>
      <c r="H12" s="103"/>
      <c r="I12" s="101"/>
      <c r="J12" s="102"/>
      <c r="K12" s="102"/>
      <c r="L12" s="102"/>
      <c r="M12" s="103"/>
      <c r="N12" s="101" t="s">
        <v>31</v>
      </c>
      <c r="O12" s="102" t="s">
        <v>31</v>
      </c>
      <c r="P12" s="102" t="s">
        <v>31</v>
      </c>
      <c r="Q12" s="103"/>
    </row>
    <row r="13" spans="1:17" x14ac:dyDescent="0.2">
      <c r="A13" s="2"/>
      <c r="B13" s="14"/>
      <c r="C13" s="2"/>
      <c r="D13" s="1"/>
      <c r="E13" s="1"/>
      <c r="F13" s="2"/>
      <c r="G13" s="1"/>
      <c r="H13" s="3"/>
      <c r="I13" s="10"/>
      <c r="J13" s="1"/>
      <c r="K13" s="1"/>
      <c r="L13" s="1"/>
      <c r="M13" s="3"/>
      <c r="N13" s="2"/>
      <c r="O13" s="1"/>
      <c r="P13" s="1"/>
      <c r="Q13" s="3"/>
    </row>
    <row r="14" spans="1:17" s="1" customFormat="1" ht="51" x14ac:dyDescent="0.2">
      <c r="A14" s="2" t="s">
        <v>4</v>
      </c>
      <c r="B14" s="158" t="s">
        <v>90</v>
      </c>
      <c r="C14" s="157"/>
      <c r="D14" s="141"/>
      <c r="E14" s="141"/>
      <c r="F14" s="142">
        <f>[1]Summary!F16</f>
        <v>63782399.820100859</v>
      </c>
      <c r="G14" s="143">
        <f>[1]Summary!G16</f>
        <v>56553516.900381356</v>
      </c>
      <c r="H14" s="144">
        <f>[1]Summary!H16</f>
        <v>64787381.599933468</v>
      </c>
      <c r="I14" s="12">
        <f t="shared" ref="I14:K14" si="0">K$5*F14</f>
        <v>233443583.34156916</v>
      </c>
      <c r="J14" s="7">
        <f t="shared" si="0"/>
        <v>49201559.703331783</v>
      </c>
      <c r="K14" s="7">
        <f t="shared" si="0"/>
        <v>130870510.83186561</v>
      </c>
      <c r="L14" s="8">
        <f>SUM(I14:K14)</f>
        <v>413515653.87676656</v>
      </c>
      <c r="M14" s="3"/>
      <c r="N14" s="36"/>
      <c r="O14" s="9"/>
      <c r="P14" s="9"/>
      <c r="Q14" s="3"/>
    </row>
    <row r="15" spans="1:17" s="79" customFormat="1" x14ac:dyDescent="0.2">
      <c r="A15" s="122"/>
      <c r="B15" s="124" t="s">
        <v>53</v>
      </c>
      <c r="C15" s="68"/>
      <c r="D15" s="69"/>
      <c r="E15" s="69"/>
      <c r="F15" s="70"/>
      <c r="G15" s="71"/>
      <c r="H15" s="72"/>
      <c r="I15" s="73"/>
      <c r="J15" s="74"/>
      <c r="K15" s="74"/>
      <c r="L15" s="75"/>
      <c r="M15" s="76"/>
      <c r="N15" s="77"/>
      <c r="O15" s="78"/>
      <c r="P15" s="78"/>
      <c r="Q15" s="76"/>
    </row>
    <row r="16" spans="1:17" s="1" customFormat="1" x14ac:dyDescent="0.2">
      <c r="A16" s="2" t="s">
        <v>5</v>
      </c>
      <c r="B16" s="123" t="s">
        <v>25</v>
      </c>
      <c r="C16" s="145">
        <f>[1]Summary!C18</f>
        <v>29184085.006267</v>
      </c>
      <c r="D16" s="146">
        <f>[1]Summary!D18</f>
        <v>24285739.066665281</v>
      </c>
      <c r="E16" s="146">
        <f>[1]Summary!E18</f>
        <v>29330652.663123917</v>
      </c>
      <c r="F16" s="147">
        <f>[1]Summary!F18</f>
        <v>27273542.807049423</v>
      </c>
      <c r="G16" s="105">
        <f>[1]Summary!G18</f>
        <v>20897937.793592703</v>
      </c>
      <c r="H16" s="148">
        <f>[1]Summary!H18</f>
        <v>26363135.187135503</v>
      </c>
      <c r="I16" s="100">
        <f>(F16/F14)*I14</f>
        <v>99821166.673800901</v>
      </c>
      <c r="J16" s="7">
        <f>(G16/G14)*J14</f>
        <v>18181205.880425654</v>
      </c>
      <c r="K16" s="7">
        <f>(H16/H14)*K14</f>
        <v>53253533.078013718</v>
      </c>
      <c r="L16" s="8">
        <f>SUM(I16:K16)</f>
        <v>171255905.63224027</v>
      </c>
      <c r="M16" s="22">
        <f>L16/L14</f>
        <v>0.41414612488473512</v>
      </c>
      <c r="N16" s="52">
        <f>ROUND(I16/C16,4)</f>
        <v>3.4203999999999999</v>
      </c>
      <c r="O16" s="53">
        <f>ROUND(J16/D16,4)</f>
        <v>0.74860000000000004</v>
      </c>
      <c r="P16" s="53">
        <f>ROUND(K16/E16,4)</f>
        <v>1.8156000000000001</v>
      </c>
      <c r="Q16" s="94"/>
    </row>
    <row r="17" spans="1:18" s="79" customFormat="1" x14ac:dyDescent="0.2">
      <c r="A17" s="122"/>
      <c r="B17" s="124" t="s">
        <v>53</v>
      </c>
      <c r="C17" s="80"/>
      <c r="D17" s="81"/>
      <c r="E17" s="81"/>
      <c r="F17" s="82"/>
      <c r="G17" s="83"/>
      <c r="H17" s="84"/>
      <c r="I17" s="73"/>
      <c r="J17" s="74"/>
      <c r="K17" s="74"/>
      <c r="L17" s="75"/>
      <c r="M17" s="85"/>
      <c r="N17" s="86"/>
      <c r="O17" s="87"/>
      <c r="P17" s="87"/>
      <c r="Q17" s="95"/>
    </row>
    <row r="18" spans="1:18" s="1" customFormat="1" x14ac:dyDescent="0.2">
      <c r="A18" s="2" t="s">
        <v>6</v>
      </c>
      <c r="B18" s="130" t="s">
        <v>85</v>
      </c>
      <c r="C18" s="147"/>
      <c r="D18" s="149"/>
      <c r="E18" s="149"/>
      <c r="F18" s="46"/>
      <c r="G18" s="47"/>
      <c r="H18" s="48"/>
      <c r="I18" s="12">
        <f>I14-I16</f>
        <v>133622416.66776825</v>
      </c>
      <c r="J18" s="7">
        <f>J14-J16</f>
        <v>31020353.822906129</v>
      </c>
      <c r="K18" s="7">
        <f>K14-K16</f>
        <v>77616977.753851891</v>
      </c>
      <c r="L18" s="8">
        <f>SUM(I18:K18)</f>
        <v>242259748.24452627</v>
      </c>
      <c r="M18" s="22">
        <f>L18/L14</f>
        <v>0.58585387511526477</v>
      </c>
      <c r="N18" s="54"/>
      <c r="O18" s="55"/>
      <c r="P18" s="55"/>
      <c r="Q18" s="94"/>
    </row>
    <row r="19" spans="1:18" s="89" customFormat="1" x14ac:dyDescent="0.2">
      <c r="A19" s="88"/>
      <c r="B19" s="124"/>
      <c r="C19" s="88"/>
      <c r="F19" s="88"/>
      <c r="H19" s="90"/>
      <c r="I19" s="73"/>
      <c r="J19" s="74"/>
      <c r="K19" s="74"/>
      <c r="L19" s="75"/>
      <c r="M19" s="85"/>
      <c r="N19" s="91"/>
      <c r="O19" s="92"/>
      <c r="P19" s="92"/>
      <c r="Q19" s="96"/>
    </row>
    <row r="20" spans="1:18" x14ac:dyDescent="0.2">
      <c r="A20" s="2"/>
      <c r="B20" s="14"/>
      <c r="C20" s="2" t="s">
        <v>44</v>
      </c>
      <c r="D20" s="119" t="s">
        <v>83</v>
      </c>
      <c r="E20" s="1"/>
      <c r="F20" s="2" t="s">
        <v>26</v>
      </c>
      <c r="G20" s="1" t="s">
        <v>27</v>
      </c>
      <c r="H20" s="3"/>
      <c r="I20" s="2"/>
      <c r="J20" s="1"/>
      <c r="K20" s="1"/>
      <c r="L20" s="1"/>
      <c r="M20" s="3"/>
      <c r="N20" s="54" t="s">
        <v>29</v>
      </c>
      <c r="O20" s="154" t="s">
        <v>3</v>
      </c>
      <c r="P20" s="154" t="s">
        <v>29</v>
      </c>
      <c r="Q20" s="155" t="s">
        <v>3</v>
      </c>
    </row>
    <row r="21" spans="1:18" x14ac:dyDescent="0.2">
      <c r="A21" s="2"/>
      <c r="B21" s="14"/>
      <c r="C21" s="2"/>
      <c r="D21" s="1"/>
      <c r="E21" s="1"/>
      <c r="F21" s="2" t="s">
        <v>28</v>
      </c>
      <c r="G21" s="1" t="s">
        <v>28</v>
      </c>
      <c r="H21" s="3"/>
      <c r="I21" s="2" t="s">
        <v>22</v>
      </c>
      <c r="J21" s="1" t="s">
        <v>24</v>
      </c>
      <c r="K21" s="1"/>
      <c r="L21" s="1"/>
      <c r="M21" s="3"/>
      <c r="N21" s="54" t="s">
        <v>43</v>
      </c>
      <c r="O21" s="55" t="s">
        <v>43</v>
      </c>
      <c r="P21" s="55" t="s">
        <v>31</v>
      </c>
      <c r="Q21" s="94" t="s">
        <v>31</v>
      </c>
    </row>
    <row r="22" spans="1:18" x14ac:dyDescent="0.2">
      <c r="A22" s="125"/>
      <c r="B22" s="125" t="s">
        <v>34</v>
      </c>
      <c r="C22" s="107">
        <f>[1]Summary!C24</f>
        <v>21571753.001813445</v>
      </c>
      <c r="D22" s="151">
        <f>[1]Summary!D24</f>
        <v>216960.63988932327</v>
      </c>
      <c r="E22" s="152"/>
      <c r="F22" s="16">
        <f>[1]Summary!F24</f>
        <v>9.7862032903041872E-4</v>
      </c>
      <c r="G22" s="15">
        <f>[1]Summary!G24</f>
        <v>1.0433415072145715E-3</v>
      </c>
      <c r="H22" s="3"/>
      <c r="I22" s="12">
        <f>$I$18*F22</f>
        <v>130765.61336525108</v>
      </c>
      <c r="J22" s="7">
        <f>G22*($J$18+$K$18)</f>
        <v>113345.83726706388</v>
      </c>
      <c r="K22" s="1"/>
      <c r="L22" s="1"/>
      <c r="M22" s="3"/>
      <c r="N22" s="54"/>
      <c r="O22" s="55"/>
      <c r="P22" s="55">
        <f>ROUND(I22/D22,4)</f>
        <v>0.60270000000000001</v>
      </c>
      <c r="Q22" s="94">
        <f>ROUND(J22/D22,4)</f>
        <v>0.52239999999999998</v>
      </c>
    </row>
    <row r="23" spans="1:18" x14ac:dyDescent="0.2">
      <c r="A23" s="125"/>
      <c r="B23" s="125" t="s">
        <v>35</v>
      </c>
      <c r="C23" s="107">
        <f>[1]Summary!C25</f>
        <v>2442131220.8262715</v>
      </c>
      <c r="D23" s="151">
        <f>[1]Summary!D25</f>
        <v>8369137.6786148138</v>
      </c>
      <c r="E23" s="152"/>
      <c r="F23" s="16">
        <f>[1]Summary!F25</f>
        <v>9.3903456581965819E-2</v>
      </c>
      <c r="G23" s="15">
        <f>[1]Summary!G25</f>
        <v>9.379538689545136E-2</v>
      </c>
      <c r="H23" s="3"/>
      <c r="I23" s="12">
        <f t="shared" ref="I23:I32" si="1">$I$18*F23</f>
        <v>12547606.801939122</v>
      </c>
      <c r="J23" s="7">
        <f t="shared" ref="J23:J31" si="2">G23*($J$18+$K$18)</f>
        <v>10189680.546531454</v>
      </c>
      <c r="K23" s="1"/>
      <c r="L23" s="1"/>
      <c r="M23" s="3"/>
      <c r="N23" s="54"/>
      <c r="O23" s="55"/>
      <c r="P23" s="55">
        <f>ROUND(I23/D23,4)</f>
        <v>1.4993000000000001</v>
      </c>
      <c r="Q23" s="94">
        <f>ROUND(J23/D23,4)</f>
        <v>1.2175</v>
      </c>
    </row>
    <row r="24" spans="1:18" x14ac:dyDescent="0.2">
      <c r="A24" s="125"/>
      <c r="B24" s="125" t="s">
        <v>36</v>
      </c>
      <c r="C24" s="107">
        <f>[1]Summary!C26</f>
        <v>2211185962.2923179</v>
      </c>
      <c r="D24" s="151"/>
      <c r="E24" s="152"/>
      <c r="F24" s="16">
        <f>[1]Summary!F26</f>
        <v>9.1147758549562738E-2</v>
      </c>
      <c r="G24" s="15">
        <f>[1]Summary!G26</f>
        <v>9.1761192871509634E-2</v>
      </c>
      <c r="H24" s="3"/>
      <c r="I24" s="12">
        <f t="shared" si="1"/>
        <v>12179383.771242809</v>
      </c>
      <c r="J24" s="7">
        <f t="shared" si="2"/>
        <v>9968691.1358610373</v>
      </c>
      <c r="K24" s="1"/>
      <c r="L24" s="1"/>
      <c r="M24" s="3"/>
      <c r="N24" s="54">
        <f>ROUND(I24/C24*100,4)</f>
        <v>0.55079999999999996</v>
      </c>
      <c r="O24" s="55">
        <f>ROUND(J24/C24*100,4)</f>
        <v>0.45079999999999998</v>
      </c>
      <c r="P24" s="55"/>
      <c r="Q24" s="94"/>
    </row>
    <row r="25" spans="1:18" x14ac:dyDescent="0.2">
      <c r="A25" s="125"/>
      <c r="B25" s="125" t="s">
        <v>37</v>
      </c>
      <c r="C25" s="107">
        <f>[1]Summary!C27</f>
        <v>5348993479.9313517</v>
      </c>
      <c r="D25" s="151"/>
      <c r="E25" s="152"/>
      <c r="F25" s="16">
        <f>[1]Summary!F27</f>
        <v>0.28909531759989604</v>
      </c>
      <c r="G25" s="15">
        <f>[1]Summary!G27</f>
        <v>0.28830928181207444</v>
      </c>
      <c r="H25" s="3"/>
      <c r="I25" s="12">
        <f t="shared" si="1"/>
        <v>38629614.985034108</v>
      </c>
      <c r="J25" s="7">
        <f t="shared" si="2"/>
        <v>31321151.044875301</v>
      </c>
      <c r="K25" s="1"/>
      <c r="L25" s="1"/>
      <c r="M25" s="3"/>
      <c r="N25" s="54">
        <f>ROUND(I25/C25*100,4)</f>
        <v>0.72219999999999995</v>
      </c>
      <c r="O25" s="55">
        <f>ROUND(J25/C25*100,4)</f>
        <v>0.58560000000000001</v>
      </c>
      <c r="P25" s="55"/>
      <c r="Q25" s="94"/>
    </row>
    <row r="26" spans="1:18" x14ac:dyDescent="0.2">
      <c r="A26" s="125"/>
      <c r="B26" s="125" t="s">
        <v>38</v>
      </c>
      <c r="C26" s="107">
        <f>[1]Summary!C28</f>
        <v>4890720496.5432253</v>
      </c>
      <c r="D26" s="151"/>
      <c r="E26" s="152"/>
      <c r="F26" s="16">
        <f>[1]Summary!F28</f>
        <v>0.24871198827273619</v>
      </c>
      <c r="G26" s="15">
        <f>[1]Summary!G28</f>
        <v>0.24746513396020217</v>
      </c>
      <c r="H26" s="3"/>
      <c r="I26" s="12">
        <f t="shared" si="1"/>
        <v>33233496.927248646</v>
      </c>
      <c r="J26" s="7">
        <f t="shared" si="2"/>
        <v>26883951.811721325</v>
      </c>
      <c r="K26" s="1"/>
      <c r="L26" s="1"/>
      <c r="M26" s="3"/>
      <c r="N26" s="54">
        <f>ROUND(I26/C26*100,4)</f>
        <v>0.67949999999999999</v>
      </c>
      <c r="O26" s="55">
        <f>ROUND(J26/C26*100,4)</f>
        <v>0.54969999999999997</v>
      </c>
      <c r="P26" s="55"/>
      <c r="Q26" s="94"/>
    </row>
    <row r="27" spans="1:18" x14ac:dyDescent="0.2">
      <c r="A27" s="125"/>
      <c r="B27" s="125" t="s">
        <v>39</v>
      </c>
      <c r="C27" s="107">
        <f>[1]Summary!C29</f>
        <v>668464339.66750121</v>
      </c>
      <c r="D27" s="151"/>
      <c r="E27" s="152"/>
      <c r="F27" s="16">
        <f>[1]Summary!F29</f>
        <v>2.8961132022982873E-2</v>
      </c>
      <c r="G27" s="15">
        <f>[1]Summary!G29</f>
        <v>2.905535218675858E-2</v>
      </c>
      <c r="H27" s="3"/>
      <c r="I27" s="12">
        <f t="shared" si="1"/>
        <v>3869856.4503452638</v>
      </c>
      <c r="J27" s="7">
        <f t="shared" si="2"/>
        <v>3156495.9295923733</v>
      </c>
      <c r="K27" s="1"/>
      <c r="L27" s="1"/>
      <c r="M27" s="3"/>
      <c r="N27" s="54">
        <f>ROUND(I27/C27*100,4)</f>
        <v>0.57889999999999997</v>
      </c>
      <c r="O27" s="55">
        <f>ROUND(J27/C27*100,4)</f>
        <v>0.47220000000000001</v>
      </c>
      <c r="P27" s="55"/>
      <c r="Q27" s="94"/>
    </row>
    <row r="28" spans="1:18" x14ac:dyDescent="0.2">
      <c r="A28" s="125"/>
      <c r="B28" s="125" t="s">
        <v>40</v>
      </c>
      <c r="C28" s="107">
        <f>[1]Summary!C30</f>
        <v>1096051249.5345447</v>
      </c>
      <c r="D28" s="151">
        <f>[1]Summary!D30</f>
        <v>2910327.1735335714</v>
      </c>
      <c r="E28" s="152"/>
      <c r="F28" s="16">
        <f>[1]Summary!F30</f>
        <v>4.4282485793168611E-2</v>
      </c>
      <c r="G28" s="15">
        <f>[1]Summary!G30</f>
        <v>4.4100988302116152E-2</v>
      </c>
      <c r="H28" s="3"/>
      <c r="I28" s="12">
        <f t="shared" si="1"/>
        <v>5917132.7677393043</v>
      </c>
      <c r="J28" s="7">
        <f t="shared" si="2"/>
        <v>4791013.6890397193</v>
      </c>
      <c r="K28" s="1"/>
      <c r="L28" s="1"/>
      <c r="M28" s="3"/>
      <c r="N28" s="54"/>
      <c r="O28" s="55"/>
      <c r="P28" s="55">
        <f>ROUND(I28/D28,4)</f>
        <v>2.0331999999999999</v>
      </c>
      <c r="Q28" s="94">
        <f>ROUND(J28/D28,4)</f>
        <v>1.6462000000000001</v>
      </c>
      <c r="R28" s="118"/>
    </row>
    <row r="29" spans="1:18" x14ac:dyDescent="0.2">
      <c r="A29" s="125"/>
      <c r="B29" s="125" t="s">
        <v>41</v>
      </c>
      <c r="C29" s="107">
        <f>[1]Summary!C31</f>
        <v>628464080.90106177</v>
      </c>
      <c r="D29" s="151"/>
      <c r="E29" s="152"/>
      <c r="F29" s="16">
        <f>[1]Summary!F31</f>
        <v>2.7310182917384154E-2</v>
      </c>
      <c r="G29" s="15">
        <f>[1]Summary!G31</f>
        <v>2.711823225206568E-2</v>
      </c>
      <c r="H29" s="3"/>
      <c r="I29" s="12">
        <f t="shared" si="1"/>
        <v>3649252.641059672</v>
      </c>
      <c r="J29" s="7">
        <f t="shared" si="2"/>
        <v>2946052.388943193</v>
      </c>
      <c r="K29" s="1"/>
      <c r="L29" s="1"/>
      <c r="M29" s="3"/>
      <c r="N29" s="54">
        <f>ROUND(I29/C29*100,4)</f>
        <v>0.58069999999999999</v>
      </c>
      <c r="O29" s="55">
        <f>ROUND(J29/C29*100,4)</f>
        <v>0.46879999999999999</v>
      </c>
      <c r="P29" s="55"/>
      <c r="Q29" s="94"/>
    </row>
    <row r="30" spans="1:18" x14ac:dyDescent="0.2">
      <c r="A30" s="125"/>
      <c r="B30" s="125" t="s">
        <v>42</v>
      </c>
      <c r="C30" s="107">
        <f>[1]Summary!C32</f>
        <v>2193664954.7850957</v>
      </c>
      <c r="D30" s="151"/>
      <c r="E30" s="152"/>
      <c r="F30" s="16">
        <f>[1]Summary!F32</f>
        <v>0.12702099109321555</v>
      </c>
      <c r="G30" s="15">
        <f>[1]Summary!G32</f>
        <v>0.12688761284148564</v>
      </c>
      <c r="H30" s="3"/>
      <c r="I30" s="12">
        <f t="shared" si="1"/>
        <v>16972851.797410529</v>
      </c>
      <c r="J30" s="7">
        <f t="shared" si="2"/>
        <v>13784731.669243775</v>
      </c>
      <c r="K30" s="1"/>
      <c r="L30" s="1"/>
      <c r="M30" s="3"/>
      <c r="N30" s="54">
        <f>ROUND(I30/C30*100,4)</f>
        <v>0.77370000000000005</v>
      </c>
      <c r="O30" s="55">
        <f>ROUND(J30/C30*100,4)</f>
        <v>0.62839999999999996</v>
      </c>
      <c r="P30" s="55"/>
      <c r="Q30" s="94"/>
    </row>
    <row r="31" spans="1:18" s="1" customFormat="1" x14ac:dyDescent="0.2">
      <c r="A31" s="125"/>
      <c r="B31" s="156" t="s">
        <v>88</v>
      </c>
      <c r="C31" s="107">
        <f>[1]Summary!C33</f>
        <v>145047762.38100258</v>
      </c>
      <c r="D31" s="151"/>
      <c r="E31" s="152"/>
      <c r="F31" s="16">
        <f>[1]Summary!F33</f>
        <v>4.1640396489016351E-3</v>
      </c>
      <c r="G31" s="15">
        <f>[1]Summary!G33</f>
        <v>4.8386297507617311E-3</v>
      </c>
      <c r="H31" s="3"/>
      <c r="I31" s="12">
        <f t="shared" si="1"/>
        <v>556409.04098664178</v>
      </c>
      <c r="J31" s="7">
        <f t="shared" si="2"/>
        <v>525655.82461066823</v>
      </c>
      <c r="M31" s="3"/>
      <c r="N31" s="54">
        <f>ROUND(I31/C31*100,4)</f>
        <v>0.3836</v>
      </c>
      <c r="O31" s="55">
        <f>ROUND(J31/C31*100,4)</f>
        <v>0.3624</v>
      </c>
      <c r="P31" s="55"/>
      <c r="Q31" s="94"/>
    </row>
    <row r="32" spans="1:18" s="1" customFormat="1" x14ac:dyDescent="0.2">
      <c r="A32" s="125"/>
      <c r="B32" s="156" t="s">
        <v>89</v>
      </c>
      <c r="C32" s="107">
        <f>[1]Summary!C34</f>
        <v>22493835.958795864</v>
      </c>
      <c r="D32" s="151"/>
      <c r="E32" s="152"/>
      <c r="F32" s="16">
        <f>[1]Summary!F34</f>
        <v>6.4352512509107274E-4</v>
      </c>
      <c r="G32" s="15">
        <f>[1]Summary!G34</f>
        <v>7.5145089945108769E-4</v>
      </c>
      <c r="H32" s="3"/>
      <c r="I32" s="12">
        <f t="shared" si="1"/>
        <v>85989.382401097013</v>
      </c>
      <c r="J32" s="7">
        <f>G32*($J$18+$K$18)</f>
        <v>81635.620527320876</v>
      </c>
      <c r="M32" s="3"/>
      <c r="N32" s="54">
        <f t="shared" ref="N32:N38" si="3">ROUND(I32/C32*100,4)</f>
        <v>0.38229999999999997</v>
      </c>
      <c r="O32" s="55">
        <f t="shared" ref="O32:O38" si="4">ROUND(J32/C32*100,4)</f>
        <v>0.3629</v>
      </c>
      <c r="P32" s="55"/>
      <c r="Q32" s="94"/>
    </row>
    <row r="33" spans="1:17" x14ac:dyDescent="0.2">
      <c r="A33" s="125"/>
      <c r="B33" s="125" t="s">
        <v>0</v>
      </c>
      <c r="C33" s="107">
        <f>[1]Summary!C35</f>
        <v>28603366.889281474</v>
      </c>
      <c r="D33" s="151"/>
      <c r="E33" s="152"/>
      <c r="F33" s="16">
        <f>[1]Summary!F35</f>
        <v>9.9817319407564985E-4</v>
      </c>
      <c r="G33" s="15">
        <f>[1]Summary!G35</f>
        <v>9.9061657541342127E-4</v>
      </c>
      <c r="H33" s="3"/>
      <c r="I33" s="12">
        <f t="shared" ref="I33:I39" si="5">$I$18*F33</f>
        <v>133378.3144453736</v>
      </c>
      <c r="J33" s="7">
        <f t="shared" ref="J33:J39" si="6">G33*($J$18+$K$18)</f>
        <v>107617.94136862038</v>
      </c>
      <c r="K33" s="1"/>
      <c r="L33" s="1"/>
      <c r="M33" s="3"/>
      <c r="N33" s="54">
        <f t="shared" si="3"/>
        <v>0.46629999999999999</v>
      </c>
      <c r="O33" s="55">
        <f t="shared" si="4"/>
        <v>0.37619999999999998</v>
      </c>
      <c r="P33" s="55"/>
      <c r="Q33" s="94"/>
    </row>
    <row r="34" spans="1:17" x14ac:dyDescent="0.2">
      <c r="A34" s="126"/>
      <c r="B34" s="126" t="s">
        <v>77</v>
      </c>
      <c r="C34" s="107">
        <f>[1]Summary!C36</f>
        <v>306393839.69230568</v>
      </c>
      <c r="D34" s="151"/>
      <c r="E34" s="152"/>
      <c r="F34" s="16">
        <f>[1]Summary!F36</f>
        <v>1.6217267964024375E-2</v>
      </c>
      <c r="G34" s="15">
        <f>[1]Summary!G36</f>
        <v>1.6995850486704007E-2</v>
      </c>
      <c r="H34" s="3"/>
      <c r="I34" s="12">
        <f t="shared" si="5"/>
        <v>2166990.5371017149</v>
      </c>
      <c r="J34" s="7">
        <f t="shared" si="6"/>
        <v>1846383.8447530675</v>
      </c>
      <c r="K34" s="1"/>
      <c r="L34" s="1"/>
      <c r="M34" s="3"/>
      <c r="N34" s="54">
        <f t="shared" si="3"/>
        <v>0.70730000000000004</v>
      </c>
      <c r="O34" s="55">
        <f t="shared" si="4"/>
        <v>0.60260000000000002</v>
      </c>
      <c r="P34" s="55"/>
      <c r="Q34" s="94"/>
    </row>
    <row r="35" spans="1:17" x14ac:dyDescent="0.2">
      <c r="A35" s="127"/>
      <c r="B35" s="127" t="s">
        <v>78</v>
      </c>
      <c r="C35" s="107">
        <f>[1]Summary!C37</f>
        <v>110415369.43819664</v>
      </c>
      <c r="D35" s="151"/>
      <c r="E35" s="152"/>
      <c r="F35" s="16">
        <f>[1]Summary!F37</f>
        <v>4.3566854431716E-3</v>
      </c>
      <c r="G35" s="15">
        <f>[1]Summary!G37</f>
        <v>4.4345040104777573E-3</v>
      </c>
      <c r="H35" s="3"/>
      <c r="I35" s="12">
        <f t="shared" si="5"/>
        <v>582150.83757787617</v>
      </c>
      <c r="J35" s="7">
        <f t="shared" si="6"/>
        <v>481752.68256473535</v>
      </c>
      <c r="K35" s="1"/>
      <c r="L35" s="1"/>
      <c r="M35" s="3"/>
      <c r="N35" s="54">
        <f t="shared" si="3"/>
        <v>0.5272</v>
      </c>
      <c r="O35" s="55">
        <f t="shared" si="4"/>
        <v>0.43630000000000002</v>
      </c>
      <c r="P35" s="55"/>
      <c r="Q35" s="94"/>
    </row>
    <row r="36" spans="1:17" x14ac:dyDescent="0.2">
      <c r="A36" s="127"/>
      <c r="B36" s="127" t="s">
        <v>79</v>
      </c>
      <c r="C36" s="107">
        <f>[1]Summary!C38</f>
        <v>249220085.79341075</v>
      </c>
      <c r="D36" s="151">
        <f>[1]Summary!D38</f>
        <v>700994.62853510736</v>
      </c>
      <c r="E36" s="152"/>
      <c r="F36" s="16">
        <f>[1]Summary!F38</f>
        <v>9.1797349434579716E-3</v>
      </c>
      <c r="G36" s="15">
        <f>[1]Summary!G38</f>
        <v>9.2247061648397521E-3</v>
      </c>
      <c r="H36" s="3"/>
      <c r="I36" s="12">
        <f t="shared" si="5"/>
        <v>1226618.3675144131</v>
      </c>
      <c r="J36" s="7">
        <f t="shared" si="6"/>
        <v>1002147.4623278601</v>
      </c>
      <c r="K36" s="1"/>
      <c r="L36" s="1"/>
      <c r="M36" s="3"/>
      <c r="N36" s="54"/>
      <c r="O36" s="55"/>
      <c r="P36" s="55">
        <f t="shared" ref="P36:P39" si="7">ROUND(I36/D36,4)</f>
        <v>1.7498</v>
      </c>
      <c r="Q36" s="94">
        <f t="shared" ref="Q36:Q39" si="8">ROUND(J36/D36,4)</f>
        <v>1.4296</v>
      </c>
    </row>
    <row r="37" spans="1:17" x14ac:dyDescent="0.2">
      <c r="A37" s="127"/>
      <c r="B37" s="127" t="s">
        <v>80</v>
      </c>
      <c r="C37" s="107">
        <f>[1]Summary!C39</f>
        <v>98095516.039550081</v>
      </c>
      <c r="D37" s="151"/>
      <c r="E37" s="152"/>
      <c r="F37" s="16">
        <f>[1]Summary!F39</f>
        <v>5.3919222337820627E-3</v>
      </c>
      <c r="G37" s="15">
        <f>[1]Summary!G39</f>
        <v>5.5958889655995537E-3</v>
      </c>
      <c r="H37" s="3"/>
      <c r="I37" s="12">
        <f t="shared" si="5"/>
        <v>720481.67936263059</v>
      </c>
      <c r="J37" s="7">
        <f t="shared" si="6"/>
        <v>607922.44502256019</v>
      </c>
      <c r="K37" s="1"/>
      <c r="L37" s="1"/>
      <c r="M37" s="3"/>
      <c r="N37" s="54">
        <f t="shared" si="3"/>
        <v>0.73450000000000004</v>
      </c>
      <c r="O37" s="55">
        <f t="shared" si="4"/>
        <v>0.61970000000000003</v>
      </c>
      <c r="P37" s="55"/>
      <c r="Q37" s="94"/>
    </row>
    <row r="38" spans="1:17" x14ac:dyDescent="0.2">
      <c r="A38" s="127"/>
      <c r="B38" s="127" t="s">
        <v>81</v>
      </c>
      <c r="C38" s="107">
        <f>[1]Summary!C40</f>
        <v>45751937.747050002</v>
      </c>
      <c r="D38" s="151"/>
      <c r="E38" s="152"/>
      <c r="F38" s="16">
        <f>[1]Summary!F40</f>
        <v>1.9154857652768531E-3</v>
      </c>
      <c r="G38" s="15">
        <f>[1]Summary!G40</f>
        <v>1.9366847975222405E-3</v>
      </c>
      <c r="H38" s="3"/>
      <c r="I38" s="12">
        <f t="shared" si="5"/>
        <v>255951.83704900261</v>
      </c>
      <c r="J38" s="7">
        <f t="shared" si="6"/>
        <v>210396.26850809011</v>
      </c>
      <c r="K38" s="1"/>
      <c r="L38" s="1"/>
      <c r="M38" s="3"/>
      <c r="N38" s="54">
        <f t="shared" si="3"/>
        <v>0.55940000000000001</v>
      </c>
      <c r="O38" s="55">
        <f t="shared" si="4"/>
        <v>0.45989999999999998</v>
      </c>
      <c r="P38" s="55"/>
      <c r="Q38" s="94"/>
    </row>
    <row r="39" spans="1:17" ht="13.5" thickBot="1" x14ac:dyDescent="0.25">
      <c r="A39" s="128"/>
      <c r="B39" s="128" t="s">
        <v>82</v>
      </c>
      <c r="C39" s="108">
        <f>[1]Summary!C41</f>
        <v>148889412.53181222</v>
      </c>
      <c r="D39" s="150">
        <f>[1]Summary!D41</f>
        <v>429854.9891351253</v>
      </c>
      <c r="E39" s="153"/>
      <c r="F39" s="106">
        <f>[1]Summary!F41</f>
        <v>5.7212325222760103E-3</v>
      </c>
      <c r="G39" s="104">
        <f>[1]Summary!G41</f>
        <v>5.6951457203521022E-3</v>
      </c>
      <c r="H39" s="4"/>
      <c r="I39" s="44">
        <f t="shared" si="5"/>
        <v>764484.91594475182</v>
      </c>
      <c r="J39" s="45">
        <f t="shared" si="6"/>
        <v>618705.43399984576</v>
      </c>
      <c r="K39" s="11"/>
      <c r="L39" s="11"/>
      <c r="M39" s="4"/>
      <c r="N39" s="56"/>
      <c r="O39" s="57"/>
      <c r="P39" s="57">
        <f t="shared" si="7"/>
        <v>1.7785</v>
      </c>
      <c r="Q39" s="97">
        <f t="shared" si="8"/>
        <v>1.4393</v>
      </c>
    </row>
    <row r="40" spans="1:17" x14ac:dyDescent="0.2">
      <c r="A40" s="5" t="s">
        <v>86</v>
      </c>
      <c r="B40" s="117"/>
      <c r="C40" s="58"/>
      <c r="N40" s="118"/>
      <c r="O40" s="118"/>
    </row>
    <row r="41" spans="1:17" x14ac:dyDescent="0.2">
      <c r="C41" s="58"/>
    </row>
    <row r="42" spans="1:17" x14ac:dyDescent="0.2">
      <c r="C42" s="58"/>
    </row>
    <row r="43" spans="1:17" x14ac:dyDescent="0.2">
      <c r="C43" s="58"/>
    </row>
    <row r="44" spans="1:17" x14ac:dyDescent="0.2">
      <c r="B44" s="109"/>
      <c r="C44" s="58"/>
      <c r="D44" s="1"/>
    </row>
    <row r="45" spans="1:17" x14ac:dyDescent="0.2">
      <c r="B45" s="109"/>
      <c r="C45" s="58"/>
      <c r="D45" s="121"/>
    </row>
    <row r="46" spans="1:17" x14ac:dyDescent="0.2">
      <c r="B46" s="109"/>
      <c r="D46" s="1"/>
    </row>
    <row r="56" spans="4:4" x14ac:dyDescent="0.2">
      <c r="D56" s="50"/>
    </row>
    <row r="57" spans="4:4" x14ac:dyDescent="0.2">
      <c r="D57" s="50"/>
    </row>
    <row r="58" spans="4:4" x14ac:dyDescent="0.2">
      <c r="D58" s="47"/>
    </row>
    <row r="59" spans="4:4" x14ac:dyDescent="0.2">
      <c r="D59" s="47"/>
    </row>
    <row r="60" spans="4:4" x14ac:dyDescent="0.2">
      <c r="D60" s="129"/>
    </row>
    <row r="61" spans="4:4" x14ac:dyDescent="0.2">
      <c r="D61" s="165"/>
    </row>
    <row r="62" spans="4:4" x14ac:dyDescent="0.2">
      <c r="D62" s="165"/>
    </row>
    <row r="63" spans="4:4" x14ac:dyDescent="0.2">
      <c r="D63" s="47"/>
    </row>
    <row r="64" spans="4:4" x14ac:dyDescent="0.2">
      <c r="D64" s="47"/>
    </row>
    <row r="65" spans="4:4" x14ac:dyDescent="0.2">
      <c r="D65" s="50"/>
    </row>
  </sheetData>
  <mergeCells count="1">
    <mergeCell ref="D61:D62"/>
  </mergeCells>
  <phoneticPr fontId="5" type="noConversion"/>
  <dataValidations count="1">
    <dataValidation type="list" allowBlank="1" showInputMessage="1" showErrorMessage="1" sqref="I5">
      <formula1>$I$6:$I$9</formula1>
    </dataValidation>
  </dataValidations>
  <pageMargins left="0.75" right="0.75" top="1" bottom="1" header="0.5" footer="0.5"/>
  <pageSetup paperSize="17" scale="75" orientation="landscape" r:id="rId1"/>
  <headerFooter alignWithMargins="0"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36" sqref="B36"/>
    </sheetView>
  </sheetViews>
  <sheetFormatPr defaultRowHeight="12.75" x14ac:dyDescent="0.2"/>
  <cols>
    <col min="1" max="1" width="9.7109375" bestFit="1" customWidth="1"/>
    <col min="2" max="2" width="16.140625" bestFit="1" customWidth="1"/>
    <col min="3" max="3" width="15.140625" bestFit="1" customWidth="1"/>
    <col min="4" max="4" width="16" customWidth="1"/>
    <col min="5" max="5" width="16.140625" bestFit="1" customWidth="1"/>
    <col min="6" max="6" width="7.5703125" customWidth="1"/>
    <col min="9" max="9" width="10.42578125" customWidth="1"/>
    <col min="10" max="10" width="10" bestFit="1" customWidth="1"/>
    <col min="11" max="11" width="11.7109375" customWidth="1"/>
  </cols>
  <sheetData>
    <row r="1" spans="1:6" x14ac:dyDescent="0.2">
      <c r="A1" s="29" t="s">
        <v>14</v>
      </c>
      <c r="B1" s="28"/>
      <c r="C1" s="28"/>
      <c r="D1" s="28"/>
      <c r="E1" s="28"/>
    </row>
    <row r="2" spans="1:6" x14ac:dyDescent="0.2">
      <c r="A2" s="29" t="s">
        <v>73</v>
      </c>
      <c r="B2" s="28"/>
      <c r="C2" s="28"/>
      <c r="D2" s="28"/>
      <c r="E2" s="28"/>
    </row>
    <row r="4" spans="1:6" s="63" customFormat="1" ht="12.6" customHeight="1" x14ac:dyDescent="0.2">
      <c r="A4" s="166"/>
      <c r="B4" s="166" t="s">
        <v>9</v>
      </c>
      <c r="C4" s="166" t="s">
        <v>10</v>
      </c>
      <c r="D4" s="166" t="s">
        <v>11</v>
      </c>
      <c r="E4" s="166" t="s">
        <v>12</v>
      </c>
      <c r="F4" s="166" t="s">
        <v>13</v>
      </c>
    </row>
    <row r="5" spans="1:6" s="63" customFormat="1" ht="17.25" customHeight="1" x14ac:dyDescent="0.2">
      <c r="A5" s="166"/>
      <c r="B5" s="166"/>
      <c r="C5" s="166"/>
      <c r="D5" s="166"/>
      <c r="E5" s="166"/>
      <c r="F5" s="166"/>
    </row>
    <row r="6" spans="1:6" x14ac:dyDescent="0.2">
      <c r="A6" s="111" t="s">
        <v>21</v>
      </c>
      <c r="B6" s="112">
        <f>Summary!I14</f>
        <v>233443583.34156916</v>
      </c>
      <c r="C6" s="112">
        <f>Summary!J14</f>
        <v>49201559.703331783</v>
      </c>
      <c r="D6" s="112">
        <f>Summary!K14</f>
        <v>130870510.83186561</v>
      </c>
      <c r="E6" s="112">
        <f>Summary!L14</f>
        <v>413515653.87676656</v>
      </c>
      <c r="F6" s="111"/>
    </row>
    <row r="7" spans="1:6" x14ac:dyDescent="0.2">
      <c r="A7" s="111"/>
      <c r="B7" s="112"/>
      <c r="C7" s="112"/>
      <c r="D7" s="112"/>
      <c r="E7" s="112"/>
      <c r="F7" s="111"/>
    </row>
    <row r="8" spans="1:6" x14ac:dyDescent="0.2">
      <c r="A8" s="111" t="s">
        <v>25</v>
      </c>
      <c r="B8" s="112">
        <f>Summary!I16</f>
        <v>99821166.673800901</v>
      </c>
      <c r="C8" s="112">
        <f>Summary!J16</f>
        <v>18181205.880425654</v>
      </c>
      <c r="D8" s="112">
        <f>Summary!K16</f>
        <v>53253533.078013718</v>
      </c>
      <c r="E8" s="112">
        <f>Summary!L16</f>
        <v>171255905.63224027</v>
      </c>
      <c r="F8" s="113">
        <f>Summary!M16</f>
        <v>0.41414612488473512</v>
      </c>
    </row>
    <row r="9" spans="1:6" x14ac:dyDescent="0.2">
      <c r="A9" s="111"/>
      <c r="B9" s="112"/>
      <c r="C9" s="112"/>
      <c r="D9" s="112"/>
      <c r="E9" s="112"/>
      <c r="F9" s="114"/>
    </row>
    <row r="10" spans="1:6" x14ac:dyDescent="0.2">
      <c r="A10" s="111" t="s">
        <v>8</v>
      </c>
      <c r="B10" s="112">
        <f>Summary!I18</f>
        <v>133622416.66776825</v>
      </c>
      <c r="C10" s="112">
        <f>Summary!J18</f>
        <v>31020353.822906129</v>
      </c>
      <c r="D10" s="112">
        <f>Summary!K18</f>
        <v>77616977.753851891</v>
      </c>
      <c r="E10" s="112">
        <f>Summary!L18</f>
        <v>242259748.24452627</v>
      </c>
      <c r="F10" s="113">
        <f>Summary!M18</f>
        <v>0.58585387511526477</v>
      </c>
    </row>
    <row r="11" spans="1:6" x14ac:dyDescent="0.2">
      <c r="A11" s="111" t="s">
        <v>42</v>
      </c>
      <c r="B11" s="112">
        <f>Summary!I30</f>
        <v>16972851.797410529</v>
      </c>
      <c r="C11" s="112">
        <f>Summary!$G$30*Summary!J18</f>
        <v>3936098.646086812</v>
      </c>
      <c r="D11" s="112">
        <f>Summary!$G$30*Summary!K18</f>
        <v>9848633.0231569633</v>
      </c>
      <c r="E11" s="112">
        <f>SUM(B11:D11)</f>
        <v>30757583.466654304</v>
      </c>
      <c r="F11" s="115"/>
    </row>
    <row r="12" spans="1:6" x14ac:dyDescent="0.2">
      <c r="A12" s="111" t="s">
        <v>37</v>
      </c>
      <c r="B12" s="112">
        <f>Summary!I25</f>
        <v>38629614.985034108</v>
      </c>
      <c r="C12" s="112">
        <f>Summary!$G25*Summary!J18</f>
        <v>8943455.9322385043</v>
      </c>
      <c r="D12" s="112">
        <f>Summary!$G25*Summary!K18</f>
        <v>22377695.112636797</v>
      </c>
      <c r="E12" s="112">
        <f t="shared" ref="E12:E18" si="0">SUM(B12:D12)</f>
        <v>69950766.029909402</v>
      </c>
      <c r="F12" s="111"/>
    </row>
    <row r="13" spans="1:6" x14ac:dyDescent="0.2">
      <c r="A13" s="111" t="s">
        <v>38</v>
      </c>
      <c r="B13" s="112">
        <f>Summary!I26</f>
        <v>33233496.927248646</v>
      </c>
      <c r="C13" s="112">
        <f>Summary!$G26*Summary!J18</f>
        <v>7676456.0142783346</v>
      </c>
      <c r="D13" s="112">
        <f>Summary!$G26*Summary!K18</f>
        <v>19207495.797442991</v>
      </c>
      <c r="E13" s="112">
        <f t="shared" si="0"/>
        <v>60117448.738969967</v>
      </c>
      <c r="F13" s="111"/>
    </row>
    <row r="14" spans="1:6" x14ac:dyDescent="0.2">
      <c r="A14" s="111" t="s">
        <v>39</v>
      </c>
      <c r="B14" s="112">
        <f>Summary!I27</f>
        <v>3869856.4503452638</v>
      </c>
      <c r="C14" s="112">
        <f>Summary!$G27*Summary!J18</f>
        <v>901307.30528240046</v>
      </c>
      <c r="D14" s="112">
        <f>Summary!$G27*Summary!K18</f>
        <v>2255188.6243099724</v>
      </c>
      <c r="E14" s="112">
        <f t="shared" si="0"/>
        <v>7026352.3799376357</v>
      </c>
      <c r="F14" s="111"/>
    </row>
    <row r="15" spans="1:6" x14ac:dyDescent="0.2">
      <c r="A15" s="111" t="s">
        <v>41</v>
      </c>
      <c r="B15" s="112">
        <f>Summary!I29</f>
        <v>3649252.641059672</v>
      </c>
      <c r="C15" s="112">
        <f>Summary!$G29*Summary!J18</f>
        <v>841217.15951082192</v>
      </c>
      <c r="D15" s="112">
        <f>Summary!$G29*Summary!K18</f>
        <v>2104835.2294323705</v>
      </c>
      <c r="E15" s="112">
        <f t="shared" si="0"/>
        <v>6595305.0300028641</v>
      </c>
      <c r="F15" s="111"/>
    </row>
    <row r="16" spans="1:6" x14ac:dyDescent="0.2">
      <c r="A16" s="111" t="s">
        <v>40</v>
      </c>
      <c r="B16" s="112">
        <f>Summary!I28</f>
        <v>5917132.7677393043</v>
      </c>
      <c r="C16" s="112">
        <f>Summary!$G28*Summary!J18</f>
        <v>1368028.2610714873</v>
      </c>
      <c r="D16" s="112">
        <f>Summary!$G28*Summary!K18</f>
        <v>3422985.427968232</v>
      </c>
      <c r="E16" s="112">
        <f t="shared" si="0"/>
        <v>10708146.456779024</v>
      </c>
      <c r="F16" s="111"/>
    </row>
    <row r="17" spans="1:6" x14ac:dyDescent="0.2">
      <c r="A17" s="111" t="s">
        <v>36</v>
      </c>
      <c r="B17" s="112">
        <f>Summary!I24</f>
        <v>12179383.771242809</v>
      </c>
      <c r="C17" s="112">
        <f>Summary!$G24*Summary!J18</f>
        <v>2846464.6700861603</v>
      </c>
      <c r="D17" s="112">
        <f>Summary!$G24*Summary!K18</f>
        <v>7122226.4657748761</v>
      </c>
      <c r="E17" s="112">
        <f t="shared" si="0"/>
        <v>22148074.907103844</v>
      </c>
      <c r="F17" s="111"/>
    </row>
    <row r="18" spans="1:6" x14ac:dyDescent="0.2">
      <c r="A18" s="111" t="s">
        <v>35</v>
      </c>
      <c r="B18" s="112">
        <f>Summary!I23</f>
        <v>12547606.801939122</v>
      </c>
      <c r="C18" s="112">
        <f>Summary!$G23*Summary!J18</f>
        <v>2909566.0884532742</v>
      </c>
      <c r="D18" s="112">
        <f>Summary!$G23*Summary!K18</f>
        <v>7280114.4580781795</v>
      </c>
      <c r="E18" s="112">
        <f t="shared" si="0"/>
        <v>22737287.348470576</v>
      </c>
      <c r="F18" s="111"/>
    </row>
    <row r="19" spans="1:6" x14ac:dyDescent="0.2">
      <c r="A19" s="111" t="s">
        <v>52</v>
      </c>
      <c r="B19" s="112">
        <f>Summary!I22</f>
        <v>130765.61336525108</v>
      </c>
      <c r="C19" s="112">
        <f>Summary!$G$22*Summary!J18</f>
        <v>32364.822711920177</v>
      </c>
      <c r="D19" s="112">
        <f>Summary!$G$22*Summary!K18</f>
        <v>80981.014555143702</v>
      </c>
      <c r="E19" s="112">
        <f>SUM(B19:D19)</f>
        <v>244111.45063231495</v>
      </c>
      <c r="F19" s="111"/>
    </row>
    <row r="20" spans="1:6" x14ac:dyDescent="0.2">
      <c r="A20" s="111" t="s">
        <v>0</v>
      </c>
      <c r="B20" s="112">
        <f>Summary!I32</f>
        <v>85989.382401097013</v>
      </c>
      <c r="C20" s="112">
        <f>Summary!$G32*Summary!J18</f>
        <v>23310.272781513799</v>
      </c>
      <c r="D20" s="112">
        <f>Summary!$G32*Summary!K18</f>
        <v>58325.34774580707</v>
      </c>
      <c r="E20" s="112">
        <f>SUM(B20:D20)</f>
        <v>167625.00292841787</v>
      </c>
      <c r="F20" s="111"/>
    </row>
    <row r="21" spans="1:6" x14ac:dyDescent="0.2">
      <c r="A21" s="111" t="s">
        <v>72</v>
      </c>
      <c r="B21" s="112">
        <f>Summary!I31</f>
        <v>556409.04098664178</v>
      </c>
      <c r="C21" s="112">
        <f>Summary!G31*Summary!J18</f>
        <v>150096.006886669</v>
      </c>
      <c r="D21" s="112">
        <f>Summary!G31*Summary!K18</f>
        <v>375559.81772399921</v>
      </c>
      <c r="E21" s="112">
        <f>SUM(B21:D21)</f>
        <v>1082064.86559731</v>
      </c>
      <c r="F21" s="111"/>
    </row>
    <row r="22" spans="1:6" x14ac:dyDescent="0.2">
      <c r="A22" s="111" t="s">
        <v>45</v>
      </c>
      <c r="B22" s="112">
        <f>Summary!I33</f>
        <v>133378.3144453736</v>
      </c>
      <c r="C22" s="112">
        <f>Summary!G33*Summary!J18</f>
        <v>30729.2766721599</v>
      </c>
      <c r="D22" s="112">
        <f>Summary!G33*Summary!K18</f>
        <v>76888.664696460459</v>
      </c>
      <c r="E22" s="112">
        <f t="shared" ref="E22" si="1">SUM(B22:D22)</f>
        <v>240996.25581399398</v>
      </c>
      <c r="F22" s="111"/>
    </row>
    <row r="23" spans="1:6" x14ac:dyDescent="0.2">
      <c r="A23" s="116" t="s">
        <v>74</v>
      </c>
      <c r="B23" s="112">
        <f>Summary!I34</f>
        <v>2166990.5371017149</v>
      </c>
      <c r="C23" s="112">
        <f>Summary!G34*Summary!$J$18</f>
        <v>527217.2956187696</v>
      </c>
      <c r="D23" s="112">
        <f>Summary!G34*Summary!$K$18</f>
        <v>1319166.5491342978</v>
      </c>
      <c r="E23" s="112">
        <f t="shared" ref="E23" si="2">SUM(B23:D23)</f>
        <v>4013374.3818547823</v>
      </c>
      <c r="F23" s="111"/>
    </row>
    <row r="24" spans="1:6" x14ac:dyDescent="0.2">
      <c r="A24" s="116" t="s">
        <v>75</v>
      </c>
      <c r="B24" s="112">
        <f>Summary!I35</f>
        <v>582150.83757787617</v>
      </c>
      <c r="C24" s="112">
        <f>Summary!G35*Summary!$J$18</f>
        <v>137559.88343411626</v>
      </c>
      <c r="D24" s="112">
        <f>Summary!G35*Summary!$K$18</f>
        <v>344192.7991306191</v>
      </c>
      <c r="E24" s="112">
        <f t="shared" ref="E24:E28" si="3">SUM(B24:D24)</f>
        <v>1063903.5201426116</v>
      </c>
      <c r="F24" s="111"/>
    </row>
    <row r="25" spans="1:6" x14ac:dyDescent="0.2">
      <c r="A25" s="116" t="s">
        <v>76</v>
      </c>
      <c r="B25" s="112">
        <f>Summary!I36</f>
        <v>1226618.3675144131</v>
      </c>
      <c r="C25" s="112">
        <f>Summary!G36*Summary!$J$18</f>
        <v>286153.64914567256</v>
      </c>
      <c r="D25" s="112">
        <f>Summary!G36*Summary!$K$18</f>
        <v>715993.81318218738</v>
      </c>
      <c r="E25" s="112">
        <f t="shared" si="3"/>
        <v>2228765.8298422731</v>
      </c>
      <c r="F25" s="111"/>
    </row>
    <row r="26" spans="1:6" x14ac:dyDescent="0.2">
      <c r="A26" s="116" t="s">
        <v>77</v>
      </c>
      <c r="B26" s="112">
        <f>Summary!I37</f>
        <v>720481.67936263059</v>
      </c>
      <c r="C26" s="112">
        <f>Summary!G37*Summary!$J$18</f>
        <v>173586.45566659435</v>
      </c>
      <c r="D26" s="112">
        <f>Summary!G37*Summary!$K$18</f>
        <v>434335.98935596581</v>
      </c>
      <c r="E26" s="112">
        <f t="shared" si="3"/>
        <v>1328404.1243851907</v>
      </c>
      <c r="F26" s="111"/>
    </row>
    <row r="27" spans="1:6" x14ac:dyDescent="0.2">
      <c r="A27" s="116" t="s">
        <v>78</v>
      </c>
      <c r="B27" s="112">
        <f>Summary!I38</f>
        <v>255951.83704900261</v>
      </c>
      <c r="C27" s="112">
        <f>Summary!G38*Summary!$J$18</f>
        <v>60076.647662583215</v>
      </c>
      <c r="D27" s="112">
        <f>Summary!G38*Summary!$K$18</f>
        <v>150319.6208455069</v>
      </c>
      <c r="E27" s="112">
        <f t="shared" si="3"/>
        <v>466348.1055570927</v>
      </c>
      <c r="F27" s="111"/>
    </row>
    <row r="28" spans="1:6" x14ac:dyDescent="0.2">
      <c r="A28" s="116" t="s">
        <v>79</v>
      </c>
      <c r="B28" s="112">
        <f>Summary!I39</f>
        <v>764484.91594475182</v>
      </c>
      <c r="C28" s="112">
        <f>Summary!G39*Summary!$J$18</f>
        <v>176665.43531833182</v>
      </c>
      <c r="D28" s="112">
        <f>Summary!G39*Summary!$K$18</f>
        <v>442039.99868151394</v>
      </c>
      <c r="E28" s="112">
        <f t="shared" si="3"/>
        <v>1383190.3499445976</v>
      </c>
      <c r="F28" s="111"/>
    </row>
  </sheetData>
  <mergeCells count="6">
    <mergeCell ref="F4:F5"/>
    <mergeCell ref="A4:A5"/>
    <mergeCell ref="B4:B5"/>
    <mergeCell ref="C4:C5"/>
    <mergeCell ref="D4:D5"/>
    <mergeCell ref="E4:E5"/>
  </mergeCells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A30" sqref="A30"/>
    </sheetView>
  </sheetViews>
  <sheetFormatPr defaultRowHeight="12.75" x14ac:dyDescent="0.2"/>
  <cols>
    <col min="1" max="1" width="39.42578125" customWidth="1"/>
    <col min="2" max="2" width="12.5703125" customWidth="1"/>
    <col min="3" max="3" width="16.5703125" customWidth="1"/>
    <col min="4" max="4" width="10.42578125" customWidth="1"/>
    <col min="5" max="5" width="16.140625" customWidth="1"/>
  </cols>
  <sheetData>
    <row r="1" spans="1:7" x14ac:dyDescent="0.2">
      <c r="A1" s="29" t="s">
        <v>15</v>
      </c>
      <c r="B1" s="28"/>
      <c r="C1" s="28"/>
      <c r="D1" s="28"/>
      <c r="E1" s="28"/>
    </row>
    <row r="2" spans="1:7" x14ac:dyDescent="0.2">
      <c r="A2" s="29" t="s">
        <v>61</v>
      </c>
      <c r="B2" s="28"/>
      <c r="C2" s="28"/>
      <c r="D2" s="28"/>
      <c r="E2" s="28"/>
    </row>
    <row r="4" spans="1:7" ht="13.15" customHeight="1" x14ac:dyDescent="0.2">
      <c r="A4" s="173" t="s">
        <v>16</v>
      </c>
      <c r="B4" s="38" t="s">
        <v>59</v>
      </c>
      <c r="C4" s="39"/>
      <c r="D4" s="38" t="s">
        <v>60</v>
      </c>
      <c r="E4" s="39"/>
    </row>
    <row r="5" spans="1:7" ht="13.15" customHeight="1" x14ac:dyDescent="0.2">
      <c r="A5" s="174"/>
      <c r="B5" s="40" t="s">
        <v>22</v>
      </c>
      <c r="C5" s="40" t="s">
        <v>51</v>
      </c>
      <c r="D5" s="40" t="s">
        <v>22</v>
      </c>
      <c r="E5" s="40" t="s">
        <v>51</v>
      </c>
    </row>
    <row r="6" spans="1:7" x14ac:dyDescent="0.2">
      <c r="A6" s="37" t="s">
        <v>62</v>
      </c>
      <c r="B6" s="98">
        <f>'[2]DRO Exhibit 3.4'!$J$12</f>
        <v>6.6949999999999996E-3</v>
      </c>
      <c r="C6" s="98">
        <f>'[2]DRO Exhibit 3.4'!$K$12</f>
        <v>4.7489999999999997E-3</v>
      </c>
      <c r="D6" s="60">
        <f>Summary!N30/100</f>
        <v>7.7370000000000008E-3</v>
      </c>
      <c r="E6" s="60">
        <f>Summary!O30/100</f>
        <v>6.2839999999999997E-3</v>
      </c>
      <c r="F6" s="51"/>
    </row>
    <row r="7" spans="1:7" x14ac:dyDescent="0.2">
      <c r="A7" s="37" t="s">
        <v>63</v>
      </c>
      <c r="B7" s="98">
        <f>'[2]DRO Exhibit 3.4'!$J$13</f>
        <v>6.4440000000000001E-3</v>
      </c>
      <c r="C7" s="98">
        <f>'[2]DRO Exhibit 3.4'!$K$13</f>
        <v>4.7239999999999999E-3</v>
      </c>
      <c r="D7" s="60">
        <f>Summary!N25/100</f>
        <v>7.2219999999999993E-3</v>
      </c>
      <c r="E7" s="60">
        <f>Summary!O25/100</f>
        <v>5.8560000000000001E-3</v>
      </c>
      <c r="F7" s="51"/>
    </row>
    <row r="8" spans="1:7" x14ac:dyDescent="0.2">
      <c r="A8" s="37" t="s">
        <v>64</v>
      </c>
      <c r="B8" s="98">
        <f>'[2]DRO Exhibit 3.4'!$J$14</f>
        <v>6.1980000000000004E-3</v>
      </c>
      <c r="C8" s="98">
        <f>'[2]DRO Exhibit 3.4'!$K$14</f>
        <v>4.3940000000000003E-3</v>
      </c>
      <c r="D8" s="60">
        <f>Summary!N26/100</f>
        <v>6.7949999999999998E-3</v>
      </c>
      <c r="E8" s="60">
        <f>Summary!O26/100</f>
        <v>5.4969999999999993E-3</v>
      </c>
      <c r="F8" s="51"/>
    </row>
    <row r="9" spans="1:7" x14ac:dyDescent="0.2">
      <c r="A9" s="37" t="s">
        <v>46</v>
      </c>
      <c r="B9" s="98">
        <f>'[2]DRO Exhibit 3.4'!$J$15</f>
        <v>5.1190000000000003E-3</v>
      </c>
      <c r="C9" s="98">
        <f>'[2]DRO Exhibit 3.4'!$K$15</f>
        <v>4.1960000000000001E-3</v>
      </c>
      <c r="D9" s="60">
        <f>Summary!N27/100</f>
        <v>5.7889999999999999E-3</v>
      </c>
      <c r="E9" s="60">
        <f>Summary!O27/100</f>
        <v>4.7220000000000005E-3</v>
      </c>
      <c r="F9" s="51"/>
    </row>
    <row r="10" spans="1:7" x14ac:dyDescent="0.2">
      <c r="A10" s="37" t="s">
        <v>47</v>
      </c>
      <c r="B10" s="98">
        <f>'[2]DRO Exhibit 3.4'!$J$16</f>
        <v>6.3649999999999991E-3</v>
      </c>
      <c r="C10" s="98">
        <f>'[2]DRO Exhibit 3.4'!$K$16</f>
        <v>3.9810000000000002E-3</v>
      </c>
      <c r="D10" s="60">
        <f>Summary!N29/100</f>
        <v>5.8069999999999997E-3</v>
      </c>
      <c r="E10" s="60">
        <f>Summary!O29/100</f>
        <v>4.6880000000000003E-3</v>
      </c>
      <c r="F10" s="51"/>
    </row>
    <row r="11" spans="1:7" x14ac:dyDescent="0.2">
      <c r="A11" s="37" t="s">
        <v>50</v>
      </c>
      <c r="B11" s="98">
        <f>'[2]DRO Exhibit 3.4'!$J$17</f>
        <v>2.0123000000000002</v>
      </c>
      <c r="C11" s="98">
        <f>'[2]DRO Exhibit 3.4'!$K$17</f>
        <v>1.3239000000000001</v>
      </c>
      <c r="D11" s="60">
        <f>Summary!P28</f>
        <v>2.0331999999999999</v>
      </c>
      <c r="E11" s="60">
        <f>Summary!Q28</f>
        <v>1.6462000000000001</v>
      </c>
      <c r="F11" s="51"/>
    </row>
    <row r="12" spans="1:7" x14ac:dyDescent="0.2">
      <c r="A12" s="37" t="s">
        <v>48</v>
      </c>
      <c r="B12" s="98">
        <f>'[2]DRO Exhibit 3.4'!$J$18</f>
        <v>5.8530000000000006E-3</v>
      </c>
      <c r="C12" s="98">
        <f>'[2]DRO Exhibit 3.4'!$K$18</f>
        <v>3.7830000000000003E-3</v>
      </c>
      <c r="D12" s="60">
        <f>Summary!N24/100</f>
        <v>5.5079999999999999E-3</v>
      </c>
      <c r="E12" s="60">
        <f>Summary!O24/100</f>
        <v>4.5079999999999999E-3</v>
      </c>
      <c r="F12" s="51"/>
    </row>
    <row r="13" spans="1:7" x14ac:dyDescent="0.2">
      <c r="A13" s="37" t="s">
        <v>54</v>
      </c>
      <c r="B13" s="98">
        <f>'[2]DRO Exhibit 3.4'!$J$19</f>
        <v>1.6048</v>
      </c>
      <c r="C13" s="98">
        <f>'[2]DRO Exhibit 3.4'!$K$19</f>
        <v>1.0743</v>
      </c>
      <c r="D13" s="60">
        <f>Summary!P23</f>
        <v>1.4993000000000001</v>
      </c>
      <c r="E13" s="60">
        <f>Summary!Q23</f>
        <v>1.2175</v>
      </c>
      <c r="F13" s="51"/>
    </row>
    <row r="14" spans="1:7" x14ac:dyDescent="0.2">
      <c r="A14" s="37" t="s">
        <v>17</v>
      </c>
      <c r="B14" s="98">
        <f>'[2]DRO Exhibit 3.4'!$J$20</f>
        <v>0.52300000000000002</v>
      </c>
      <c r="C14" s="98">
        <f>'[2]DRO Exhibit 3.4'!$K$20</f>
        <v>0.33489999999999998</v>
      </c>
      <c r="D14" s="60">
        <f>Summary!P22</f>
        <v>0.60270000000000001</v>
      </c>
      <c r="E14" s="60">
        <f>Summary!Q22</f>
        <v>0.52239999999999998</v>
      </c>
      <c r="F14" s="51"/>
    </row>
    <row r="15" spans="1:7" x14ac:dyDescent="0.2">
      <c r="A15" s="41" t="s">
        <v>49</v>
      </c>
      <c r="B15" s="99">
        <f>'[2]DRO Exhibit 3.4'!$J$21</f>
        <v>4.6589999999999999E-3</v>
      </c>
      <c r="C15" s="98">
        <f>'[2]DRO Exhibit 3.4'!$K$21</f>
        <v>3.0969999999999999E-3</v>
      </c>
      <c r="D15" s="61">
        <f>Summary!N33/100</f>
        <v>4.6629999999999996E-3</v>
      </c>
      <c r="E15" s="61">
        <f>Summary!O33/100</f>
        <v>3.7619999999999997E-3</v>
      </c>
      <c r="F15" s="51"/>
      <c r="G15" s="1"/>
    </row>
    <row r="16" spans="1:7" x14ac:dyDescent="0.2">
      <c r="A16" s="41" t="s">
        <v>70</v>
      </c>
      <c r="B16" s="99">
        <f>'[2]DRO Exhibit 3.4'!$J$22</f>
        <v>4.5019999999999999E-3</v>
      </c>
      <c r="C16" s="98">
        <f>'[2]DRO Exhibit 3.4'!$K$22</f>
        <v>2.7360000000000002E-3</v>
      </c>
      <c r="D16" s="61">
        <f>Summary!N31/100</f>
        <v>3.836E-3</v>
      </c>
      <c r="E16" s="60">
        <f>Summary!O31/100</f>
        <v>3.6240000000000001E-3</v>
      </c>
      <c r="F16" s="51"/>
      <c r="G16" s="1"/>
    </row>
    <row r="17" spans="1:7" x14ac:dyDescent="0.2">
      <c r="A17" s="41" t="s">
        <v>71</v>
      </c>
      <c r="B17" s="99">
        <f>B16</f>
        <v>4.5019999999999999E-3</v>
      </c>
      <c r="C17" s="110">
        <f>C16</f>
        <v>2.7360000000000002E-3</v>
      </c>
      <c r="D17" s="61">
        <f>Summary!N32/100</f>
        <v>3.8229999999999996E-3</v>
      </c>
      <c r="E17" s="61">
        <f>Summary!O32/100</f>
        <v>3.6289999999999998E-3</v>
      </c>
      <c r="F17" s="51"/>
      <c r="G17" s="1"/>
    </row>
    <row r="18" spans="1:7" x14ac:dyDescent="0.2">
      <c r="A18" s="120" t="s">
        <v>84</v>
      </c>
      <c r="B18" s="99">
        <f>'[3]H1-01-01'!B363</f>
        <v>6.6555783260850744E-3</v>
      </c>
      <c r="C18" s="99">
        <f>'[3]H1-01-01'!C363</f>
        <v>2.3549998304980366E-3</v>
      </c>
      <c r="D18" s="61">
        <f>Summary!N34/100</f>
        <v>7.0730000000000003E-3</v>
      </c>
      <c r="E18" s="61">
        <f>Summary!O34/100</f>
        <v>6.0260000000000001E-3</v>
      </c>
      <c r="F18" s="51"/>
      <c r="G18" s="121"/>
    </row>
    <row r="19" spans="1:7" x14ac:dyDescent="0.2">
      <c r="A19" s="37" t="s">
        <v>68</v>
      </c>
      <c r="B19" s="99">
        <f>'[3]H1-01-01'!B364</f>
        <v>6.0887645991775114E-3</v>
      </c>
      <c r="C19" s="99">
        <f>'[3]H1-01-01'!C364</f>
        <v>4.0345989777267974E-3</v>
      </c>
      <c r="D19" s="61">
        <f>Summary!N35/100</f>
        <v>5.2719999999999998E-3</v>
      </c>
      <c r="E19" s="61">
        <f>Summary!O35/100</f>
        <v>4.3630000000000006E-3</v>
      </c>
      <c r="F19" s="51"/>
      <c r="G19" s="121"/>
    </row>
    <row r="20" spans="1:7" x14ac:dyDescent="0.2">
      <c r="A20" s="37" t="s">
        <v>69</v>
      </c>
      <c r="B20" s="99">
        <f>'[3]H1-01-01'!B365</f>
        <v>2.3797976717825513</v>
      </c>
      <c r="C20" s="99">
        <f>'[3]H1-01-01'!C365</f>
        <v>1.578510851370343</v>
      </c>
      <c r="D20" s="61">
        <f>Summary!P36</f>
        <v>1.7498</v>
      </c>
      <c r="E20" s="61">
        <f>Summary!Q36</f>
        <v>1.4296</v>
      </c>
      <c r="F20" s="51"/>
      <c r="G20" s="121"/>
    </row>
    <row r="21" spans="1:7" x14ac:dyDescent="0.2">
      <c r="A21" s="41" t="s">
        <v>65</v>
      </c>
      <c r="B21" s="99">
        <f>'[3]H1-01-01'!B360</f>
        <v>7.1999999999999998E-3</v>
      </c>
      <c r="C21" s="99">
        <f>'[3]H1-01-01'!C360</f>
        <v>5.5688910375990336E-3</v>
      </c>
      <c r="D21" s="61">
        <f>Summary!N37/100</f>
        <v>7.3450000000000008E-3</v>
      </c>
      <c r="E21" s="61">
        <f>Summary!O37/100</f>
        <v>6.1970000000000003E-3</v>
      </c>
      <c r="F21" s="51"/>
      <c r="G21" s="121"/>
    </row>
    <row r="22" spans="1:7" x14ac:dyDescent="0.2">
      <c r="A22" s="37" t="s">
        <v>66</v>
      </c>
      <c r="B22" s="99">
        <f>'[3]H1-01-01'!B361</f>
        <v>6.4999999999999997E-3</v>
      </c>
      <c r="C22" s="99">
        <f>'[3]H1-01-01'!C361</f>
        <v>5.2595081845627977E-3</v>
      </c>
      <c r="D22" s="61">
        <f>Summary!N38/100</f>
        <v>5.594E-3</v>
      </c>
      <c r="E22" s="61">
        <f>Summary!O38/100</f>
        <v>4.5989999999999998E-3</v>
      </c>
      <c r="F22" s="51"/>
      <c r="G22" s="121"/>
    </row>
    <row r="23" spans="1:7" x14ac:dyDescent="0.2">
      <c r="A23" s="37" t="s">
        <v>67</v>
      </c>
      <c r="B23" s="99">
        <f>'[3]H1-01-01'!B362</f>
        <v>2.6779482262703742</v>
      </c>
      <c r="C23" s="99">
        <f>'[3]H1-01-01'!C362</f>
        <v>2.1539136095185527</v>
      </c>
      <c r="D23" s="61">
        <f>Summary!P39</f>
        <v>1.7785</v>
      </c>
      <c r="E23" s="61">
        <f>Summary!Q39</f>
        <v>1.4393</v>
      </c>
      <c r="F23" s="51"/>
      <c r="G23" s="121"/>
    </row>
    <row r="24" spans="1:7" x14ac:dyDescent="0.2">
      <c r="A24" s="171" t="s">
        <v>18</v>
      </c>
      <c r="B24" s="167">
        <f>'[2]DRO Exhibit 3.4'!$J$9</f>
        <v>3.1941999999999999</v>
      </c>
      <c r="C24" s="42" t="str">
        <f>'[2]DRO Exhibit 3.4'!$K$9</f>
        <v>0.771 Line</v>
      </c>
      <c r="D24" s="169">
        <f>Summary!N16</f>
        <v>3.4203999999999999</v>
      </c>
      <c r="E24" s="62" t="str">
        <f>ROUND(Summary!O16,4)&amp;" Line"</f>
        <v>0.7486 Line</v>
      </c>
      <c r="F24" s="51"/>
      <c r="G24" s="1"/>
    </row>
    <row r="25" spans="1:7" x14ac:dyDescent="0.2">
      <c r="A25" s="172"/>
      <c r="B25" s="168"/>
      <c r="C25" s="42" t="str">
        <f>'[2]DRO Exhibit 3.4'!$K$10</f>
        <v>1.7493 Transf.</v>
      </c>
      <c r="D25" s="170"/>
      <c r="E25" s="59" t="str">
        <f>FIXED(ROUND(Summary!P16,4),4)&amp;" Transf."</f>
        <v>1.8156 Transf.</v>
      </c>
      <c r="G25" s="1"/>
    </row>
    <row r="26" spans="1:7" x14ac:dyDescent="0.2">
      <c r="A26" s="30" t="s">
        <v>19</v>
      </c>
      <c r="G26" s="1"/>
    </row>
    <row r="27" spans="1:7" x14ac:dyDescent="0.2">
      <c r="A27" s="30" t="s">
        <v>20</v>
      </c>
    </row>
    <row r="28" spans="1:7" x14ac:dyDescent="0.2">
      <c r="A28" s="175" t="s">
        <v>91</v>
      </c>
    </row>
    <row r="29" spans="1:7" x14ac:dyDescent="0.2">
      <c r="A29" t="s">
        <v>92</v>
      </c>
    </row>
  </sheetData>
  <mergeCells count="4">
    <mergeCell ref="B24:B25"/>
    <mergeCell ref="D24:D25"/>
    <mergeCell ref="A24:A25"/>
    <mergeCell ref="A4:A5"/>
  </mergeCells>
  <phoneticPr fontId="5" type="noConversion"/>
  <pageMargins left="0.75" right="0.75" top="1" bottom="1" header="0.5" footer="0.5"/>
  <pageSetup paperSize="17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7C2281A5-2FAE-470A-AAD5-1E5D890D39C5}"/>
</file>

<file path=customXml/itemProps2.xml><?xml version="1.0" encoding="utf-8"?>
<ds:datastoreItem xmlns:ds="http://schemas.openxmlformats.org/officeDocument/2006/customXml" ds:itemID="{1E0C490F-06EF-4129-8C6F-385172C0FF62}"/>
</file>

<file path=customXml/itemProps3.xml><?xml version="1.0" encoding="utf-8"?>
<ds:datastoreItem xmlns:ds="http://schemas.openxmlformats.org/officeDocument/2006/customXml" ds:itemID="{EBC918EF-7456-46A7-A69A-4AED1BE44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H1-01-01 Table1</vt:lpstr>
      <vt:lpstr>H1-01-01 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Susan</dc:creator>
  <cp:lastModifiedBy>Clement Li</cp:lastModifiedBy>
  <cp:lastPrinted>2017-03-17T12:08:00Z</cp:lastPrinted>
  <dcterms:created xsi:type="dcterms:W3CDTF">2009-06-17T18:19:45Z</dcterms:created>
  <dcterms:modified xsi:type="dcterms:W3CDTF">2017-05-02T17:44:48Z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</Properties>
</file>