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165" windowWidth="12015" windowHeight="12285" tabRatio="942" firstSheet="38"/>
  </bookViews>
  <sheets>
    <sheet name="Data for Bill Impacts" sheetId="3" r:id="rId1"/>
    <sheet name="Bill Impact Summary" sheetId="7" r:id="rId2"/>
    <sheet name="BI_UR_Low" sheetId="4" r:id="rId3"/>
    <sheet name="BI_UR_Typical" sheetId="46" r:id="rId4"/>
    <sheet name="BI_UR_Avg" sheetId="112" r:id="rId5"/>
    <sheet name="BI_UR_High" sheetId="47" r:id="rId6"/>
    <sheet name="BI_R1_Low" sheetId="48" r:id="rId7"/>
    <sheet name="BI_R1_Typical" sheetId="49" r:id="rId8"/>
    <sheet name="BI_R1_Avg" sheetId="113" r:id="rId9"/>
    <sheet name="BI_R1_High" sheetId="50" r:id="rId10"/>
    <sheet name="BI_R2_Low" sheetId="51" r:id="rId11"/>
    <sheet name="BI_R2_Typical" sheetId="52" r:id="rId12"/>
    <sheet name="BI_R2_Avg" sheetId="114" r:id="rId13"/>
    <sheet name="BI_R2_High" sheetId="53" r:id="rId14"/>
    <sheet name="BI_Seas_Low" sheetId="54" r:id="rId15"/>
    <sheet name="BI_Seas_Typical" sheetId="104" r:id="rId16"/>
    <sheet name="BI_Seas_Avg" sheetId="115" r:id="rId17"/>
    <sheet name="BI_Seas_High" sheetId="56" r:id="rId18"/>
    <sheet name="BI_UGe_Low" sheetId="60" r:id="rId19"/>
    <sheet name="BI_UGe_Typical" sheetId="61" r:id="rId20"/>
    <sheet name="BI_UGe_Avg" sheetId="116" r:id="rId21"/>
    <sheet name="BI_UGe_High" sheetId="62" r:id="rId22"/>
    <sheet name="BI_GSe_Low" sheetId="57" r:id="rId23"/>
    <sheet name="BI_GSe_Typical" sheetId="58" r:id="rId24"/>
    <sheet name="BI_GSe_Avg" sheetId="117" r:id="rId25"/>
    <sheet name="BI_GSe_High" sheetId="59" r:id="rId26"/>
    <sheet name="BI_UGd_Low" sheetId="73" r:id="rId27"/>
    <sheet name="BI_UGd_Avg" sheetId="74" r:id="rId28"/>
    <sheet name="BI_UGd_High" sheetId="75" r:id="rId29"/>
    <sheet name="BI_GSd_Low" sheetId="5" r:id="rId30"/>
    <sheet name="BI_GSd_Avg" sheetId="71" r:id="rId31"/>
    <sheet name="BI_GSd_High" sheetId="72" r:id="rId32"/>
    <sheet name="BI_DGen_Low" sheetId="76" r:id="rId33"/>
    <sheet name="BI_DGen_Avg" sheetId="77" r:id="rId34"/>
    <sheet name="BI_DGen_High" sheetId="78" r:id="rId35"/>
    <sheet name="BI_ST_Low" sheetId="79" r:id="rId36"/>
    <sheet name="BI_ST_Avg" sheetId="80" r:id="rId37"/>
    <sheet name="BI_ST_High" sheetId="81" r:id="rId38"/>
    <sheet name="BI_USL_Low" sheetId="68" r:id="rId39"/>
    <sheet name="BI_USL_Avg" sheetId="69" r:id="rId40"/>
    <sheet name="BI_USL_High" sheetId="70" r:id="rId41"/>
    <sheet name="BI_SenLgt_Low" sheetId="65" r:id="rId42"/>
    <sheet name="BI_SenLgt_Avg" sheetId="66" r:id="rId43"/>
    <sheet name="BI_SenLgt_High" sheetId="67" r:id="rId44"/>
    <sheet name="BI_StLgt_Low" sheetId="25" r:id="rId45"/>
    <sheet name="BI_StLgt_Avg" sheetId="63" r:id="rId46"/>
    <sheet name="BI_StLgt_High" sheetId="64" r:id="rId47"/>
  </sheets>
  <externalReferences>
    <externalReference r:id="rId48"/>
    <externalReference r:id="rId49"/>
    <externalReference r:id="rId50"/>
    <externalReference r:id="rId51"/>
    <externalReference r:id="rId52"/>
    <externalReference r:id="rId53"/>
    <externalReference r:id="rId54"/>
    <externalReference r:id="rId55"/>
  </externalReferences>
  <definedNames>
    <definedName name="_xlnm.Print_Area" localSheetId="33">BI_DGen_Avg!$A$1:$J$38</definedName>
    <definedName name="_xlnm.Print_Area" localSheetId="1">'Bill Impact Summary'!$A$1:$I$46</definedName>
  </definedNames>
  <calcPr calcId="145621"/>
</workbook>
</file>

<file path=xl/calcChain.xml><?xml version="1.0" encoding="utf-8"?>
<calcChain xmlns="http://schemas.openxmlformats.org/spreadsheetml/2006/main">
  <c r="S15" i="3" l="1"/>
  <c r="Q15" i="3" l="1"/>
  <c r="D31" i="3" l="1"/>
  <c r="C31" i="3"/>
  <c r="D30" i="3"/>
  <c r="C30" i="3"/>
  <c r="D29" i="3"/>
  <c r="C29" i="3"/>
  <c r="D28" i="3"/>
  <c r="C28" i="3"/>
  <c r="C27" i="3"/>
  <c r="C26" i="3"/>
  <c r="C25" i="3"/>
  <c r="C24" i="3"/>
  <c r="C23" i="3"/>
  <c r="C22" i="3"/>
  <c r="C21" i="3"/>
  <c r="C20" i="3"/>
  <c r="C19" i="3"/>
  <c r="W15" i="3" l="1"/>
  <c r="V15" i="3"/>
  <c r="U15" i="3"/>
  <c r="W14" i="3"/>
  <c r="V14" i="3"/>
  <c r="U14" i="3"/>
  <c r="W13" i="3"/>
  <c r="V13" i="3"/>
  <c r="U13" i="3"/>
  <c r="W12" i="3"/>
  <c r="V12" i="3"/>
  <c r="U12" i="3"/>
  <c r="W11" i="3"/>
  <c r="V11" i="3"/>
  <c r="U11" i="3"/>
  <c r="W10" i="3"/>
  <c r="V10" i="3"/>
  <c r="U10" i="3"/>
  <c r="W9" i="3"/>
  <c r="V9" i="3"/>
  <c r="U9" i="3"/>
  <c r="W8" i="3"/>
  <c r="V8" i="3"/>
  <c r="U8" i="3"/>
  <c r="W7" i="3"/>
  <c r="V7" i="3"/>
  <c r="U7" i="3"/>
  <c r="W6" i="3"/>
  <c r="V6" i="3"/>
  <c r="W5" i="3"/>
  <c r="V5" i="3"/>
  <c r="W4" i="3"/>
  <c r="V4" i="3"/>
  <c r="W3" i="3"/>
  <c r="V3" i="3"/>
  <c r="Y15" i="3"/>
  <c r="X15" i="3"/>
  <c r="Y14" i="3"/>
  <c r="X14" i="3"/>
  <c r="Y13" i="3"/>
  <c r="X13" i="3"/>
  <c r="Y12" i="3"/>
  <c r="X12" i="3"/>
  <c r="Y11" i="3"/>
  <c r="X11" i="3"/>
  <c r="Y9" i="3"/>
  <c r="X9" i="3"/>
  <c r="Y8" i="3"/>
  <c r="X8" i="3"/>
  <c r="Y7" i="3"/>
  <c r="X7" i="3"/>
  <c r="Y6" i="3"/>
  <c r="X6" i="3"/>
  <c r="Y5" i="3"/>
  <c r="X5" i="3"/>
  <c r="Y4" i="3"/>
  <c r="X4" i="3"/>
  <c r="Y3" i="3"/>
  <c r="X3" i="3"/>
  <c r="S14" i="3"/>
  <c r="Q14" i="3"/>
  <c r="S13" i="3"/>
  <c r="Q13" i="3"/>
  <c r="S12" i="3"/>
  <c r="Q12" i="3"/>
  <c r="S11" i="3"/>
  <c r="Q11" i="3"/>
  <c r="S10" i="3"/>
  <c r="Q10" i="3"/>
  <c r="S9" i="3"/>
  <c r="Q9" i="3"/>
  <c r="S8" i="3"/>
  <c r="Q8" i="3"/>
  <c r="S7" i="3"/>
  <c r="Q7" i="3"/>
  <c r="S6" i="3"/>
  <c r="Q6" i="3"/>
  <c r="S5" i="3"/>
  <c r="S4" i="3"/>
  <c r="Q4" i="3"/>
  <c r="S3" i="3"/>
  <c r="Q3" i="3"/>
  <c r="F22" i="46" l="1"/>
  <c r="F22" i="112"/>
  <c r="F22" i="47"/>
  <c r="F22" i="48"/>
  <c r="F22" i="49"/>
  <c r="F22" i="113"/>
  <c r="F22" i="50"/>
  <c r="F22" i="51"/>
  <c r="F22" i="52"/>
  <c r="F22" i="114"/>
  <c r="F22" i="53"/>
  <c r="F22" i="60"/>
  <c r="F22" i="61"/>
  <c r="F22" i="116"/>
  <c r="F22" i="62"/>
  <c r="F22" i="57"/>
  <c r="F22" i="58"/>
  <c r="F22" i="117"/>
  <c r="F22" i="59"/>
  <c r="F22" i="4"/>
  <c r="B22" i="46"/>
  <c r="B22" i="47"/>
  <c r="B22" i="48"/>
  <c r="B22" i="49"/>
  <c r="B22" i="50"/>
  <c r="B22" i="51"/>
  <c r="B22" i="52"/>
  <c r="B22" i="53"/>
  <c r="B22" i="54"/>
  <c r="B22" i="104"/>
  <c r="B22" i="56"/>
  <c r="B22" i="60"/>
  <c r="B22" i="61"/>
  <c r="B22" i="62"/>
  <c r="B22" i="57"/>
  <c r="B22" i="58"/>
  <c r="B22" i="59"/>
  <c r="B22" i="4"/>
  <c r="F50" i="117" l="1"/>
  <c r="F48" i="117"/>
  <c r="F45" i="117"/>
  <c r="F43" i="117"/>
  <c r="F41" i="117"/>
  <c r="F39" i="117"/>
  <c r="E39" i="117"/>
  <c r="G39" i="117" s="1"/>
  <c r="D39" i="117"/>
  <c r="C28" i="117"/>
  <c r="F28" i="117" s="1"/>
  <c r="F26" i="117"/>
  <c r="G26" i="117" s="1"/>
  <c r="C26" i="117"/>
  <c r="D26" i="117" s="1"/>
  <c r="E21" i="117"/>
  <c r="E20" i="117"/>
  <c r="D20" i="117"/>
  <c r="E19" i="117"/>
  <c r="F17" i="117"/>
  <c r="F16" i="117"/>
  <c r="F15" i="117"/>
  <c r="F13" i="117"/>
  <c r="F12" i="117"/>
  <c r="B9" i="117"/>
  <c r="B7" i="117"/>
  <c r="B6" i="117"/>
  <c r="B5" i="117"/>
  <c r="F50" i="116"/>
  <c r="F48" i="116"/>
  <c r="F45" i="116"/>
  <c r="F43" i="116"/>
  <c r="F41" i="116"/>
  <c r="F39" i="116"/>
  <c r="E39" i="116"/>
  <c r="G39" i="116" s="1"/>
  <c r="D39" i="116"/>
  <c r="C28" i="116"/>
  <c r="F28" i="116" s="1"/>
  <c r="F26" i="116"/>
  <c r="G26" i="116" s="1"/>
  <c r="C26" i="116"/>
  <c r="D26" i="116" s="1"/>
  <c r="E21" i="116"/>
  <c r="F20" i="116"/>
  <c r="E20" i="116"/>
  <c r="C20" i="116"/>
  <c r="D20" i="116" s="1"/>
  <c r="E19" i="116"/>
  <c r="F17" i="116"/>
  <c r="F16" i="116"/>
  <c r="F15" i="116"/>
  <c r="F13" i="116"/>
  <c r="F12" i="116"/>
  <c r="B9" i="116"/>
  <c r="B7" i="116"/>
  <c r="B6" i="116"/>
  <c r="B5" i="116"/>
  <c r="F50" i="115"/>
  <c r="F48" i="115"/>
  <c r="F45" i="115"/>
  <c r="F43" i="115"/>
  <c r="F41" i="115"/>
  <c r="F39" i="115"/>
  <c r="G39" i="115" s="1"/>
  <c r="E39" i="115"/>
  <c r="D39" i="115"/>
  <c r="C28" i="115"/>
  <c r="F28" i="115" s="1"/>
  <c r="F26" i="115"/>
  <c r="G26" i="115" s="1"/>
  <c r="C26" i="115"/>
  <c r="D26" i="115" s="1"/>
  <c r="E21" i="115"/>
  <c r="E20" i="115"/>
  <c r="D20" i="115"/>
  <c r="E19" i="115"/>
  <c r="F17" i="115"/>
  <c r="F16" i="115"/>
  <c r="F15" i="115"/>
  <c r="F13" i="115"/>
  <c r="F12" i="115"/>
  <c r="B9" i="115"/>
  <c r="B7" i="115"/>
  <c r="B6" i="115"/>
  <c r="B5" i="115"/>
  <c r="F50" i="114"/>
  <c r="F48" i="114"/>
  <c r="F45" i="114"/>
  <c r="F43" i="114"/>
  <c r="F41" i="114"/>
  <c r="F39" i="114"/>
  <c r="G39" i="114" s="1"/>
  <c r="E39" i="114"/>
  <c r="D39" i="114"/>
  <c r="C28" i="114"/>
  <c r="F28" i="114" s="1"/>
  <c r="F26" i="114"/>
  <c r="G26" i="114" s="1"/>
  <c r="C26" i="114"/>
  <c r="D26" i="114" s="1"/>
  <c r="E21" i="114"/>
  <c r="E20" i="114"/>
  <c r="D20" i="114"/>
  <c r="E19" i="114"/>
  <c r="F17" i="114"/>
  <c r="F16" i="114"/>
  <c r="F15" i="114"/>
  <c r="F13" i="114"/>
  <c r="F12" i="114"/>
  <c r="B9" i="114"/>
  <c r="B7" i="114"/>
  <c r="B6" i="114"/>
  <c r="B5" i="114"/>
  <c r="F50" i="113"/>
  <c r="F48" i="113"/>
  <c r="F45" i="113"/>
  <c r="F43" i="113"/>
  <c r="F41" i="113"/>
  <c r="F39" i="113"/>
  <c r="E39" i="113"/>
  <c r="D39" i="113"/>
  <c r="C28" i="113"/>
  <c r="F28" i="113" s="1"/>
  <c r="F26" i="113"/>
  <c r="G26" i="113" s="1"/>
  <c r="C26" i="113"/>
  <c r="D26" i="113" s="1"/>
  <c r="E21" i="113"/>
  <c r="E20" i="113"/>
  <c r="D20" i="113"/>
  <c r="E19" i="113"/>
  <c r="F17" i="113"/>
  <c r="F16" i="113"/>
  <c r="F15" i="113"/>
  <c r="F13" i="113"/>
  <c r="F12" i="113"/>
  <c r="B9" i="113"/>
  <c r="B7" i="113"/>
  <c r="B6" i="113"/>
  <c r="B5" i="113"/>
  <c r="F50" i="112"/>
  <c r="F48" i="112"/>
  <c r="F45" i="112"/>
  <c r="F43" i="112"/>
  <c r="F41" i="112"/>
  <c r="F39" i="112"/>
  <c r="E39" i="112"/>
  <c r="G39" i="112" s="1"/>
  <c r="D39" i="112"/>
  <c r="C28" i="112"/>
  <c r="F28" i="112" s="1"/>
  <c r="F26" i="112"/>
  <c r="G26" i="112" s="1"/>
  <c r="C26" i="112"/>
  <c r="D26" i="112" s="1"/>
  <c r="E21" i="112"/>
  <c r="F20" i="112"/>
  <c r="E20" i="112"/>
  <c r="D20" i="112"/>
  <c r="E19" i="112"/>
  <c r="F17" i="112"/>
  <c r="F16" i="112"/>
  <c r="F15" i="112"/>
  <c r="F13" i="112"/>
  <c r="F12" i="112"/>
  <c r="B9" i="112"/>
  <c r="B7" i="112"/>
  <c r="B6" i="112"/>
  <c r="B5" i="112"/>
  <c r="B4" i="112"/>
  <c r="B22" i="112" s="1"/>
  <c r="D22" i="112" s="1"/>
  <c r="E22" i="112" l="1"/>
  <c r="G22" i="112" s="1"/>
  <c r="H22" i="112" s="1"/>
  <c r="I22" i="112" s="1"/>
  <c r="G39" i="113"/>
  <c r="H20" i="112"/>
  <c r="I20" i="112" s="1"/>
  <c r="G20" i="117"/>
  <c r="H20" i="117" s="1"/>
  <c r="I20" i="117" s="1"/>
  <c r="G20" i="115"/>
  <c r="H20" i="115" s="1"/>
  <c r="I20" i="115" s="1"/>
  <c r="B41" i="112"/>
  <c r="E41" i="112" s="1"/>
  <c r="G41" i="112" s="1"/>
  <c r="C4" i="7"/>
  <c r="H26" i="113"/>
  <c r="I26" i="113" s="1"/>
  <c r="H26" i="116"/>
  <c r="I26" i="116" s="1"/>
  <c r="H26" i="112"/>
  <c r="I26" i="112" s="1"/>
  <c r="G20" i="113"/>
  <c r="H20" i="113" s="1"/>
  <c r="I20" i="113" s="1"/>
  <c r="G20" i="114"/>
  <c r="H20" i="114" s="1"/>
  <c r="I20" i="114" s="1"/>
  <c r="H39" i="116"/>
  <c r="I39" i="116" s="1"/>
  <c r="H26" i="117"/>
  <c r="I26" i="117" s="1"/>
  <c r="H39" i="117"/>
  <c r="I39" i="117" s="1"/>
  <c r="G20" i="116"/>
  <c r="H39" i="113"/>
  <c r="I39" i="113" s="1"/>
  <c r="H26" i="114"/>
  <c r="I26" i="114" s="1"/>
  <c r="H26" i="115"/>
  <c r="I26" i="115" s="1"/>
  <c r="H39" i="114"/>
  <c r="I39" i="114" s="1"/>
  <c r="H39" i="115"/>
  <c r="I39" i="115" s="1"/>
  <c r="B12" i="112"/>
  <c r="E12" i="112" s="1"/>
  <c r="G12" i="112" s="1"/>
  <c r="B15" i="112"/>
  <c r="B16" i="112"/>
  <c r="B17" i="112"/>
  <c r="B8" i="112"/>
  <c r="B31" i="112" s="1"/>
  <c r="E31" i="112" s="1"/>
  <c r="C27" i="112"/>
  <c r="F27" i="112" s="1"/>
  <c r="B13" i="112"/>
  <c r="D13" i="112" s="1"/>
  <c r="B23" i="112"/>
  <c r="E23" i="112" s="1"/>
  <c r="H39" i="112"/>
  <c r="I39" i="112" s="1"/>
  <c r="B24" i="112"/>
  <c r="E13" i="112" l="1"/>
  <c r="G13" i="112" s="1"/>
  <c r="H13" i="112" s="1"/>
  <c r="I13" i="112" s="1"/>
  <c r="D41" i="112"/>
  <c r="H41" i="112" s="1"/>
  <c r="I41" i="112" s="1"/>
  <c r="B28" i="112"/>
  <c r="E28" i="112" s="1"/>
  <c r="G28" i="112" s="1"/>
  <c r="D12" i="112"/>
  <c r="D14" i="112" s="1"/>
  <c r="B32" i="112"/>
  <c r="E32" i="112" s="1"/>
  <c r="H20" i="116"/>
  <c r="I20" i="116" s="1"/>
  <c r="B36" i="112"/>
  <c r="E36" i="112" s="1"/>
  <c r="G36" i="112" s="1"/>
  <c r="B27" i="112"/>
  <c r="E27" i="112" s="1"/>
  <c r="G27" i="112" s="1"/>
  <c r="B38" i="112"/>
  <c r="E38" i="112" s="1"/>
  <c r="G38" i="112" s="1"/>
  <c r="E15" i="112"/>
  <c r="G15" i="112" s="1"/>
  <c r="D15" i="112"/>
  <c r="E17" i="112"/>
  <c r="G17" i="112" s="1"/>
  <c r="D17" i="112"/>
  <c r="B37" i="112"/>
  <c r="E37" i="112" s="1"/>
  <c r="G37" i="112" s="1"/>
  <c r="E16" i="112"/>
  <c r="G16" i="112" s="1"/>
  <c r="D16" i="112"/>
  <c r="E24" i="112"/>
  <c r="G14" i="112" l="1"/>
  <c r="H14" i="112" s="1"/>
  <c r="I14" i="112" s="1"/>
  <c r="D38" i="112"/>
  <c r="H38" i="112" s="1"/>
  <c r="I38" i="112" s="1"/>
  <c r="D28" i="112"/>
  <c r="H28" i="112" s="1"/>
  <c r="I28" i="112" s="1"/>
  <c r="H12" i="112"/>
  <c r="I12" i="112" s="1"/>
  <c r="D27" i="112"/>
  <c r="H27" i="112" s="1"/>
  <c r="I27" i="112" s="1"/>
  <c r="D36" i="112"/>
  <c r="H36" i="112" s="1"/>
  <c r="I36" i="112" s="1"/>
  <c r="D37" i="112"/>
  <c r="H37" i="112" s="1"/>
  <c r="I37" i="112" s="1"/>
  <c r="D18" i="112"/>
  <c r="G18" i="112"/>
  <c r="H15" i="112"/>
  <c r="I15" i="112" s="1"/>
  <c r="H17" i="112"/>
  <c r="I17" i="112" s="1"/>
  <c r="H16" i="112"/>
  <c r="I16" i="112" s="1"/>
  <c r="G40" i="112"/>
  <c r="H18" i="112" l="1"/>
  <c r="I18" i="112" s="1"/>
  <c r="D40" i="112"/>
  <c r="H40" i="112" s="1"/>
  <c r="I40" i="112" s="1"/>
  <c r="F18" i="73" l="1"/>
  <c r="F18" i="74"/>
  <c r="F18" i="75"/>
  <c r="F18" i="71"/>
  <c r="F18" i="72"/>
  <c r="F18" i="76"/>
  <c r="F18" i="77"/>
  <c r="F18" i="78"/>
  <c r="F18" i="5"/>
  <c r="F20" i="62"/>
  <c r="F20" i="4"/>
  <c r="E18" i="77"/>
  <c r="C18" i="77"/>
  <c r="D18" i="77" s="1"/>
  <c r="E17" i="77"/>
  <c r="G17" i="77" s="1"/>
  <c r="C17" i="77"/>
  <c r="D17" i="77" s="1"/>
  <c r="G18" i="77" l="1"/>
  <c r="H18" i="77" s="1"/>
  <c r="I18" i="77" s="1"/>
  <c r="H17" i="77"/>
  <c r="I17" i="77" s="1"/>
  <c r="T4" i="3" l="1"/>
  <c r="T5" i="3"/>
  <c r="T6" i="3"/>
  <c r="T7" i="3"/>
  <c r="T8" i="3"/>
  <c r="T9" i="3"/>
  <c r="T10" i="3"/>
  <c r="T11" i="3"/>
  <c r="T12" i="3"/>
  <c r="T13" i="3"/>
  <c r="T14" i="3"/>
  <c r="T15" i="3"/>
  <c r="T3" i="3"/>
  <c r="C22" i="77" l="1"/>
  <c r="C22" i="78"/>
  <c r="C22" i="76"/>
  <c r="C22" i="75"/>
  <c r="C22" i="74"/>
  <c r="C22" i="73"/>
  <c r="C22" i="5"/>
  <c r="C22" i="72"/>
  <c r="C22" i="71"/>
  <c r="C20" i="79"/>
  <c r="C20" i="80"/>
  <c r="C20" i="81"/>
  <c r="F32" i="113"/>
  <c r="F32" i="114"/>
  <c r="F32" i="115"/>
  <c r="F32" i="117"/>
  <c r="F32" i="116"/>
  <c r="F32" i="112"/>
  <c r="G32" i="112" s="1"/>
  <c r="F31" i="113" l="1"/>
  <c r="F31" i="114"/>
  <c r="F31" i="115"/>
  <c r="F31" i="117"/>
  <c r="F31" i="116"/>
  <c r="F31" i="112"/>
  <c r="G31" i="112" s="1"/>
  <c r="G33" i="112" l="1"/>
  <c r="J15" i="3"/>
  <c r="J13" i="3"/>
  <c r="J12" i="3"/>
  <c r="J11" i="3"/>
  <c r="J10" i="3"/>
  <c r="J9" i="3"/>
  <c r="J8" i="3"/>
  <c r="C23" i="116" s="1"/>
  <c r="J7" i="3"/>
  <c r="C23" i="117" s="1"/>
  <c r="J6" i="3"/>
  <c r="C23" i="115" s="1"/>
  <c r="J5" i="3"/>
  <c r="C23" i="114" s="1"/>
  <c r="J4" i="3"/>
  <c r="C23" i="113" s="1"/>
  <c r="J3" i="3"/>
  <c r="C23" i="112" s="1"/>
  <c r="D23" i="112" s="1"/>
  <c r="J14" i="3" l="1"/>
  <c r="G15" i="3" l="1"/>
  <c r="F43" i="60" l="1"/>
  <c r="F45" i="60"/>
  <c r="F48" i="60"/>
  <c r="C28" i="59" l="1"/>
  <c r="C28" i="58"/>
  <c r="C28" i="57"/>
  <c r="C28" i="62"/>
  <c r="C28" i="61"/>
  <c r="C28" i="60"/>
  <c r="C28" i="56"/>
  <c r="C28" i="104"/>
  <c r="C28" i="54"/>
  <c r="C28" i="53"/>
  <c r="C28" i="52"/>
  <c r="C28" i="51"/>
  <c r="C28" i="50"/>
  <c r="C28" i="49"/>
  <c r="C28" i="48"/>
  <c r="C28" i="47"/>
  <c r="C28" i="46"/>
  <c r="C28" i="4"/>
  <c r="B16" i="59" l="1"/>
  <c r="B15" i="59"/>
  <c r="B16" i="58"/>
  <c r="B15" i="58"/>
  <c r="B16" i="57"/>
  <c r="B15" i="57"/>
  <c r="B16" i="62"/>
  <c r="B15" i="62"/>
  <c r="B16" i="61"/>
  <c r="B15" i="61"/>
  <c r="B16" i="60"/>
  <c r="B15" i="60"/>
  <c r="B16" i="56"/>
  <c r="B15" i="56"/>
  <c r="B16" i="104"/>
  <c r="B15" i="104"/>
  <c r="B16" i="54"/>
  <c r="B15" i="54"/>
  <c r="B16" i="53"/>
  <c r="B15" i="53"/>
  <c r="B16" i="52"/>
  <c r="B15" i="52"/>
  <c r="B16" i="51"/>
  <c r="B15" i="51"/>
  <c r="B16" i="50"/>
  <c r="B15" i="50"/>
  <c r="B16" i="49"/>
  <c r="B15" i="49"/>
  <c r="B16" i="48"/>
  <c r="B15" i="48"/>
  <c r="B16" i="47"/>
  <c r="B15" i="47"/>
  <c r="B16" i="46"/>
  <c r="B15" i="46"/>
  <c r="B16" i="4"/>
  <c r="B15" i="4"/>
  <c r="F50" i="59" l="1"/>
  <c r="F45" i="59"/>
  <c r="F50" i="62"/>
  <c r="F45" i="62"/>
  <c r="F50" i="4" l="1"/>
  <c r="F50" i="58"/>
  <c r="F50" i="57"/>
  <c r="F50" i="61"/>
  <c r="F50" i="60"/>
  <c r="F50" i="56"/>
  <c r="F50" i="104"/>
  <c r="F50" i="54"/>
  <c r="F50" i="53"/>
  <c r="F50" i="52"/>
  <c r="F50" i="51"/>
  <c r="F50" i="50"/>
  <c r="F50" i="49"/>
  <c r="F50" i="48"/>
  <c r="F50" i="47"/>
  <c r="F50" i="46"/>
  <c r="C15" i="7" l="1"/>
  <c r="F48" i="104" l="1"/>
  <c r="F45" i="104"/>
  <c r="F43" i="104"/>
  <c r="F41" i="104"/>
  <c r="B41" i="104"/>
  <c r="D41" i="104" s="1"/>
  <c r="F39" i="104"/>
  <c r="E39" i="104"/>
  <c r="D39" i="104"/>
  <c r="F28" i="104"/>
  <c r="F26" i="104"/>
  <c r="G26" i="104" s="1"/>
  <c r="C26" i="104"/>
  <c r="D26" i="104" s="1"/>
  <c r="E21" i="104"/>
  <c r="E20" i="104"/>
  <c r="D20" i="104"/>
  <c r="E22" i="104"/>
  <c r="G22" i="104" s="1"/>
  <c r="D22" i="104"/>
  <c r="E19" i="104"/>
  <c r="F17" i="104"/>
  <c r="B17" i="104"/>
  <c r="D17" i="104" s="1"/>
  <c r="F16" i="104"/>
  <c r="D16" i="104"/>
  <c r="F15" i="104"/>
  <c r="D15" i="104"/>
  <c r="F13" i="104"/>
  <c r="F12" i="104"/>
  <c r="B9" i="104"/>
  <c r="B7" i="104"/>
  <c r="B6" i="104"/>
  <c r="B8" i="104" s="1"/>
  <c r="B38" i="104" s="1"/>
  <c r="B5" i="104"/>
  <c r="G39" i="104" l="1"/>
  <c r="G20" i="104"/>
  <c r="H20" i="104" s="1"/>
  <c r="I20" i="104" s="1"/>
  <c r="E41" i="104"/>
  <c r="G41" i="104" s="1"/>
  <c r="H41" i="104" s="1"/>
  <c r="I41" i="104" s="1"/>
  <c r="D18" i="104"/>
  <c r="E38" i="104"/>
  <c r="G38" i="104" s="1"/>
  <c r="D38" i="104"/>
  <c r="B13" i="104"/>
  <c r="B12" i="104"/>
  <c r="H39" i="104"/>
  <c r="I39" i="104" s="1"/>
  <c r="E15" i="104"/>
  <c r="G15" i="104" s="1"/>
  <c r="E16" i="104"/>
  <c r="G16" i="104" s="1"/>
  <c r="H26" i="104"/>
  <c r="I26" i="104" s="1"/>
  <c r="B37" i="104"/>
  <c r="B36" i="104"/>
  <c r="B32" i="104"/>
  <c r="B28" i="104"/>
  <c r="B31" i="104"/>
  <c r="B27" i="104"/>
  <c r="E17" i="104"/>
  <c r="G17" i="104" s="1"/>
  <c r="H22" i="104"/>
  <c r="I22" i="104" s="1"/>
  <c r="B24" i="104"/>
  <c r="B23" i="104"/>
  <c r="C27" i="104"/>
  <c r="F27" i="104" s="1"/>
  <c r="H38" i="104" l="1"/>
  <c r="I38" i="104" s="1"/>
  <c r="H17" i="104"/>
  <c r="I17" i="104" s="1"/>
  <c r="E32" i="104"/>
  <c r="E12" i="104"/>
  <c r="G12" i="104" s="1"/>
  <c r="D12" i="104"/>
  <c r="D27" i="104"/>
  <c r="E27" i="104"/>
  <c r="G27" i="104" s="1"/>
  <c r="E36" i="104"/>
  <c r="G36" i="104" s="1"/>
  <c r="D36" i="104"/>
  <c r="G18" i="104"/>
  <c r="H15" i="104"/>
  <c r="I15" i="104" s="1"/>
  <c r="E13" i="104"/>
  <c r="G13" i="104" s="1"/>
  <c r="D13" i="104"/>
  <c r="E23" i="104"/>
  <c r="E31" i="104"/>
  <c r="E37" i="104"/>
  <c r="G37" i="104" s="1"/>
  <c r="D37" i="104"/>
  <c r="E24" i="104"/>
  <c r="D28" i="104"/>
  <c r="E28" i="104"/>
  <c r="G28" i="104" s="1"/>
  <c r="H16" i="104"/>
  <c r="I16" i="104" s="1"/>
  <c r="D40" i="104" l="1"/>
  <c r="H18" i="104"/>
  <c r="I18" i="104" s="1"/>
  <c r="H27" i="104"/>
  <c r="I27" i="104" s="1"/>
  <c r="H13" i="104"/>
  <c r="I13" i="104" s="1"/>
  <c r="D14" i="104"/>
  <c r="H28" i="104"/>
  <c r="I28" i="104" s="1"/>
  <c r="H36" i="104"/>
  <c r="I36" i="104" s="1"/>
  <c r="G40" i="104"/>
  <c r="H12" i="104"/>
  <c r="I12" i="104" s="1"/>
  <c r="G14" i="104"/>
  <c r="H37" i="104"/>
  <c r="I37" i="104" s="1"/>
  <c r="F32" i="104"/>
  <c r="G32" i="104" s="1"/>
  <c r="F31" i="104"/>
  <c r="G31" i="104" s="1"/>
  <c r="G33" i="104" l="1"/>
  <c r="H40" i="104"/>
  <c r="I40" i="104" s="1"/>
  <c r="H14" i="104"/>
  <c r="I14" i="104" s="1"/>
  <c r="C17" i="71" l="1"/>
  <c r="C17" i="72"/>
  <c r="C17" i="73"/>
  <c r="C17" i="74"/>
  <c r="C17" i="75"/>
  <c r="C17" i="76"/>
  <c r="C17" i="78"/>
  <c r="C17" i="5"/>
  <c r="C16" i="63"/>
  <c r="C16" i="64"/>
  <c r="X10" i="3" l="1"/>
  <c r="Y10" i="3"/>
  <c r="C16" i="79" l="1"/>
  <c r="C16" i="81"/>
  <c r="C16" i="80"/>
  <c r="B17" i="62"/>
  <c r="B17" i="61"/>
  <c r="B17" i="60"/>
  <c r="B17" i="59"/>
  <c r="B17" i="58"/>
  <c r="B17" i="57"/>
  <c r="B17" i="56"/>
  <c r="B17" i="54"/>
  <c r="B17" i="53"/>
  <c r="B17" i="52"/>
  <c r="B17" i="51"/>
  <c r="B17" i="50"/>
  <c r="B17" i="49"/>
  <c r="B17" i="48"/>
  <c r="B17" i="47"/>
  <c r="B17" i="46"/>
  <c r="B17" i="4"/>
  <c r="D46" i="7" l="1"/>
  <c r="D44" i="7"/>
  <c r="C46" i="7"/>
  <c r="C44" i="7"/>
  <c r="D43" i="7"/>
  <c r="D41" i="7"/>
  <c r="C43" i="7"/>
  <c r="C41" i="7"/>
  <c r="C40" i="7"/>
  <c r="C38" i="7"/>
  <c r="C37" i="7"/>
  <c r="C35" i="7"/>
  <c r="C34" i="7"/>
  <c r="C32" i="7"/>
  <c r="D31" i="7"/>
  <c r="D29" i="7"/>
  <c r="C31" i="7"/>
  <c r="C29" i="7"/>
  <c r="D28" i="7"/>
  <c r="C28" i="7"/>
  <c r="D26" i="7"/>
  <c r="C26" i="7"/>
  <c r="C25" i="7"/>
  <c r="C23" i="7"/>
  <c r="C22" i="7"/>
  <c r="C21" i="7"/>
  <c r="C19" i="7"/>
  <c r="C18" i="7"/>
  <c r="C17" i="7"/>
  <c r="C14" i="7"/>
  <c r="C13" i="7"/>
  <c r="C11" i="7"/>
  <c r="C10" i="7"/>
  <c r="C9" i="7"/>
  <c r="C7" i="7"/>
  <c r="C6" i="7"/>
  <c r="C5" i="7"/>
  <c r="C3" i="7"/>
  <c r="C2" i="7"/>
  <c r="F31" i="81" l="1"/>
  <c r="F29" i="81"/>
  <c r="E29" i="81"/>
  <c r="D29" i="81"/>
  <c r="E17" i="81"/>
  <c r="E16" i="81"/>
  <c r="F31" i="80"/>
  <c r="F29" i="80"/>
  <c r="E29" i="80"/>
  <c r="G29" i="80" s="1"/>
  <c r="D29" i="80"/>
  <c r="E17" i="80"/>
  <c r="E16" i="80"/>
  <c r="F31" i="79"/>
  <c r="F29" i="79"/>
  <c r="E29" i="79"/>
  <c r="D29" i="79"/>
  <c r="E17" i="79"/>
  <c r="E16" i="79"/>
  <c r="F33" i="78"/>
  <c r="F31" i="78"/>
  <c r="E31" i="78"/>
  <c r="D31" i="78"/>
  <c r="E19" i="78"/>
  <c r="E18" i="78"/>
  <c r="E17" i="78"/>
  <c r="G17" i="78" s="1"/>
  <c r="D17" i="78"/>
  <c r="E16" i="78"/>
  <c r="F33" i="77"/>
  <c r="F31" i="77"/>
  <c r="E31" i="77"/>
  <c r="G31" i="77" s="1"/>
  <c r="D31" i="77"/>
  <c r="E19" i="77"/>
  <c r="E16" i="77"/>
  <c r="F33" i="76"/>
  <c r="F31" i="76"/>
  <c r="E31" i="76"/>
  <c r="G31" i="76" s="1"/>
  <c r="D31" i="76"/>
  <c r="E19" i="76"/>
  <c r="E18" i="76"/>
  <c r="E17" i="76"/>
  <c r="G17" i="76" s="1"/>
  <c r="D17" i="76"/>
  <c r="E16" i="76"/>
  <c r="F33" i="75"/>
  <c r="F31" i="75"/>
  <c r="E31" i="75"/>
  <c r="D31" i="75"/>
  <c r="E19" i="75"/>
  <c r="E18" i="75"/>
  <c r="E17" i="75"/>
  <c r="G17" i="75" s="1"/>
  <c r="D17" i="75"/>
  <c r="E16" i="75"/>
  <c r="F33" i="74"/>
  <c r="F31" i="74"/>
  <c r="E31" i="74"/>
  <c r="D31" i="74"/>
  <c r="E19" i="74"/>
  <c r="E18" i="74"/>
  <c r="E17" i="74"/>
  <c r="G17" i="74" s="1"/>
  <c r="D17" i="74"/>
  <c r="E16" i="74"/>
  <c r="F33" i="73"/>
  <c r="F31" i="73"/>
  <c r="E31" i="73"/>
  <c r="D31" i="73"/>
  <c r="E19" i="73"/>
  <c r="E18" i="73"/>
  <c r="E17" i="73"/>
  <c r="G17" i="73" s="1"/>
  <c r="D17" i="73"/>
  <c r="E16" i="73"/>
  <c r="F33" i="72"/>
  <c r="F31" i="72"/>
  <c r="E31" i="72"/>
  <c r="D31" i="72"/>
  <c r="E19" i="72"/>
  <c r="E18" i="72"/>
  <c r="E17" i="72"/>
  <c r="G17" i="72" s="1"/>
  <c r="D17" i="72"/>
  <c r="E16" i="72"/>
  <c r="F33" i="71"/>
  <c r="F31" i="71"/>
  <c r="E31" i="71"/>
  <c r="D31" i="71"/>
  <c r="E19" i="71"/>
  <c r="E18" i="71"/>
  <c r="E17" i="71"/>
  <c r="G17" i="71" s="1"/>
  <c r="D17" i="71"/>
  <c r="E16" i="71"/>
  <c r="F33" i="5"/>
  <c r="F31" i="5"/>
  <c r="E31" i="5"/>
  <c r="D31" i="5"/>
  <c r="E19" i="5"/>
  <c r="E18" i="5"/>
  <c r="E17" i="5"/>
  <c r="G17" i="5" s="1"/>
  <c r="D17" i="5"/>
  <c r="E16" i="5"/>
  <c r="F31" i="70"/>
  <c r="F29" i="70"/>
  <c r="E29" i="70"/>
  <c r="D29" i="70"/>
  <c r="E16" i="70"/>
  <c r="E15" i="70"/>
  <c r="F31" i="69"/>
  <c r="F29" i="69"/>
  <c r="E29" i="69"/>
  <c r="D29" i="69"/>
  <c r="E16" i="69"/>
  <c r="E15" i="69"/>
  <c r="F31" i="68"/>
  <c r="F29" i="68"/>
  <c r="E29" i="68"/>
  <c r="D29" i="68"/>
  <c r="E16" i="68"/>
  <c r="E15" i="68"/>
  <c r="F31" i="67"/>
  <c r="F29" i="67"/>
  <c r="E29" i="67"/>
  <c r="G29" i="67" s="1"/>
  <c r="D29" i="67"/>
  <c r="E16" i="67"/>
  <c r="E15" i="67"/>
  <c r="F31" i="66"/>
  <c r="F29" i="66"/>
  <c r="E29" i="66"/>
  <c r="D29" i="66"/>
  <c r="E16" i="66"/>
  <c r="E15" i="66"/>
  <c r="F31" i="65"/>
  <c r="F29" i="65"/>
  <c r="E29" i="65"/>
  <c r="G29" i="65" s="1"/>
  <c r="D29" i="65"/>
  <c r="E16" i="65"/>
  <c r="E15" i="65"/>
  <c r="F31" i="64"/>
  <c r="F29" i="64"/>
  <c r="E29" i="64"/>
  <c r="D29" i="64"/>
  <c r="E16" i="64"/>
  <c r="E15" i="64"/>
  <c r="F31" i="63"/>
  <c r="F29" i="63"/>
  <c r="E29" i="63"/>
  <c r="D29" i="63"/>
  <c r="E16" i="63"/>
  <c r="E15" i="63"/>
  <c r="F41" i="62"/>
  <c r="F39" i="62"/>
  <c r="E39" i="62"/>
  <c r="D39" i="62"/>
  <c r="F28" i="62"/>
  <c r="F26" i="62"/>
  <c r="G26" i="62" s="1"/>
  <c r="C26" i="62"/>
  <c r="D26" i="62" s="1"/>
  <c r="E21" i="62"/>
  <c r="E20" i="62"/>
  <c r="E22" i="62"/>
  <c r="G22" i="62" s="1"/>
  <c r="D22" i="62"/>
  <c r="E19" i="62"/>
  <c r="F41" i="61"/>
  <c r="F39" i="61"/>
  <c r="E39" i="61"/>
  <c r="D39" i="61"/>
  <c r="F28" i="61"/>
  <c r="F26" i="61"/>
  <c r="G26" i="61" s="1"/>
  <c r="C26" i="61"/>
  <c r="D26" i="61" s="1"/>
  <c r="E21" i="61"/>
  <c r="E20" i="61"/>
  <c r="E22" i="61"/>
  <c r="G22" i="61" s="1"/>
  <c r="D22" i="61"/>
  <c r="E19" i="61"/>
  <c r="F41" i="60"/>
  <c r="F39" i="60"/>
  <c r="E39" i="60"/>
  <c r="D39" i="60"/>
  <c r="F28" i="60"/>
  <c r="F26" i="60"/>
  <c r="G26" i="60" s="1"/>
  <c r="C26" i="60"/>
  <c r="D26" i="60" s="1"/>
  <c r="E21" i="60"/>
  <c r="E20" i="60"/>
  <c r="E22" i="60"/>
  <c r="G22" i="60" s="1"/>
  <c r="D22" i="60"/>
  <c r="E19" i="60"/>
  <c r="F41" i="59"/>
  <c r="F39" i="59"/>
  <c r="E39" i="59"/>
  <c r="D39" i="59"/>
  <c r="F28" i="59"/>
  <c r="F26" i="59"/>
  <c r="G26" i="59" s="1"/>
  <c r="C26" i="59"/>
  <c r="D26" i="59" s="1"/>
  <c r="E21" i="59"/>
  <c r="E20" i="59"/>
  <c r="E22" i="59"/>
  <c r="G22" i="59" s="1"/>
  <c r="D22" i="59"/>
  <c r="E19" i="59"/>
  <c r="F41" i="58"/>
  <c r="F39" i="58"/>
  <c r="E39" i="58"/>
  <c r="D39" i="58"/>
  <c r="F28" i="58"/>
  <c r="F26" i="58"/>
  <c r="G26" i="58" s="1"/>
  <c r="C26" i="58"/>
  <c r="D26" i="58" s="1"/>
  <c r="E21" i="58"/>
  <c r="E20" i="58"/>
  <c r="E22" i="58"/>
  <c r="G22" i="58" s="1"/>
  <c r="D22" i="58"/>
  <c r="E19" i="58"/>
  <c r="F41" i="57"/>
  <c r="F39" i="57"/>
  <c r="E39" i="57"/>
  <c r="D39" i="57"/>
  <c r="F28" i="57"/>
  <c r="F26" i="57"/>
  <c r="G26" i="57" s="1"/>
  <c r="C26" i="57"/>
  <c r="D26" i="57" s="1"/>
  <c r="E21" i="57"/>
  <c r="E20" i="57"/>
  <c r="E22" i="57"/>
  <c r="G22" i="57" s="1"/>
  <c r="D22" i="57"/>
  <c r="E19" i="57"/>
  <c r="F41" i="56"/>
  <c r="F39" i="56"/>
  <c r="E39" i="56"/>
  <c r="G39" i="56" s="1"/>
  <c r="D39" i="56"/>
  <c r="F28" i="56"/>
  <c r="F26" i="56"/>
  <c r="G26" i="56" s="1"/>
  <c r="C26" i="56"/>
  <c r="D26" i="56" s="1"/>
  <c r="E21" i="56"/>
  <c r="E20" i="56"/>
  <c r="E22" i="56"/>
  <c r="G22" i="56" s="1"/>
  <c r="D22" i="56"/>
  <c r="E19" i="56"/>
  <c r="F41" i="54"/>
  <c r="F39" i="54"/>
  <c r="E39" i="54"/>
  <c r="D39" i="54"/>
  <c r="F28" i="54"/>
  <c r="F26" i="54"/>
  <c r="G26" i="54" s="1"/>
  <c r="C26" i="54"/>
  <c r="D26" i="54" s="1"/>
  <c r="E21" i="54"/>
  <c r="E20" i="54"/>
  <c r="E22" i="54"/>
  <c r="G22" i="54" s="1"/>
  <c r="D22" i="54"/>
  <c r="E19" i="54"/>
  <c r="F41" i="53"/>
  <c r="F39" i="53"/>
  <c r="E39" i="53"/>
  <c r="D39" i="53"/>
  <c r="F28" i="53"/>
  <c r="F26" i="53"/>
  <c r="G26" i="53" s="1"/>
  <c r="C26" i="53"/>
  <c r="D26" i="53" s="1"/>
  <c r="E21" i="53"/>
  <c r="E20" i="53"/>
  <c r="E22" i="53"/>
  <c r="G22" i="53" s="1"/>
  <c r="D22" i="53"/>
  <c r="E19" i="53"/>
  <c r="F41" i="52"/>
  <c r="F39" i="52"/>
  <c r="E39" i="52"/>
  <c r="D39" i="52"/>
  <c r="F28" i="52"/>
  <c r="F26" i="52"/>
  <c r="G26" i="52" s="1"/>
  <c r="C26" i="52"/>
  <c r="D26" i="52" s="1"/>
  <c r="E21" i="52"/>
  <c r="E20" i="52"/>
  <c r="E22" i="52"/>
  <c r="G22" i="52" s="1"/>
  <c r="D22" i="52"/>
  <c r="E19" i="52"/>
  <c r="F41" i="51"/>
  <c r="F39" i="51"/>
  <c r="E39" i="51"/>
  <c r="D39" i="51"/>
  <c r="F28" i="51"/>
  <c r="F26" i="51"/>
  <c r="G26" i="51" s="1"/>
  <c r="C26" i="51"/>
  <c r="D26" i="51" s="1"/>
  <c r="E21" i="51"/>
  <c r="E20" i="51"/>
  <c r="E22" i="51"/>
  <c r="G22" i="51" s="1"/>
  <c r="D22" i="51"/>
  <c r="E19" i="51"/>
  <c r="F41" i="50"/>
  <c r="F39" i="50"/>
  <c r="E39" i="50"/>
  <c r="D39" i="50"/>
  <c r="F28" i="50"/>
  <c r="F26" i="50"/>
  <c r="G26" i="50" s="1"/>
  <c r="C26" i="50"/>
  <c r="D26" i="50" s="1"/>
  <c r="E21" i="50"/>
  <c r="E20" i="50"/>
  <c r="E22" i="50"/>
  <c r="G22" i="50" s="1"/>
  <c r="D22" i="50"/>
  <c r="E19" i="50"/>
  <c r="F41" i="49"/>
  <c r="F39" i="49"/>
  <c r="E39" i="49"/>
  <c r="D39" i="49"/>
  <c r="F28" i="49"/>
  <c r="F26" i="49"/>
  <c r="G26" i="49" s="1"/>
  <c r="C26" i="49"/>
  <c r="D26" i="49" s="1"/>
  <c r="E21" i="49"/>
  <c r="E20" i="49"/>
  <c r="E22" i="49"/>
  <c r="G22" i="49" s="1"/>
  <c r="D22" i="49"/>
  <c r="E19" i="49"/>
  <c r="F41" i="48"/>
  <c r="F39" i="48"/>
  <c r="E39" i="48"/>
  <c r="D39" i="48"/>
  <c r="F28" i="48"/>
  <c r="F26" i="48"/>
  <c r="G26" i="48" s="1"/>
  <c r="C26" i="48"/>
  <c r="D26" i="48" s="1"/>
  <c r="E21" i="48"/>
  <c r="E20" i="48"/>
  <c r="E22" i="48"/>
  <c r="G22" i="48" s="1"/>
  <c r="D22" i="48"/>
  <c r="E19" i="48"/>
  <c r="F41" i="47"/>
  <c r="F39" i="47"/>
  <c r="E39" i="47"/>
  <c r="D39" i="47"/>
  <c r="F28" i="47"/>
  <c r="F26" i="47"/>
  <c r="G26" i="47" s="1"/>
  <c r="C26" i="47"/>
  <c r="D26" i="47" s="1"/>
  <c r="E21" i="47"/>
  <c r="E20" i="47"/>
  <c r="E22" i="47"/>
  <c r="G22" i="47" s="1"/>
  <c r="D22" i="47"/>
  <c r="E19" i="47"/>
  <c r="F41" i="46"/>
  <c r="F39" i="46"/>
  <c r="E39" i="46"/>
  <c r="D39" i="46"/>
  <c r="F28" i="46"/>
  <c r="F26" i="46"/>
  <c r="G26" i="46" s="1"/>
  <c r="C26" i="46"/>
  <c r="D26" i="46" s="1"/>
  <c r="E21" i="46"/>
  <c r="E20" i="46"/>
  <c r="E22" i="46"/>
  <c r="G22" i="46" s="1"/>
  <c r="D22" i="46"/>
  <c r="E19" i="46"/>
  <c r="F26" i="4"/>
  <c r="F32" i="46"/>
  <c r="F31" i="46"/>
  <c r="G29" i="64" l="1"/>
  <c r="G29" i="68"/>
  <c r="G29" i="63"/>
  <c r="G29" i="66"/>
  <c r="G29" i="70"/>
  <c r="G29" i="69"/>
  <c r="G29" i="81"/>
  <c r="G31" i="5"/>
  <c r="G31" i="71"/>
  <c r="G31" i="78"/>
  <c r="G31" i="72"/>
  <c r="G39" i="58"/>
  <c r="G39" i="60"/>
  <c r="G39" i="61"/>
  <c r="G39" i="62"/>
  <c r="G39" i="53"/>
  <c r="G39" i="54"/>
  <c r="G39" i="46"/>
  <c r="G39" i="47"/>
  <c r="G39" i="48"/>
  <c r="G39" i="50"/>
  <c r="G39" i="51"/>
  <c r="G39" i="57"/>
  <c r="G29" i="79"/>
  <c r="G39" i="52"/>
  <c r="G39" i="49"/>
  <c r="G39" i="59"/>
  <c r="G31" i="75"/>
  <c r="G31" i="74"/>
  <c r="G31" i="73"/>
  <c r="D16" i="81"/>
  <c r="D16" i="79"/>
  <c r="D16" i="80"/>
  <c r="C18" i="80"/>
  <c r="C18" i="81"/>
  <c r="C18" i="79"/>
  <c r="F32" i="4"/>
  <c r="F31" i="47"/>
  <c r="F32" i="47"/>
  <c r="C20" i="78"/>
  <c r="C20" i="76"/>
  <c r="C20" i="77"/>
  <c r="F31" i="4"/>
  <c r="F23" i="81" l="1"/>
  <c r="F23" i="79"/>
  <c r="F23" i="80"/>
  <c r="F25" i="75"/>
  <c r="F25" i="73"/>
  <c r="F25" i="74"/>
  <c r="F23" i="70"/>
  <c r="F23" i="69"/>
  <c r="F23" i="68"/>
  <c r="F23" i="64"/>
  <c r="F23" i="63"/>
  <c r="F23" i="25"/>
  <c r="F32" i="58"/>
  <c r="F32" i="59"/>
  <c r="F32" i="57"/>
  <c r="F32" i="52"/>
  <c r="F32" i="53"/>
  <c r="F32" i="51"/>
  <c r="F24" i="78"/>
  <c r="F24" i="76"/>
  <c r="F24" i="77"/>
  <c r="F24" i="72"/>
  <c r="F24" i="5"/>
  <c r="F24" i="71"/>
  <c r="F22" i="67"/>
  <c r="F22" i="66"/>
  <c r="F22" i="65"/>
  <c r="F31" i="62"/>
  <c r="F31" i="60"/>
  <c r="F31" i="61"/>
  <c r="F31" i="56"/>
  <c r="F31" i="54"/>
  <c r="F31" i="50"/>
  <c r="F31" i="48"/>
  <c r="F31" i="49"/>
  <c r="F25" i="77"/>
  <c r="F25" i="78"/>
  <c r="F25" i="76"/>
  <c r="F25" i="71"/>
  <c r="F25" i="72"/>
  <c r="F25" i="5"/>
  <c r="F23" i="67"/>
  <c r="F23" i="66"/>
  <c r="F23" i="65"/>
  <c r="F32" i="62"/>
  <c r="F32" i="60"/>
  <c r="F32" i="61"/>
  <c r="F32" i="56"/>
  <c r="F32" i="54"/>
  <c r="F32" i="50"/>
  <c r="F32" i="48"/>
  <c r="F32" i="49"/>
  <c r="F22" i="80"/>
  <c r="F22" i="81"/>
  <c r="F22" i="79"/>
  <c r="F24" i="74"/>
  <c r="F24" i="75"/>
  <c r="F24" i="73"/>
  <c r="F22" i="70"/>
  <c r="F22" i="69"/>
  <c r="F22" i="68"/>
  <c r="F22" i="64"/>
  <c r="F22" i="63"/>
  <c r="F22" i="25"/>
  <c r="F31" i="58"/>
  <c r="F31" i="59"/>
  <c r="F31" i="57"/>
  <c r="F31" i="52"/>
  <c r="F31" i="53"/>
  <c r="F31" i="51"/>
  <c r="F35" i="81" l="1"/>
  <c r="F33" i="81"/>
  <c r="B31" i="81"/>
  <c r="B23" i="81"/>
  <c r="B22" i="81"/>
  <c r="B19" i="81"/>
  <c r="B18" i="81"/>
  <c r="F14" i="81"/>
  <c r="E14" i="81"/>
  <c r="D14" i="81"/>
  <c r="F13" i="81"/>
  <c r="B8" i="81"/>
  <c r="B7" i="81"/>
  <c r="B6" i="81"/>
  <c r="B9" i="81" s="1"/>
  <c r="B20" i="81" s="1"/>
  <c r="F35" i="80"/>
  <c r="F33" i="80"/>
  <c r="F14" i="80"/>
  <c r="E14" i="80"/>
  <c r="D14" i="80"/>
  <c r="F13" i="80"/>
  <c r="B8" i="80"/>
  <c r="B6" i="80"/>
  <c r="F35" i="79"/>
  <c r="F33" i="79"/>
  <c r="B31" i="79"/>
  <c r="B23" i="79"/>
  <c r="B22" i="79"/>
  <c r="B19" i="79"/>
  <c r="B18" i="79"/>
  <c r="F14" i="79"/>
  <c r="E14" i="79"/>
  <c r="D14" i="79"/>
  <c r="F13" i="79"/>
  <c r="B8" i="79"/>
  <c r="B7" i="79"/>
  <c r="B6" i="79"/>
  <c r="B9" i="79" s="1"/>
  <c r="B20" i="79" s="1"/>
  <c r="F37" i="78"/>
  <c r="F35" i="78"/>
  <c r="B33" i="78"/>
  <c r="B25" i="78"/>
  <c r="B24" i="78"/>
  <c r="B21" i="78"/>
  <c r="B20" i="78"/>
  <c r="F14" i="78"/>
  <c r="E14" i="78"/>
  <c r="D14" i="78"/>
  <c r="F13" i="78"/>
  <c r="B8" i="78"/>
  <c r="B7" i="78"/>
  <c r="B6" i="78"/>
  <c r="B9" i="78" s="1"/>
  <c r="B22" i="78" s="1"/>
  <c r="F37" i="77"/>
  <c r="F35" i="77"/>
  <c r="F14" i="77"/>
  <c r="E14" i="77"/>
  <c r="D14" i="77"/>
  <c r="F13" i="77"/>
  <c r="B8" i="77"/>
  <c r="B6" i="77"/>
  <c r="F37" i="76"/>
  <c r="F35" i="76"/>
  <c r="B33" i="76"/>
  <c r="B25" i="76"/>
  <c r="B24" i="76"/>
  <c r="B21" i="76"/>
  <c r="B20" i="76"/>
  <c r="F14" i="76"/>
  <c r="E14" i="76"/>
  <c r="D14" i="76"/>
  <c r="F13" i="76"/>
  <c r="B8" i="76"/>
  <c r="B7" i="76"/>
  <c r="B6" i="76"/>
  <c r="B9" i="76" s="1"/>
  <c r="B22" i="76" s="1"/>
  <c r="F37" i="75"/>
  <c r="F35" i="75"/>
  <c r="B33" i="75"/>
  <c r="B25" i="75"/>
  <c r="B24" i="75"/>
  <c r="B21" i="75"/>
  <c r="B20" i="75"/>
  <c r="F14" i="75"/>
  <c r="E14" i="75"/>
  <c r="D14" i="75"/>
  <c r="F13" i="75"/>
  <c r="B8" i="75"/>
  <c r="B7" i="75"/>
  <c r="B6" i="75"/>
  <c r="B9" i="75" s="1"/>
  <c r="B22" i="75" s="1"/>
  <c r="F37" i="74"/>
  <c r="F35" i="74"/>
  <c r="F14" i="74"/>
  <c r="E14" i="74"/>
  <c r="D14" i="74"/>
  <c r="F13" i="74"/>
  <c r="B8" i="74"/>
  <c r="B6" i="74"/>
  <c r="F37" i="73"/>
  <c r="F35" i="73"/>
  <c r="B33" i="73"/>
  <c r="B25" i="73"/>
  <c r="B24" i="73"/>
  <c r="B21" i="73"/>
  <c r="B20" i="73"/>
  <c r="F14" i="73"/>
  <c r="E14" i="73"/>
  <c r="D14" i="73"/>
  <c r="F13" i="73"/>
  <c r="B8" i="73"/>
  <c r="B7" i="73"/>
  <c r="B6" i="73"/>
  <c r="B9" i="73" s="1"/>
  <c r="B22" i="73" s="1"/>
  <c r="B7" i="72"/>
  <c r="B7" i="5"/>
  <c r="F37" i="72"/>
  <c r="F35" i="72"/>
  <c r="B25" i="72"/>
  <c r="B24" i="72"/>
  <c r="B21" i="72"/>
  <c r="B20" i="72"/>
  <c r="F14" i="72"/>
  <c r="E14" i="72"/>
  <c r="D14" i="72"/>
  <c r="F13" i="72"/>
  <c r="B8" i="72"/>
  <c r="B6" i="72"/>
  <c r="B33" i="72"/>
  <c r="F37" i="71"/>
  <c r="F35" i="71"/>
  <c r="F14" i="71"/>
  <c r="E14" i="71"/>
  <c r="D14" i="71"/>
  <c r="F13" i="71"/>
  <c r="B8" i="71"/>
  <c r="B6" i="71"/>
  <c r="F35" i="70"/>
  <c r="F33" i="70"/>
  <c r="B31" i="70"/>
  <c r="F13" i="70"/>
  <c r="F12" i="70"/>
  <c r="B9" i="70"/>
  <c r="B18" i="70" s="1"/>
  <c r="B7" i="70"/>
  <c r="B6" i="70"/>
  <c r="B8" i="70" s="1"/>
  <c r="B5" i="70"/>
  <c r="F35" i="69"/>
  <c r="F33" i="69"/>
  <c r="F13" i="69"/>
  <c r="F12" i="69"/>
  <c r="B9" i="69"/>
  <c r="B7" i="69"/>
  <c r="B6" i="69"/>
  <c r="B5" i="69"/>
  <c r="F35" i="68"/>
  <c r="F33" i="68"/>
  <c r="B31" i="68"/>
  <c r="F13" i="68"/>
  <c r="F12" i="68"/>
  <c r="B9" i="68"/>
  <c r="B18" i="68" s="1"/>
  <c r="B7" i="68"/>
  <c r="B6" i="68"/>
  <c r="B8" i="68" s="1"/>
  <c r="B5" i="68"/>
  <c r="F35" i="67"/>
  <c r="F33" i="67"/>
  <c r="B31" i="67"/>
  <c r="F13" i="67"/>
  <c r="F12" i="67"/>
  <c r="B9" i="67"/>
  <c r="B18" i="67" s="1"/>
  <c r="B7" i="67"/>
  <c r="B6" i="67"/>
  <c r="B8" i="67" s="1"/>
  <c r="B5" i="67"/>
  <c r="F35" i="66"/>
  <c r="F33" i="66"/>
  <c r="F13" i="66"/>
  <c r="F12" i="66"/>
  <c r="B9" i="66"/>
  <c r="B7" i="66"/>
  <c r="B6" i="66"/>
  <c r="B5" i="66"/>
  <c r="F35" i="65"/>
  <c r="F33" i="65"/>
  <c r="B31" i="65"/>
  <c r="F13" i="65"/>
  <c r="F12" i="65"/>
  <c r="B9" i="65"/>
  <c r="B18" i="65" s="1"/>
  <c r="B7" i="65"/>
  <c r="B6" i="65"/>
  <c r="B8" i="65" s="1"/>
  <c r="B5" i="65"/>
  <c r="F35" i="64"/>
  <c r="F33" i="64"/>
  <c r="B31" i="64"/>
  <c r="F13" i="64"/>
  <c r="F12" i="64"/>
  <c r="B9" i="64"/>
  <c r="B18" i="64" s="1"/>
  <c r="B7" i="64"/>
  <c r="B6" i="64"/>
  <c r="B8" i="64" s="1"/>
  <c r="B5" i="64"/>
  <c r="F35" i="63"/>
  <c r="F33" i="63"/>
  <c r="F13" i="63"/>
  <c r="F12" i="63"/>
  <c r="B9" i="63"/>
  <c r="B7" i="63"/>
  <c r="B6" i="63"/>
  <c r="B5" i="63"/>
  <c r="E16" i="25"/>
  <c r="F48" i="62"/>
  <c r="F43" i="62"/>
  <c r="B41" i="62"/>
  <c r="F17" i="62"/>
  <c r="F16" i="62"/>
  <c r="F15" i="62"/>
  <c r="F13" i="62"/>
  <c r="F12" i="62"/>
  <c r="B9" i="62"/>
  <c r="B24" i="62" s="1"/>
  <c r="B7" i="62"/>
  <c r="B6" i="62"/>
  <c r="B8" i="62" s="1"/>
  <c r="B38" i="62" s="1"/>
  <c r="B5" i="62"/>
  <c r="F48" i="61"/>
  <c r="F45" i="61"/>
  <c r="F43" i="61"/>
  <c r="B41" i="61"/>
  <c r="F17" i="61"/>
  <c r="F16" i="61"/>
  <c r="F15" i="61"/>
  <c r="F13" i="61"/>
  <c r="F12" i="61"/>
  <c r="B9" i="61"/>
  <c r="B24" i="61" s="1"/>
  <c r="B7" i="61"/>
  <c r="B6" i="61"/>
  <c r="B5" i="61"/>
  <c r="B41" i="60"/>
  <c r="F17" i="60"/>
  <c r="F16" i="60"/>
  <c r="F15" i="60"/>
  <c r="F13" i="60"/>
  <c r="F12" i="60"/>
  <c r="B9" i="60"/>
  <c r="B24" i="60" s="1"/>
  <c r="B7" i="60"/>
  <c r="B6" i="60"/>
  <c r="B5" i="60"/>
  <c r="F48" i="59"/>
  <c r="F43" i="59"/>
  <c r="B41" i="59"/>
  <c r="F17" i="59"/>
  <c r="F16" i="59"/>
  <c r="F15" i="59"/>
  <c r="F13" i="59"/>
  <c r="F12" i="59"/>
  <c r="B9" i="59"/>
  <c r="B24" i="59" s="1"/>
  <c r="B7" i="59"/>
  <c r="B6" i="59"/>
  <c r="B8" i="59" s="1"/>
  <c r="B38" i="59" s="1"/>
  <c r="B5" i="59"/>
  <c r="F48" i="58"/>
  <c r="F45" i="58"/>
  <c r="F43" i="58"/>
  <c r="B41" i="58"/>
  <c r="F17" i="58"/>
  <c r="F16" i="58"/>
  <c r="F15" i="58"/>
  <c r="F13" i="58"/>
  <c r="F12" i="58"/>
  <c r="B9" i="58"/>
  <c r="B24" i="58" s="1"/>
  <c r="B7" i="58"/>
  <c r="B6" i="58"/>
  <c r="B5" i="58"/>
  <c r="F48" i="57"/>
  <c r="F45" i="57"/>
  <c r="F43" i="57"/>
  <c r="B41" i="57"/>
  <c r="F17" i="57"/>
  <c r="F16" i="57"/>
  <c r="F15" i="57"/>
  <c r="F13" i="57"/>
  <c r="F12" i="57"/>
  <c r="B9" i="57"/>
  <c r="B24" i="57" s="1"/>
  <c r="B7" i="57"/>
  <c r="B6" i="57"/>
  <c r="B8" i="57" s="1"/>
  <c r="B38" i="57" s="1"/>
  <c r="B5" i="57"/>
  <c r="F48" i="56"/>
  <c r="F45" i="56"/>
  <c r="F43" i="56"/>
  <c r="B41" i="56"/>
  <c r="F17" i="56"/>
  <c r="F16" i="56"/>
  <c r="F15" i="56"/>
  <c r="F13" i="56"/>
  <c r="F12" i="56"/>
  <c r="B9" i="56"/>
  <c r="B24" i="56" s="1"/>
  <c r="B7" i="56"/>
  <c r="B6" i="56"/>
  <c r="B5" i="56"/>
  <c r="F48" i="54"/>
  <c r="F45" i="54"/>
  <c r="F43" i="54"/>
  <c r="B41" i="54"/>
  <c r="F17" i="54"/>
  <c r="F16" i="54"/>
  <c r="F15" i="54"/>
  <c r="F13" i="54"/>
  <c r="F12" i="54"/>
  <c r="B9" i="54"/>
  <c r="B24" i="54" s="1"/>
  <c r="B7" i="54"/>
  <c r="B6" i="54"/>
  <c r="B5" i="54"/>
  <c r="F48" i="53"/>
  <c r="F45" i="53"/>
  <c r="F43" i="53"/>
  <c r="B41" i="53"/>
  <c r="F17" i="53"/>
  <c r="F16" i="53"/>
  <c r="F15" i="53"/>
  <c r="F13" i="53"/>
  <c r="F12" i="53"/>
  <c r="B9" i="53"/>
  <c r="B24" i="53" s="1"/>
  <c r="B7" i="53"/>
  <c r="B6" i="53"/>
  <c r="B8" i="53" s="1"/>
  <c r="B38" i="53" s="1"/>
  <c r="B5" i="53"/>
  <c r="F48" i="52"/>
  <c r="F45" i="52"/>
  <c r="F43" i="52"/>
  <c r="B41" i="52"/>
  <c r="F17" i="52"/>
  <c r="F16" i="52"/>
  <c r="F15" i="52"/>
  <c r="F13" i="52"/>
  <c r="F12" i="52"/>
  <c r="B9" i="52"/>
  <c r="B24" i="52" s="1"/>
  <c r="B7" i="52"/>
  <c r="B6" i="52"/>
  <c r="B5" i="52"/>
  <c r="F48" i="51"/>
  <c r="F45" i="51"/>
  <c r="F43" i="51"/>
  <c r="B41" i="51"/>
  <c r="F17" i="51"/>
  <c r="F16" i="51"/>
  <c r="F15" i="51"/>
  <c r="F13" i="51"/>
  <c r="F12" i="51"/>
  <c r="B9" i="51"/>
  <c r="B7" i="51"/>
  <c r="B6" i="51"/>
  <c r="B8" i="51" s="1"/>
  <c r="B38" i="51" s="1"/>
  <c r="B5" i="51"/>
  <c r="F48" i="50"/>
  <c r="F45" i="50"/>
  <c r="F43" i="50"/>
  <c r="B41" i="50"/>
  <c r="F17" i="50"/>
  <c r="F16" i="50"/>
  <c r="F15" i="50"/>
  <c r="F13" i="50"/>
  <c r="F12" i="50"/>
  <c r="B9" i="50"/>
  <c r="B24" i="50" s="1"/>
  <c r="B7" i="50"/>
  <c r="B6" i="50"/>
  <c r="B5" i="50"/>
  <c r="F48" i="49"/>
  <c r="F45" i="49"/>
  <c r="F43" i="49"/>
  <c r="B41" i="49"/>
  <c r="F17" i="49"/>
  <c r="F16" i="49"/>
  <c r="F15" i="49"/>
  <c r="F13" i="49"/>
  <c r="F12" i="49"/>
  <c r="B9" i="49"/>
  <c r="B24" i="49" s="1"/>
  <c r="B7" i="49"/>
  <c r="B6" i="49"/>
  <c r="B5" i="49"/>
  <c r="F48" i="48"/>
  <c r="F45" i="48"/>
  <c r="F43" i="48"/>
  <c r="B41" i="48"/>
  <c r="F17" i="48"/>
  <c r="F16" i="48"/>
  <c r="F15" i="48"/>
  <c r="F13" i="48"/>
  <c r="F12" i="48"/>
  <c r="B9" i="48"/>
  <c r="B24" i="48" s="1"/>
  <c r="B7" i="48"/>
  <c r="B6" i="48"/>
  <c r="B8" i="48" s="1"/>
  <c r="B38" i="48" s="1"/>
  <c r="B5" i="48"/>
  <c r="F48" i="47"/>
  <c r="F45" i="47"/>
  <c r="F43" i="47"/>
  <c r="B41" i="47"/>
  <c r="F17" i="47"/>
  <c r="F16" i="47"/>
  <c r="F15" i="47"/>
  <c r="F13" i="47"/>
  <c r="F12" i="47"/>
  <c r="B9" i="47"/>
  <c r="B7" i="47"/>
  <c r="B6" i="47"/>
  <c r="B8" i="47" s="1"/>
  <c r="B38" i="47" s="1"/>
  <c r="B5" i="47"/>
  <c r="F48" i="46"/>
  <c r="F45" i="46"/>
  <c r="F43" i="46"/>
  <c r="B41" i="46"/>
  <c r="F17" i="46"/>
  <c r="F16" i="46"/>
  <c r="F15" i="46"/>
  <c r="F13" i="46"/>
  <c r="F12" i="46"/>
  <c r="B9" i="46"/>
  <c r="B24" i="46" s="1"/>
  <c r="B7" i="46"/>
  <c r="B6" i="46"/>
  <c r="B5" i="46"/>
  <c r="E20" i="4"/>
  <c r="E21" i="4"/>
  <c r="B28" i="65" l="1"/>
  <c r="D28" i="65" s="1"/>
  <c r="B28" i="70"/>
  <c r="D28" i="70" s="1"/>
  <c r="B28" i="67"/>
  <c r="E28" i="67" s="1"/>
  <c r="G28" i="67" s="1"/>
  <c r="B28" i="64"/>
  <c r="E28" i="64" s="1"/>
  <c r="G28" i="64" s="1"/>
  <c r="B28" i="68"/>
  <c r="E28" i="68" s="1"/>
  <c r="G28" i="68" s="1"/>
  <c r="E22" i="76"/>
  <c r="D22" i="76"/>
  <c r="E22" i="78"/>
  <c r="D22" i="78"/>
  <c r="D22" i="73"/>
  <c r="E22" i="73"/>
  <c r="E22" i="75"/>
  <c r="D22" i="75"/>
  <c r="D41" i="57"/>
  <c r="E41" i="57"/>
  <c r="G41" i="57" s="1"/>
  <c r="H41" i="57" s="1"/>
  <c r="I41" i="57" s="1"/>
  <c r="E31" i="68"/>
  <c r="G31" i="68" s="1"/>
  <c r="D31" i="68"/>
  <c r="E41" i="61"/>
  <c r="G41" i="61" s="1"/>
  <c r="D41" i="61"/>
  <c r="E31" i="65"/>
  <c r="G31" i="65" s="1"/>
  <c r="D31" i="65"/>
  <c r="E41" i="54"/>
  <c r="G41" i="54" s="1"/>
  <c r="D41" i="54"/>
  <c r="E31" i="64"/>
  <c r="G31" i="64" s="1"/>
  <c r="D31" i="64"/>
  <c r="E41" i="58"/>
  <c r="G41" i="58" s="1"/>
  <c r="D41" i="58"/>
  <c r="E31" i="67"/>
  <c r="G31" i="67" s="1"/>
  <c r="D31" i="67"/>
  <c r="E41" i="60"/>
  <c r="G41" i="60" s="1"/>
  <c r="D41" i="60"/>
  <c r="H41" i="60" s="1"/>
  <c r="I41" i="60" s="1"/>
  <c r="E31" i="70"/>
  <c r="G31" i="70" s="1"/>
  <c r="D31" i="70"/>
  <c r="E41" i="52"/>
  <c r="G41" i="52" s="1"/>
  <c r="H41" i="52" s="1"/>
  <c r="I41" i="52" s="1"/>
  <c r="D41" i="52"/>
  <c r="D41" i="49"/>
  <c r="E41" i="49"/>
  <c r="G41" i="49" s="1"/>
  <c r="E41" i="46"/>
  <c r="G41" i="46" s="1"/>
  <c r="D41" i="46"/>
  <c r="G14" i="80"/>
  <c r="H14" i="80" s="1"/>
  <c r="I14" i="80" s="1"/>
  <c r="G14" i="76"/>
  <c r="H14" i="76" s="1"/>
  <c r="I14" i="76" s="1"/>
  <c r="G14" i="71"/>
  <c r="H14" i="71" s="1"/>
  <c r="I14" i="71" s="1"/>
  <c r="B13" i="75"/>
  <c r="B30" i="75"/>
  <c r="B13" i="79"/>
  <c r="B28" i="79"/>
  <c r="B13" i="78"/>
  <c r="B30" i="78"/>
  <c r="B13" i="73"/>
  <c r="B30" i="73"/>
  <c r="B13" i="81"/>
  <c r="B28" i="81"/>
  <c r="B13" i="76"/>
  <c r="B30" i="76"/>
  <c r="E38" i="48"/>
  <c r="G38" i="48" s="1"/>
  <c r="D38" i="48"/>
  <c r="E38" i="47"/>
  <c r="G38" i="47" s="1"/>
  <c r="D38" i="47"/>
  <c r="D38" i="51"/>
  <c r="E38" i="51"/>
  <c r="G38" i="51" s="1"/>
  <c r="E38" i="59"/>
  <c r="G38" i="59" s="1"/>
  <c r="D38" i="59"/>
  <c r="E38" i="53"/>
  <c r="G38" i="53" s="1"/>
  <c r="D38" i="53"/>
  <c r="E38" i="57"/>
  <c r="G38" i="57" s="1"/>
  <c r="D38" i="57"/>
  <c r="D38" i="62"/>
  <c r="E38" i="62"/>
  <c r="G38" i="62" s="1"/>
  <c r="D41" i="56"/>
  <c r="E41" i="56"/>
  <c r="G41" i="56" s="1"/>
  <c r="E41" i="53"/>
  <c r="G41" i="53" s="1"/>
  <c r="D41" i="53"/>
  <c r="E41" i="51"/>
  <c r="G41" i="51" s="1"/>
  <c r="D41" i="51"/>
  <c r="D41" i="50"/>
  <c r="E41" i="50"/>
  <c r="G41" i="50" s="1"/>
  <c r="D41" i="48"/>
  <c r="E41" i="48"/>
  <c r="G41" i="48" s="1"/>
  <c r="E41" i="47"/>
  <c r="G41" i="47" s="1"/>
  <c r="D41" i="47"/>
  <c r="G14" i="72"/>
  <c r="H14" i="72" s="1"/>
  <c r="I14" i="72" s="1"/>
  <c r="G14" i="74"/>
  <c r="H14" i="74" s="1"/>
  <c r="I14" i="74" s="1"/>
  <c r="G14" i="78"/>
  <c r="H14" i="78" s="1"/>
  <c r="I14" i="78" s="1"/>
  <c r="E24" i="76"/>
  <c r="G24" i="76" s="1"/>
  <c r="D33" i="76"/>
  <c r="E33" i="76"/>
  <c r="G33" i="76" s="1"/>
  <c r="E20" i="76"/>
  <c r="D20" i="76"/>
  <c r="E21" i="76"/>
  <c r="E25" i="76"/>
  <c r="G25" i="76" s="1"/>
  <c r="E20" i="73"/>
  <c r="E21" i="73"/>
  <c r="E25" i="73"/>
  <c r="G25" i="73" s="1"/>
  <c r="E24" i="73"/>
  <c r="G24" i="73" s="1"/>
  <c r="E33" i="73"/>
  <c r="G33" i="73" s="1"/>
  <c r="H33" i="73" s="1"/>
  <c r="I33" i="73" s="1"/>
  <c r="D33" i="73"/>
  <c r="G14" i="81"/>
  <c r="H14" i="81" s="1"/>
  <c r="I14" i="81" s="1"/>
  <c r="G14" i="79"/>
  <c r="H14" i="79" s="1"/>
  <c r="I14" i="79" s="1"/>
  <c r="G14" i="77"/>
  <c r="H14" i="77" s="1"/>
  <c r="I14" i="77" s="1"/>
  <c r="G14" i="75"/>
  <c r="H14" i="75" s="1"/>
  <c r="I14" i="75" s="1"/>
  <c r="G14" i="73"/>
  <c r="H14" i="73" s="1"/>
  <c r="I14" i="73" s="1"/>
  <c r="C27" i="46"/>
  <c r="F27" i="46" s="1"/>
  <c r="B12" i="46"/>
  <c r="B13" i="46"/>
  <c r="D13" i="46" s="1"/>
  <c r="C27" i="47"/>
  <c r="F27" i="47" s="1"/>
  <c r="B13" i="47"/>
  <c r="B12" i="47"/>
  <c r="C27" i="48"/>
  <c r="F27" i="48" s="1"/>
  <c r="B12" i="48"/>
  <c r="B13" i="48"/>
  <c r="C27" i="49"/>
  <c r="F27" i="49" s="1"/>
  <c r="B13" i="49"/>
  <c r="D13" i="49" s="1"/>
  <c r="B12" i="49"/>
  <c r="C27" i="50"/>
  <c r="F27" i="50" s="1"/>
  <c r="B12" i="50"/>
  <c r="D12" i="50" s="1"/>
  <c r="B13" i="50"/>
  <c r="C27" i="51"/>
  <c r="F27" i="51" s="1"/>
  <c r="B13" i="51"/>
  <c r="B12" i="51"/>
  <c r="C27" i="52"/>
  <c r="F27" i="52" s="1"/>
  <c r="B12" i="52"/>
  <c r="B13" i="52"/>
  <c r="D13" i="52" s="1"/>
  <c r="C27" i="53"/>
  <c r="F27" i="53" s="1"/>
  <c r="B13" i="53"/>
  <c r="B12" i="53"/>
  <c r="C27" i="54"/>
  <c r="F27" i="54" s="1"/>
  <c r="B12" i="54"/>
  <c r="B13" i="54"/>
  <c r="D13" i="54" s="1"/>
  <c r="C27" i="56"/>
  <c r="F27" i="56" s="1"/>
  <c r="B12" i="56"/>
  <c r="B13" i="56"/>
  <c r="D13" i="56" s="1"/>
  <c r="C27" i="57"/>
  <c r="F27" i="57" s="1"/>
  <c r="B13" i="57"/>
  <c r="B12" i="57"/>
  <c r="C27" i="58"/>
  <c r="F27" i="58" s="1"/>
  <c r="B12" i="58"/>
  <c r="B13" i="58"/>
  <c r="C27" i="59"/>
  <c r="F27" i="59" s="1"/>
  <c r="B13" i="59"/>
  <c r="B12" i="59"/>
  <c r="C27" i="60"/>
  <c r="F27" i="60" s="1"/>
  <c r="B12" i="60"/>
  <c r="D12" i="60" s="1"/>
  <c r="B13" i="60"/>
  <c r="C27" i="61"/>
  <c r="F27" i="61" s="1"/>
  <c r="B13" i="61"/>
  <c r="B12" i="61"/>
  <c r="C27" i="62"/>
  <c r="F27" i="62" s="1"/>
  <c r="B12" i="62"/>
  <c r="B13" i="62"/>
  <c r="C20" i="64"/>
  <c r="F20" i="64" s="1"/>
  <c r="B13" i="64"/>
  <c r="D13" i="64" s="1"/>
  <c r="B12" i="64"/>
  <c r="C20" i="65"/>
  <c r="F20" i="65" s="1"/>
  <c r="B13" i="65"/>
  <c r="D13" i="65" s="1"/>
  <c r="B12" i="65"/>
  <c r="B13" i="67"/>
  <c r="E13" i="67" s="1"/>
  <c r="G13" i="67" s="1"/>
  <c r="B12" i="67"/>
  <c r="B13" i="68"/>
  <c r="E13" i="68" s="1"/>
  <c r="G13" i="68" s="1"/>
  <c r="B12" i="68"/>
  <c r="C20" i="70"/>
  <c r="F20" i="70" s="1"/>
  <c r="B13" i="70"/>
  <c r="D13" i="70" s="1"/>
  <c r="B12" i="70"/>
  <c r="E41" i="62"/>
  <c r="G41" i="62" s="1"/>
  <c r="D41" i="62"/>
  <c r="H41" i="62" s="1"/>
  <c r="I41" i="62" s="1"/>
  <c r="D41" i="59"/>
  <c r="E41" i="59"/>
  <c r="G41" i="59" s="1"/>
  <c r="D31" i="81"/>
  <c r="E31" i="81"/>
  <c r="G31" i="81" s="1"/>
  <c r="E18" i="81"/>
  <c r="D18" i="81"/>
  <c r="E19" i="81"/>
  <c r="E23" i="81"/>
  <c r="G23" i="81" s="1"/>
  <c r="E20" i="81"/>
  <c r="E22" i="81"/>
  <c r="G22" i="81" s="1"/>
  <c r="D31" i="79"/>
  <c r="E31" i="79"/>
  <c r="G31" i="79" s="1"/>
  <c r="E18" i="79"/>
  <c r="D18" i="79"/>
  <c r="E19" i="79"/>
  <c r="E23" i="79"/>
  <c r="G23" i="79" s="1"/>
  <c r="E20" i="79"/>
  <c r="E22" i="79"/>
  <c r="G22" i="79" s="1"/>
  <c r="E33" i="78"/>
  <c r="G33" i="78" s="1"/>
  <c r="D33" i="78"/>
  <c r="E20" i="78"/>
  <c r="D20" i="78"/>
  <c r="E21" i="78"/>
  <c r="E25" i="78"/>
  <c r="G25" i="78" s="1"/>
  <c r="E24" i="78"/>
  <c r="G24" i="78" s="1"/>
  <c r="D33" i="75"/>
  <c r="E33" i="75"/>
  <c r="G33" i="75" s="1"/>
  <c r="E20" i="75"/>
  <c r="E21" i="75"/>
  <c r="E25" i="75"/>
  <c r="G25" i="75" s="1"/>
  <c r="E24" i="75"/>
  <c r="G24" i="75" s="1"/>
  <c r="E33" i="72"/>
  <c r="G33" i="72" s="1"/>
  <c r="D33" i="72"/>
  <c r="E24" i="72"/>
  <c r="G24" i="72" s="1"/>
  <c r="E20" i="72"/>
  <c r="E21" i="72"/>
  <c r="E25" i="72"/>
  <c r="G25" i="72" s="1"/>
  <c r="E18" i="64"/>
  <c r="E18" i="65"/>
  <c r="E18" i="67"/>
  <c r="E18" i="68"/>
  <c r="E18" i="70"/>
  <c r="E24" i="46"/>
  <c r="E24" i="48"/>
  <c r="E24" i="49"/>
  <c r="E24" i="50"/>
  <c r="E24" i="52"/>
  <c r="E24" i="53"/>
  <c r="E24" i="54"/>
  <c r="E24" i="56"/>
  <c r="E24" i="57"/>
  <c r="E24" i="58"/>
  <c r="E24" i="59"/>
  <c r="E24" i="60"/>
  <c r="E24" i="61"/>
  <c r="E24" i="62"/>
  <c r="C20" i="67"/>
  <c r="F20" i="67" s="1"/>
  <c r="C20" i="68"/>
  <c r="F20" i="68" s="1"/>
  <c r="B26" i="81"/>
  <c r="B27" i="81"/>
  <c r="H29" i="81"/>
  <c r="I29" i="81" s="1"/>
  <c r="H29" i="80"/>
  <c r="I29" i="80" s="1"/>
  <c r="B26" i="79"/>
  <c r="B27" i="79"/>
  <c r="H29" i="79"/>
  <c r="I29" i="79" s="1"/>
  <c r="E15" i="53"/>
  <c r="G15" i="53" s="1"/>
  <c r="E16" i="53"/>
  <c r="G16" i="53" s="1"/>
  <c r="E17" i="53"/>
  <c r="G17" i="53" s="1"/>
  <c r="D15" i="47"/>
  <c r="B23" i="49"/>
  <c r="E15" i="61"/>
  <c r="G15" i="61" s="1"/>
  <c r="E15" i="62"/>
  <c r="G15" i="62" s="1"/>
  <c r="E16" i="62"/>
  <c r="G16" i="62" s="1"/>
  <c r="E17" i="62"/>
  <c r="G17" i="62" s="1"/>
  <c r="B28" i="78"/>
  <c r="B29" i="78"/>
  <c r="H31" i="78"/>
  <c r="I31" i="78" s="1"/>
  <c r="H17" i="78"/>
  <c r="I17" i="78" s="1"/>
  <c r="H31" i="77"/>
  <c r="I31" i="77" s="1"/>
  <c r="H17" i="76"/>
  <c r="I17" i="76" s="1"/>
  <c r="B28" i="76"/>
  <c r="B29" i="76"/>
  <c r="H31" i="76"/>
  <c r="I31" i="76" s="1"/>
  <c r="B28" i="75"/>
  <c r="B29" i="75"/>
  <c r="H31" i="75"/>
  <c r="I31" i="75" s="1"/>
  <c r="H17" i="75"/>
  <c r="I17" i="75" s="1"/>
  <c r="H31" i="74"/>
  <c r="I31" i="74" s="1"/>
  <c r="H17" i="74"/>
  <c r="I17" i="74" s="1"/>
  <c r="H31" i="73"/>
  <c r="I31" i="73" s="1"/>
  <c r="B28" i="73"/>
  <c r="B29" i="73"/>
  <c r="H17" i="73"/>
  <c r="I17" i="73" s="1"/>
  <c r="H17" i="72"/>
  <c r="I17" i="72" s="1"/>
  <c r="H31" i="72"/>
  <c r="I31" i="72" s="1"/>
  <c r="B9" i="72"/>
  <c r="B22" i="72" s="1"/>
  <c r="H17" i="71"/>
  <c r="I17" i="71" s="1"/>
  <c r="H31" i="71"/>
  <c r="I31" i="71" s="1"/>
  <c r="B26" i="70"/>
  <c r="B22" i="70"/>
  <c r="B20" i="70"/>
  <c r="B27" i="70"/>
  <c r="B23" i="70"/>
  <c r="H29" i="70"/>
  <c r="I29" i="70" s="1"/>
  <c r="B17" i="70"/>
  <c r="H29" i="69"/>
  <c r="I29" i="69" s="1"/>
  <c r="B26" i="68"/>
  <c r="B22" i="68"/>
  <c r="B20" i="68"/>
  <c r="B27" i="68"/>
  <c r="B23" i="68"/>
  <c r="H29" i="68"/>
  <c r="I29" i="68" s="1"/>
  <c r="B17" i="68"/>
  <c r="B26" i="67"/>
  <c r="B22" i="67"/>
  <c r="B20" i="67"/>
  <c r="B27" i="67"/>
  <c r="B23" i="67"/>
  <c r="H29" i="67"/>
  <c r="I29" i="67" s="1"/>
  <c r="B17" i="67"/>
  <c r="H29" i="66"/>
  <c r="I29" i="66" s="1"/>
  <c r="B26" i="65"/>
  <c r="B22" i="65"/>
  <c r="B20" i="65"/>
  <c r="B27" i="65"/>
  <c r="B23" i="65"/>
  <c r="H29" i="65"/>
  <c r="I29" i="65" s="1"/>
  <c r="B17" i="65"/>
  <c r="B26" i="64"/>
  <c r="B22" i="64"/>
  <c r="B20" i="64"/>
  <c r="B27" i="64"/>
  <c r="B23" i="64"/>
  <c r="H29" i="64"/>
  <c r="I29" i="64" s="1"/>
  <c r="B17" i="64"/>
  <c r="H29" i="63"/>
  <c r="I29" i="63" s="1"/>
  <c r="B37" i="62"/>
  <c r="B36" i="62"/>
  <c r="B32" i="62"/>
  <c r="B31" i="62"/>
  <c r="B28" i="62"/>
  <c r="B27" i="62"/>
  <c r="H22" i="62"/>
  <c r="I22" i="62" s="1"/>
  <c r="B23" i="62"/>
  <c r="H39" i="62"/>
  <c r="I39" i="62" s="1"/>
  <c r="H26" i="62"/>
  <c r="I26" i="62" s="1"/>
  <c r="E17" i="61"/>
  <c r="G17" i="61" s="1"/>
  <c r="D17" i="61"/>
  <c r="B8" i="61"/>
  <c r="B38" i="61" s="1"/>
  <c r="H22" i="61"/>
  <c r="I22" i="61" s="1"/>
  <c r="B23" i="61"/>
  <c r="H39" i="61"/>
  <c r="I39" i="61" s="1"/>
  <c r="H26" i="61"/>
  <c r="I26" i="61" s="1"/>
  <c r="E17" i="60"/>
  <c r="G17" i="60" s="1"/>
  <c r="D17" i="60"/>
  <c r="H22" i="60"/>
  <c r="I22" i="60" s="1"/>
  <c r="B8" i="60"/>
  <c r="B38" i="60" s="1"/>
  <c r="B23" i="60"/>
  <c r="H39" i="60"/>
  <c r="I39" i="60" s="1"/>
  <c r="H26" i="60"/>
  <c r="I26" i="60" s="1"/>
  <c r="H22" i="59"/>
  <c r="I22" i="59" s="1"/>
  <c r="B37" i="59"/>
  <c r="B36" i="59"/>
  <c r="B32" i="59"/>
  <c r="B31" i="59"/>
  <c r="B28" i="59"/>
  <c r="B27" i="59"/>
  <c r="H39" i="59"/>
  <c r="I39" i="59" s="1"/>
  <c r="B23" i="59"/>
  <c r="H26" i="59"/>
  <c r="I26" i="59" s="1"/>
  <c r="E17" i="58"/>
  <c r="G17" i="58" s="1"/>
  <c r="D17" i="58"/>
  <c r="B8" i="58"/>
  <c r="B38" i="58" s="1"/>
  <c r="H22" i="58"/>
  <c r="I22" i="58" s="1"/>
  <c r="B23" i="58"/>
  <c r="H39" i="58"/>
  <c r="I39" i="58" s="1"/>
  <c r="H41" i="58"/>
  <c r="I41" i="58" s="1"/>
  <c r="H26" i="58"/>
  <c r="I26" i="58" s="1"/>
  <c r="E15" i="57"/>
  <c r="G15" i="57" s="1"/>
  <c r="E16" i="57"/>
  <c r="G16" i="57" s="1"/>
  <c r="E17" i="57"/>
  <c r="G17" i="57" s="1"/>
  <c r="B37" i="57"/>
  <c r="B36" i="57"/>
  <c r="B32" i="57"/>
  <c r="B31" i="57"/>
  <c r="B28" i="57"/>
  <c r="B27" i="57"/>
  <c r="H22" i="57"/>
  <c r="I22" i="57" s="1"/>
  <c r="B23" i="57"/>
  <c r="H39" i="57"/>
  <c r="I39" i="57" s="1"/>
  <c r="H26" i="57"/>
  <c r="I26" i="57" s="1"/>
  <c r="E17" i="56"/>
  <c r="G17" i="56" s="1"/>
  <c r="D17" i="56"/>
  <c r="H22" i="56"/>
  <c r="I22" i="56" s="1"/>
  <c r="B8" i="56"/>
  <c r="B38" i="56" s="1"/>
  <c r="B23" i="56"/>
  <c r="H26" i="56"/>
  <c r="I26" i="56" s="1"/>
  <c r="H39" i="56"/>
  <c r="I39" i="56" s="1"/>
  <c r="B23" i="54"/>
  <c r="E17" i="54"/>
  <c r="G17" i="54" s="1"/>
  <c r="D17" i="54"/>
  <c r="H22" i="54"/>
  <c r="I22" i="54" s="1"/>
  <c r="B8" i="54"/>
  <c r="B38" i="54" s="1"/>
  <c r="H39" i="54"/>
  <c r="I39" i="54" s="1"/>
  <c r="H26" i="54"/>
  <c r="I26" i="54" s="1"/>
  <c r="B37" i="53"/>
  <c r="B36" i="53"/>
  <c r="B32" i="53"/>
  <c r="B31" i="53"/>
  <c r="B28" i="53"/>
  <c r="B27" i="53"/>
  <c r="H22" i="53"/>
  <c r="I22" i="53" s="1"/>
  <c r="B23" i="53"/>
  <c r="H39" i="53"/>
  <c r="I39" i="53" s="1"/>
  <c r="H26" i="53"/>
  <c r="I26" i="53" s="1"/>
  <c r="E17" i="52"/>
  <c r="G17" i="52" s="1"/>
  <c r="D17" i="52"/>
  <c r="H22" i="52"/>
  <c r="I22" i="52" s="1"/>
  <c r="B8" i="52"/>
  <c r="B38" i="52" s="1"/>
  <c r="B23" i="52"/>
  <c r="H39" i="52"/>
  <c r="I39" i="52" s="1"/>
  <c r="H26" i="52"/>
  <c r="I26" i="52" s="1"/>
  <c r="D15" i="51"/>
  <c r="D16" i="51"/>
  <c r="D17" i="51"/>
  <c r="B37" i="51"/>
  <c r="B36" i="51"/>
  <c r="B32" i="51"/>
  <c r="B31" i="51"/>
  <c r="B28" i="51"/>
  <c r="B27" i="51"/>
  <c r="B24" i="51"/>
  <c r="H39" i="51"/>
  <c r="I39" i="51" s="1"/>
  <c r="H22" i="51"/>
  <c r="I22" i="51" s="1"/>
  <c r="B23" i="51"/>
  <c r="H26" i="51"/>
  <c r="I26" i="51" s="1"/>
  <c r="E17" i="50"/>
  <c r="G17" i="50" s="1"/>
  <c r="D17" i="50"/>
  <c r="H22" i="50"/>
  <c r="I22" i="50" s="1"/>
  <c r="B8" i="50"/>
  <c r="B38" i="50" s="1"/>
  <c r="B23" i="50"/>
  <c r="H39" i="50"/>
  <c r="I39" i="50" s="1"/>
  <c r="H26" i="50"/>
  <c r="I26" i="50" s="1"/>
  <c r="E17" i="49"/>
  <c r="G17" i="49" s="1"/>
  <c r="D17" i="49"/>
  <c r="H22" i="49"/>
  <c r="I22" i="49" s="1"/>
  <c r="B8" i="49"/>
  <c r="B38" i="49" s="1"/>
  <c r="H39" i="49"/>
  <c r="I39" i="49" s="1"/>
  <c r="H26" i="49"/>
  <c r="I26" i="49" s="1"/>
  <c r="E15" i="48"/>
  <c r="G15" i="48" s="1"/>
  <c r="E16" i="48"/>
  <c r="G16" i="48" s="1"/>
  <c r="E17" i="48"/>
  <c r="G17" i="48" s="1"/>
  <c r="B37" i="48"/>
  <c r="B36" i="48"/>
  <c r="B32" i="48"/>
  <c r="B31" i="48"/>
  <c r="B28" i="48"/>
  <c r="B27" i="48"/>
  <c r="H22" i="48"/>
  <c r="I22" i="48" s="1"/>
  <c r="B23" i="48"/>
  <c r="H39" i="48"/>
  <c r="I39" i="48" s="1"/>
  <c r="H26" i="48"/>
  <c r="I26" i="48" s="1"/>
  <c r="B37" i="47"/>
  <c r="B36" i="47"/>
  <c r="B32" i="47"/>
  <c r="B31" i="47"/>
  <c r="B28" i="47"/>
  <c r="B27" i="47"/>
  <c r="B24" i="47"/>
  <c r="H22" i="47"/>
  <c r="I22" i="47" s="1"/>
  <c r="B23" i="47"/>
  <c r="H39" i="47"/>
  <c r="I39" i="47" s="1"/>
  <c r="H26" i="47"/>
  <c r="I26" i="47" s="1"/>
  <c r="E17" i="46"/>
  <c r="G17" i="46" s="1"/>
  <c r="D17" i="46"/>
  <c r="H22" i="46"/>
  <c r="I22" i="46" s="1"/>
  <c r="B8" i="46"/>
  <c r="B38" i="46" s="1"/>
  <c r="B23" i="46"/>
  <c r="H39" i="46"/>
  <c r="I39" i="46" s="1"/>
  <c r="H26" i="46"/>
  <c r="I26" i="46" s="1"/>
  <c r="E28" i="65" l="1"/>
  <c r="G28" i="65" s="1"/>
  <c r="H28" i="65" s="1"/>
  <c r="I28" i="65" s="1"/>
  <c r="H31" i="64"/>
  <c r="I31" i="64" s="1"/>
  <c r="H41" i="54"/>
  <c r="I41" i="54" s="1"/>
  <c r="D28" i="64"/>
  <c r="H28" i="64" s="1"/>
  <c r="I28" i="64" s="1"/>
  <c r="H33" i="75"/>
  <c r="I33" i="75" s="1"/>
  <c r="H31" i="70"/>
  <c r="I31" i="70" s="1"/>
  <c r="H31" i="65"/>
  <c r="I31" i="65" s="1"/>
  <c r="H33" i="76"/>
  <c r="I33" i="76" s="1"/>
  <c r="D28" i="68"/>
  <c r="H28" i="68" s="1"/>
  <c r="I28" i="68" s="1"/>
  <c r="E28" i="70"/>
  <c r="G28" i="70" s="1"/>
  <c r="H28" i="70" s="1"/>
  <c r="I28" i="70" s="1"/>
  <c r="D28" i="67"/>
  <c r="H28" i="67" s="1"/>
  <c r="I28" i="67" s="1"/>
  <c r="H31" i="68"/>
  <c r="I31" i="68" s="1"/>
  <c r="H31" i="67"/>
  <c r="I31" i="67" s="1"/>
  <c r="H31" i="79"/>
  <c r="I31" i="79" s="1"/>
  <c r="H31" i="81"/>
  <c r="I31" i="81" s="1"/>
  <c r="D22" i="72"/>
  <c r="E22" i="72"/>
  <c r="H33" i="78"/>
  <c r="I33" i="78" s="1"/>
  <c r="H41" i="61"/>
  <c r="I41" i="61" s="1"/>
  <c r="H41" i="49"/>
  <c r="I41" i="49" s="1"/>
  <c r="H41" i="51"/>
  <c r="I41" i="51" s="1"/>
  <c r="H41" i="46"/>
  <c r="I41" i="46" s="1"/>
  <c r="H41" i="50"/>
  <c r="I41" i="50" s="1"/>
  <c r="H41" i="53"/>
  <c r="I41" i="53" s="1"/>
  <c r="E30" i="76"/>
  <c r="G30" i="76" s="1"/>
  <c r="D30" i="76"/>
  <c r="E30" i="73"/>
  <c r="G30" i="73" s="1"/>
  <c r="D30" i="73"/>
  <c r="H38" i="53"/>
  <c r="I38" i="53" s="1"/>
  <c r="H38" i="48"/>
  <c r="I38" i="48" s="1"/>
  <c r="E28" i="81"/>
  <c r="G28" i="81" s="1"/>
  <c r="D28" i="81"/>
  <c r="E28" i="79"/>
  <c r="G28" i="79" s="1"/>
  <c r="D28" i="79"/>
  <c r="B13" i="72"/>
  <c r="B30" i="72"/>
  <c r="E30" i="78"/>
  <c r="G30" i="78" s="1"/>
  <c r="D30" i="78"/>
  <c r="E30" i="75"/>
  <c r="G30" i="75" s="1"/>
  <c r="D30" i="75"/>
  <c r="E38" i="54"/>
  <c r="G38" i="54" s="1"/>
  <c r="D38" i="54"/>
  <c r="D38" i="46"/>
  <c r="E38" i="46"/>
  <c r="G38" i="46" s="1"/>
  <c r="H38" i="47"/>
  <c r="I38" i="47" s="1"/>
  <c r="E38" i="49"/>
  <c r="G38" i="49" s="1"/>
  <c r="D38" i="49"/>
  <c r="E38" i="50"/>
  <c r="G38" i="50" s="1"/>
  <c r="D38" i="50"/>
  <c r="E38" i="52"/>
  <c r="G38" i="52" s="1"/>
  <c r="D38" i="52"/>
  <c r="E38" i="56"/>
  <c r="G38" i="56" s="1"/>
  <c r="D38" i="56"/>
  <c r="E38" i="60"/>
  <c r="G38" i="60" s="1"/>
  <c r="D38" i="60"/>
  <c r="H38" i="62"/>
  <c r="I38" i="62" s="1"/>
  <c r="H38" i="51"/>
  <c r="I38" i="51" s="1"/>
  <c r="E38" i="61"/>
  <c r="G38" i="61" s="1"/>
  <c r="D38" i="61"/>
  <c r="H38" i="57"/>
  <c r="I38" i="57" s="1"/>
  <c r="H38" i="59"/>
  <c r="I38" i="59" s="1"/>
  <c r="D38" i="58"/>
  <c r="E38" i="58"/>
  <c r="G38" i="58" s="1"/>
  <c r="H41" i="48"/>
  <c r="I41" i="48" s="1"/>
  <c r="H41" i="56"/>
  <c r="I41" i="56" s="1"/>
  <c r="H41" i="47"/>
  <c r="I41" i="47" s="1"/>
  <c r="H41" i="59"/>
  <c r="I41" i="59" s="1"/>
  <c r="D13" i="68"/>
  <c r="H13" i="68" s="1"/>
  <c r="I13" i="68" s="1"/>
  <c r="G26" i="73"/>
  <c r="D13" i="67"/>
  <c r="H13" i="67" s="1"/>
  <c r="I13" i="67" s="1"/>
  <c r="G26" i="76"/>
  <c r="E13" i="56"/>
  <c r="G13" i="56" s="1"/>
  <c r="H13" i="56" s="1"/>
  <c r="I13" i="56" s="1"/>
  <c r="E13" i="70"/>
  <c r="G13" i="70" s="1"/>
  <c r="H13" i="70" s="1"/>
  <c r="I13" i="70" s="1"/>
  <c r="G26" i="75"/>
  <c r="G24" i="79"/>
  <c r="G24" i="81"/>
  <c r="G26" i="78"/>
  <c r="E13" i="64"/>
  <c r="G13" i="64" s="1"/>
  <c r="H13" i="64" s="1"/>
  <c r="I13" i="64" s="1"/>
  <c r="G26" i="72"/>
  <c r="E23" i="46"/>
  <c r="E23" i="47"/>
  <c r="E27" i="47"/>
  <c r="G27" i="47" s="1"/>
  <c r="D27" i="47"/>
  <c r="E31" i="47"/>
  <c r="G31" i="47" s="1"/>
  <c r="D36" i="47"/>
  <c r="E36" i="47"/>
  <c r="G36" i="47" s="1"/>
  <c r="E23" i="48"/>
  <c r="E27" i="48"/>
  <c r="G27" i="48" s="1"/>
  <c r="D27" i="48"/>
  <c r="E31" i="48"/>
  <c r="G31" i="48" s="1"/>
  <c r="E36" i="48"/>
  <c r="G36" i="48" s="1"/>
  <c r="D36" i="48"/>
  <c r="E27" i="51"/>
  <c r="G27" i="51" s="1"/>
  <c r="D27" i="51"/>
  <c r="E31" i="51"/>
  <c r="G31" i="51" s="1"/>
  <c r="D36" i="51"/>
  <c r="E36" i="51"/>
  <c r="G36" i="51" s="1"/>
  <c r="E28" i="53"/>
  <c r="G28" i="53" s="1"/>
  <c r="D28" i="53"/>
  <c r="E32" i="53"/>
  <c r="G32" i="53" s="1"/>
  <c r="D37" i="53"/>
  <c r="E37" i="53"/>
  <c r="G37" i="53" s="1"/>
  <c r="E23" i="57"/>
  <c r="E27" i="57"/>
  <c r="G27" i="57" s="1"/>
  <c r="D27" i="57"/>
  <c r="E31" i="57"/>
  <c r="G31" i="57" s="1"/>
  <c r="E36" i="57"/>
  <c r="G36" i="57" s="1"/>
  <c r="D36" i="57"/>
  <c r="E27" i="59"/>
  <c r="G27" i="59" s="1"/>
  <c r="D27" i="59"/>
  <c r="E31" i="59"/>
  <c r="G31" i="59" s="1"/>
  <c r="E36" i="59"/>
  <c r="G36" i="59" s="1"/>
  <c r="D36" i="59"/>
  <c r="E23" i="62"/>
  <c r="E27" i="62"/>
  <c r="G27" i="62" s="1"/>
  <c r="D27" i="62"/>
  <c r="E31" i="62"/>
  <c r="G31" i="62" s="1"/>
  <c r="D36" i="62"/>
  <c r="E36" i="62"/>
  <c r="G36" i="62" s="1"/>
  <c r="E17" i="64"/>
  <c r="E27" i="64"/>
  <c r="G27" i="64" s="1"/>
  <c r="D27" i="64"/>
  <c r="E22" i="64"/>
  <c r="G22" i="64" s="1"/>
  <c r="D27" i="65"/>
  <c r="E27" i="65"/>
  <c r="G27" i="65" s="1"/>
  <c r="E22" i="65"/>
  <c r="G22" i="65" s="1"/>
  <c r="E23" i="67"/>
  <c r="G23" i="67" s="1"/>
  <c r="E20" i="67"/>
  <c r="G20" i="67" s="1"/>
  <c r="D20" i="67"/>
  <c r="D26" i="67"/>
  <c r="E26" i="67"/>
  <c r="G26" i="67" s="1"/>
  <c r="E17" i="68"/>
  <c r="E23" i="68"/>
  <c r="G23" i="68" s="1"/>
  <c r="E20" i="68"/>
  <c r="G20" i="68" s="1"/>
  <c r="D20" i="68"/>
  <c r="E26" i="68"/>
  <c r="G26" i="68" s="1"/>
  <c r="D26" i="68"/>
  <c r="E17" i="70"/>
  <c r="D27" i="70"/>
  <c r="E27" i="70"/>
  <c r="G27" i="70" s="1"/>
  <c r="E22" i="70"/>
  <c r="G22" i="70" s="1"/>
  <c r="E29" i="73"/>
  <c r="G29" i="73" s="1"/>
  <c r="D29" i="73"/>
  <c r="E29" i="75"/>
  <c r="G29" i="75" s="1"/>
  <c r="D29" i="75"/>
  <c r="D29" i="76"/>
  <c r="E29" i="76"/>
  <c r="G29" i="76" s="1"/>
  <c r="D29" i="78"/>
  <c r="E29" i="78"/>
  <c r="G29" i="78" s="1"/>
  <c r="E27" i="79"/>
  <c r="G27" i="79" s="1"/>
  <c r="D27" i="79"/>
  <c r="D26" i="81"/>
  <c r="E26" i="81"/>
  <c r="G26" i="81" s="1"/>
  <c r="E24" i="47"/>
  <c r="E28" i="47"/>
  <c r="G28" i="47" s="1"/>
  <c r="D28" i="47"/>
  <c r="E32" i="47"/>
  <c r="G32" i="47" s="1"/>
  <c r="D37" i="47"/>
  <c r="E37" i="47"/>
  <c r="G37" i="47" s="1"/>
  <c r="E28" i="48"/>
  <c r="G28" i="48" s="1"/>
  <c r="D28" i="48"/>
  <c r="E32" i="48"/>
  <c r="G32" i="48" s="1"/>
  <c r="E37" i="48"/>
  <c r="G37" i="48" s="1"/>
  <c r="D37" i="48"/>
  <c r="E23" i="50"/>
  <c r="E23" i="51"/>
  <c r="E24" i="51"/>
  <c r="E28" i="51"/>
  <c r="G28" i="51" s="1"/>
  <c r="D28" i="51"/>
  <c r="E32" i="51"/>
  <c r="G32" i="51" s="1"/>
  <c r="D37" i="51"/>
  <c r="E37" i="51"/>
  <c r="G37" i="51" s="1"/>
  <c r="E23" i="52"/>
  <c r="E23" i="53"/>
  <c r="E27" i="53"/>
  <c r="G27" i="53" s="1"/>
  <c r="D27" i="53"/>
  <c r="E31" i="53"/>
  <c r="G31" i="53" s="1"/>
  <c r="D36" i="53"/>
  <c r="E36" i="53"/>
  <c r="G36" i="53" s="1"/>
  <c r="E23" i="54"/>
  <c r="E23" i="56"/>
  <c r="E28" i="57"/>
  <c r="G28" i="57" s="1"/>
  <c r="D28" i="57"/>
  <c r="E32" i="57"/>
  <c r="G32" i="57" s="1"/>
  <c r="E37" i="57"/>
  <c r="G37" i="57" s="1"/>
  <c r="D37" i="57"/>
  <c r="E23" i="58"/>
  <c r="E23" i="59"/>
  <c r="E28" i="59"/>
  <c r="G28" i="59" s="1"/>
  <c r="D28" i="59"/>
  <c r="E32" i="59"/>
  <c r="G32" i="59" s="1"/>
  <c r="E37" i="59"/>
  <c r="G37" i="59" s="1"/>
  <c r="D37" i="59"/>
  <c r="E23" i="60"/>
  <c r="E23" i="61"/>
  <c r="E28" i="62"/>
  <c r="G28" i="62" s="1"/>
  <c r="D28" i="62"/>
  <c r="E32" i="62"/>
  <c r="G32" i="62" s="1"/>
  <c r="D37" i="62"/>
  <c r="E37" i="62"/>
  <c r="G37" i="62" s="1"/>
  <c r="E23" i="64"/>
  <c r="G23" i="64" s="1"/>
  <c r="E20" i="64"/>
  <c r="G20" i="64" s="1"/>
  <c r="D20" i="64"/>
  <c r="E26" i="64"/>
  <c r="G26" i="64" s="1"/>
  <c r="D26" i="64"/>
  <c r="E17" i="65"/>
  <c r="E23" i="65"/>
  <c r="G23" i="65" s="1"/>
  <c r="E20" i="65"/>
  <c r="G20" i="65" s="1"/>
  <c r="D20" i="65"/>
  <c r="D26" i="65"/>
  <c r="E26" i="65"/>
  <c r="G26" i="65" s="1"/>
  <c r="E17" i="67"/>
  <c r="D27" i="67"/>
  <c r="E27" i="67"/>
  <c r="G27" i="67" s="1"/>
  <c r="E22" i="67"/>
  <c r="G22" i="67" s="1"/>
  <c r="E27" i="68"/>
  <c r="G27" i="68" s="1"/>
  <c r="D27" i="68"/>
  <c r="E22" i="68"/>
  <c r="G22" i="68" s="1"/>
  <c r="E23" i="70"/>
  <c r="G23" i="70" s="1"/>
  <c r="E20" i="70"/>
  <c r="G20" i="70" s="1"/>
  <c r="D20" i="70"/>
  <c r="D26" i="70"/>
  <c r="E26" i="70"/>
  <c r="G26" i="70" s="1"/>
  <c r="E28" i="73"/>
  <c r="G28" i="73" s="1"/>
  <c r="D28" i="73"/>
  <c r="E28" i="75"/>
  <c r="G28" i="75" s="1"/>
  <c r="D28" i="75"/>
  <c r="D28" i="76"/>
  <c r="E28" i="76"/>
  <c r="G28" i="76" s="1"/>
  <c r="D28" i="78"/>
  <c r="E28" i="78"/>
  <c r="G28" i="78" s="1"/>
  <c r="E23" i="49"/>
  <c r="E26" i="79"/>
  <c r="G26" i="79" s="1"/>
  <c r="D26" i="79"/>
  <c r="D27" i="81"/>
  <c r="E27" i="81"/>
  <c r="G27" i="81" s="1"/>
  <c r="D15" i="61"/>
  <c r="H15" i="61" s="1"/>
  <c r="I15" i="61" s="1"/>
  <c r="E13" i="49"/>
  <c r="G13" i="49" s="1"/>
  <c r="H13" i="49" s="1"/>
  <c r="I13" i="49" s="1"/>
  <c r="D15" i="53"/>
  <c r="H15" i="53" s="1"/>
  <c r="I15" i="53" s="1"/>
  <c r="D15" i="62"/>
  <c r="H15" i="62" s="1"/>
  <c r="I15" i="62" s="1"/>
  <c r="G18" i="62"/>
  <c r="G18" i="53"/>
  <c r="E13" i="46"/>
  <c r="G13" i="46" s="1"/>
  <c r="H13" i="46" s="1"/>
  <c r="I13" i="46" s="1"/>
  <c r="E15" i="47"/>
  <c r="G15" i="47" s="1"/>
  <c r="H15" i="47" s="1"/>
  <c r="I15" i="47" s="1"/>
  <c r="E13" i="52"/>
  <c r="G13" i="52" s="1"/>
  <c r="H13" i="52" s="1"/>
  <c r="I13" i="52" s="1"/>
  <c r="D17" i="53"/>
  <c r="H17" i="53" s="1"/>
  <c r="I17" i="53" s="1"/>
  <c r="D17" i="57"/>
  <c r="H17" i="57" s="1"/>
  <c r="I17" i="57" s="1"/>
  <c r="D17" i="62"/>
  <c r="H17" i="62" s="1"/>
  <c r="I17" i="62" s="1"/>
  <c r="E13" i="65"/>
  <c r="G13" i="65" s="1"/>
  <c r="H13" i="65" s="1"/>
  <c r="I13" i="65" s="1"/>
  <c r="E15" i="51"/>
  <c r="G15" i="51" s="1"/>
  <c r="H15" i="51" s="1"/>
  <c r="I15" i="51" s="1"/>
  <c r="E12" i="50"/>
  <c r="G12" i="50" s="1"/>
  <c r="H12" i="50" s="1"/>
  <c r="I12" i="50" s="1"/>
  <c r="E17" i="51"/>
  <c r="G17" i="51" s="1"/>
  <c r="H17" i="51" s="1"/>
  <c r="I17" i="51" s="1"/>
  <c r="D16" i="53"/>
  <c r="H16" i="53" s="1"/>
  <c r="I16" i="53" s="1"/>
  <c r="D15" i="57"/>
  <c r="H15" i="57" s="1"/>
  <c r="I15" i="57" s="1"/>
  <c r="D16" i="62"/>
  <c r="H16" i="62" s="1"/>
  <c r="I16" i="62" s="1"/>
  <c r="E13" i="81"/>
  <c r="G13" i="81" s="1"/>
  <c r="D13" i="81"/>
  <c r="D15" i="81" s="1"/>
  <c r="E13" i="79"/>
  <c r="G13" i="79" s="1"/>
  <c r="D13" i="79"/>
  <c r="D15" i="79" s="1"/>
  <c r="D17" i="48"/>
  <c r="H17" i="48" s="1"/>
  <c r="I17" i="48" s="1"/>
  <c r="G18" i="57"/>
  <c r="E12" i="60"/>
  <c r="G12" i="60" s="1"/>
  <c r="H12" i="60" s="1"/>
  <c r="I12" i="60" s="1"/>
  <c r="D15" i="48"/>
  <c r="H15" i="48" s="1"/>
  <c r="I15" i="48" s="1"/>
  <c r="G18" i="48"/>
  <c r="E13" i="78"/>
  <c r="G13" i="78" s="1"/>
  <c r="D13" i="78"/>
  <c r="D15" i="78" s="1"/>
  <c r="E13" i="76"/>
  <c r="G13" i="76" s="1"/>
  <c r="D13" i="76"/>
  <c r="D15" i="76" s="1"/>
  <c r="E13" i="75"/>
  <c r="D13" i="75"/>
  <c r="D15" i="75" s="1"/>
  <c r="E13" i="73"/>
  <c r="G13" i="73" s="1"/>
  <c r="D13" i="73"/>
  <c r="D15" i="73" s="1"/>
  <c r="B28" i="72"/>
  <c r="B29" i="72"/>
  <c r="H33" i="72"/>
  <c r="I33" i="72" s="1"/>
  <c r="E12" i="70"/>
  <c r="G12" i="70" s="1"/>
  <c r="D12" i="70"/>
  <c r="D14" i="70" s="1"/>
  <c r="E12" i="68"/>
  <c r="G12" i="68" s="1"/>
  <c r="D12" i="68"/>
  <c r="E12" i="67"/>
  <c r="G12" i="67" s="1"/>
  <c r="D12" i="67"/>
  <c r="E12" i="65"/>
  <c r="G12" i="65" s="1"/>
  <c r="D12" i="65"/>
  <c r="D14" i="65" s="1"/>
  <c r="E12" i="64"/>
  <c r="G12" i="64" s="1"/>
  <c r="D12" i="64"/>
  <c r="D14" i="64" s="1"/>
  <c r="D12" i="62"/>
  <c r="E12" i="62"/>
  <c r="G12" i="62" s="1"/>
  <c r="D13" i="62"/>
  <c r="E13" i="62"/>
  <c r="G13" i="62" s="1"/>
  <c r="E16" i="61"/>
  <c r="G16" i="61" s="1"/>
  <c r="D16" i="61"/>
  <c r="D13" i="61"/>
  <c r="E13" i="61"/>
  <c r="G13" i="61" s="1"/>
  <c r="B37" i="61"/>
  <c r="B36" i="61"/>
  <c r="B32" i="61"/>
  <c r="B31" i="61"/>
  <c r="B28" i="61"/>
  <c r="B27" i="61"/>
  <c r="D12" i="61"/>
  <c r="E12" i="61"/>
  <c r="G12" i="61" s="1"/>
  <c r="H17" i="61"/>
  <c r="I17" i="61" s="1"/>
  <c r="E16" i="60"/>
  <c r="G16" i="60" s="1"/>
  <c r="D16" i="60"/>
  <c r="E15" i="60"/>
  <c r="G15" i="60" s="1"/>
  <c r="D15" i="60"/>
  <c r="D13" i="60"/>
  <c r="D14" i="60" s="1"/>
  <c r="E13" i="60"/>
  <c r="G13" i="60" s="1"/>
  <c r="B37" i="60"/>
  <c r="B36" i="60"/>
  <c r="B32" i="60"/>
  <c r="B31" i="60"/>
  <c r="B28" i="60"/>
  <c r="B27" i="60"/>
  <c r="H17" i="60"/>
  <c r="I17" i="60" s="1"/>
  <c r="E13" i="59"/>
  <c r="G13" i="59" s="1"/>
  <c r="D13" i="59"/>
  <c r="D17" i="59"/>
  <c r="E17" i="59"/>
  <c r="G17" i="59" s="1"/>
  <c r="D15" i="59"/>
  <c r="E15" i="59"/>
  <c r="G15" i="59" s="1"/>
  <c r="E12" i="59"/>
  <c r="G12" i="59" s="1"/>
  <c r="D12" i="59"/>
  <c r="D16" i="59"/>
  <c r="E16" i="59"/>
  <c r="G16" i="59" s="1"/>
  <c r="E15" i="58"/>
  <c r="G15" i="58" s="1"/>
  <c r="D15" i="58"/>
  <c r="D12" i="58"/>
  <c r="E12" i="58"/>
  <c r="G12" i="58" s="1"/>
  <c r="H17" i="58"/>
  <c r="I17" i="58" s="1"/>
  <c r="E16" i="58"/>
  <c r="G16" i="58" s="1"/>
  <c r="D16" i="58"/>
  <c r="D13" i="58"/>
  <c r="E13" i="58"/>
  <c r="G13" i="58" s="1"/>
  <c r="B37" i="58"/>
  <c r="B36" i="58"/>
  <c r="B32" i="58"/>
  <c r="B31" i="58"/>
  <c r="B28" i="58"/>
  <c r="B27" i="58"/>
  <c r="D16" i="57"/>
  <c r="H16" i="57" s="1"/>
  <c r="I16" i="57" s="1"/>
  <c r="D12" i="57"/>
  <c r="E12" i="57"/>
  <c r="G12" i="57" s="1"/>
  <c r="D13" i="57"/>
  <c r="E13" i="57"/>
  <c r="G13" i="57" s="1"/>
  <c r="E16" i="56"/>
  <c r="G16" i="56" s="1"/>
  <c r="D16" i="56"/>
  <c r="B37" i="56"/>
  <c r="B36" i="56"/>
  <c r="B32" i="56"/>
  <c r="B31" i="56"/>
  <c r="B28" i="56"/>
  <c r="B27" i="56"/>
  <c r="H17" i="56"/>
  <c r="I17" i="56" s="1"/>
  <c r="E15" i="56"/>
  <c r="G15" i="56" s="1"/>
  <c r="D15" i="56"/>
  <c r="D12" i="56"/>
  <c r="D14" i="56" s="1"/>
  <c r="E12" i="56"/>
  <c r="G12" i="56" s="1"/>
  <c r="E13" i="54"/>
  <c r="G13" i="54" s="1"/>
  <c r="H13" i="54" s="1"/>
  <c r="I13" i="54" s="1"/>
  <c r="E16" i="54"/>
  <c r="G16" i="54" s="1"/>
  <c r="D16" i="54"/>
  <c r="D12" i="54"/>
  <c r="D14" i="54" s="1"/>
  <c r="E12" i="54"/>
  <c r="G12" i="54" s="1"/>
  <c r="E15" i="54"/>
  <c r="G15" i="54" s="1"/>
  <c r="D15" i="54"/>
  <c r="B37" i="54"/>
  <c r="B36" i="54"/>
  <c r="B32" i="54"/>
  <c r="B31" i="54"/>
  <c r="B28" i="54"/>
  <c r="B27" i="54"/>
  <c r="H17" i="54"/>
  <c r="I17" i="54" s="1"/>
  <c r="D12" i="53"/>
  <c r="E12" i="53"/>
  <c r="G12" i="53" s="1"/>
  <c r="D13" i="53"/>
  <c r="E13" i="53"/>
  <c r="G13" i="53" s="1"/>
  <c r="E15" i="52"/>
  <c r="G15" i="52" s="1"/>
  <c r="D15" i="52"/>
  <c r="B37" i="52"/>
  <c r="B36" i="52"/>
  <c r="B32" i="52"/>
  <c r="B31" i="52"/>
  <c r="B28" i="52"/>
  <c r="B27" i="52"/>
  <c r="E16" i="52"/>
  <c r="G16" i="52" s="1"/>
  <c r="D16" i="52"/>
  <c r="D12" i="52"/>
  <c r="D14" i="52" s="1"/>
  <c r="E12" i="52"/>
  <c r="G12" i="52" s="1"/>
  <c r="H17" i="52"/>
  <c r="I17" i="52" s="1"/>
  <c r="E16" i="51"/>
  <c r="G16" i="51" s="1"/>
  <c r="D18" i="51"/>
  <c r="E12" i="51"/>
  <c r="G12" i="51" s="1"/>
  <c r="D12" i="51"/>
  <c r="E13" i="51"/>
  <c r="G13" i="51" s="1"/>
  <c r="D13" i="51"/>
  <c r="E16" i="50"/>
  <c r="G16" i="50" s="1"/>
  <c r="D16" i="50"/>
  <c r="E15" i="50"/>
  <c r="G15" i="50" s="1"/>
  <c r="D15" i="50"/>
  <c r="D13" i="50"/>
  <c r="D14" i="50" s="1"/>
  <c r="E13" i="50"/>
  <c r="G13" i="50" s="1"/>
  <c r="B37" i="50"/>
  <c r="B36" i="50"/>
  <c r="B32" i="50"/>
  <c r="B31" i="50"/>
  <c r="B28" i="50"/>
  <c r="B27" i="50"/>
  <c r="H17" i="50"/>
  <c r="I17" i="50" s="1"/>
  <c r="E16" i="49"/>
  <c r="G16" i="49" s="1"/>
  <c r="D16" i="49"/>
  <c r="D12" i="49"/>
  <c r="D14" i="49" s="1"/>
  <c r="E12" i="49"/>
  <c r="G12" i="49" s="1"/>
  <c r="E15" i="49"/>
  <c r="G15" i="49" s="1"/>
  <c r="D15" i="49"/>
  <c r="B37" i="49"/>
  <c r="B36" i="49"/>
  <c r="B32" i="49"/>
  <c r="B31" i="49"/>
  <c r="B28" i="49"/>
  <c r="B27" i="49"/>
  <c r="H17" i="49"/>
  <c r="I17" i="49" s="1"/>
  <c r="D16" i="48"/>
  <c r="H16" i="48" s="1"/>
  <c r="I16" i="48" s="1"/>
  <c r="D12" i="48"/>
  <c r="E12" i="48"/>
  <c r="G12" i="48" s="1"/>
  <c r="D13" i="48"/>
  <c r="E13" i="48"/>
  <c r="G13" i="48" s="1"/>
  <c r="E13" i="47"/>
  <c r="G13" i="47" s="1"/>
  <c r="D13" i="47"/>
  <c r="D17" i="47"/>
  <c r="E17" i="47"/>
  <c r="G17" i="47" s="1"/>
  <c r="E12" i="47"/>
  <c r="G12" i="47" s="1"/>
  <c r="D12" i="47"/>
  <c r="D16" i="47"/>
  <c r="E16" i="47"/>
  <c r="G16" i="47" s="1"/>
  <c r="H17" i="46"/>
  <c r="I17" i="46" s="1"/>
  <c r="E15" i="46"/>
  <c r="G15" i="46" s="1"/>
  <c r="D15" i="46"/>
  <c r="D12" i="46"/>
  <c r="D14" i="46" s="1"/>
  <c r="E12" i="46"/>
  <c r="G12" i="46" s="1"/>
  <c r="B37" i="46"/>
  <c r="B36" i="46"/>
  <c r="B32" i="46"/>
  <c r="B31" i="46"/>
  <c r="B28" i="46"/>
  <c r="B27" i="46"/>
  <c r="E16" i="46"/>
  <c r="G16" i="46" s="1"/>
  <c r="D16" i="46"/>
  <c r="D18" i="47" l="1"/>
  <c r="G13" i="75"/>
  <c r="G15" i="75" s="1"/>
  <c r="G30" i="79"/>
  <c r="H38" i="60"/>
  <c r="I38" i="60" s="1"/>
  <c r="H38" i="52"/>
  <c r="I38" i="52" s="1"/>
  <c r="H38" i="49"/>
  <c r="I38" i="49" s="1"/>
  <c r="H30" i="76"/>
  <c r="I30" i="76" s="1"/>
  <c r="D30" i="79"/>
  <c r="H30" i="75"/>
  <c r="I30" i="75" s="1"/>
  <c r="H28" i="79"/>
  <c r="I28" i="79" s="1"/>
  <c r="H28" i="81"/>
  <c r="I28" i="81" s="1"/>
  <c r="H38" i="46"/>
  <c r="I38" i="46" s="1"/>
  <c r="H30" i="78"/>
  <c r="I30" i="78" s="1"/>
  <c r="E30" i="72"/>
  <c r="G30" i="72" s="1"/>
  <c r="D30" i="72"/>
  <c r="H30" i="73"/>
  <c r="I30" i="73" s="1"/>
  <c r="H38" i="54"/>
  <c r="I38" i="54" s="1"/>
  <c r="H38" i="58"/>
  <c r="I38" i="58" s="1"/>
  <c r="H38" i="61"/>
  <c r="I38" i="61" s="1"/>
  <c r="H38" i="56"/>
  <c r="I38" i="56" s="1"/>
  <c r="H38" i="50"/>
  <c r="I38" i="50" s="1"/>
  <c r="D14" i="61"/>
  <c r="D18" i="61"/>
  <c r="D14" i="68"/>
  <c r="D14" i="67"/>
  <c r="G24" i="67"/>
  <c r="D30" i="65"/>
  <c r="G33" i="53"/>
  <c r="G30" i="65"/>
  <c r="G40" i="53"/>
  <c r="D14" i="59"/>
  <c r="D40" i="53"/>
  <c r="G32" i="78"/>
  <c r="D32" i="75"/>
  <c r="D32" i="73"/>
  <c r="G30" i="70"/>
  <c r="G30" i="64"/>
  <c r="G32" i="76"/>
  <c r="D32" i="78"/>
  <c r="D32" i="76"/>
  <c r="G32" i="75"/>
  <c r="G32" i="73"/>
  <c r="D30" i="70"/>
  <c r="D30" i="64"/>
  <c r="G24" i="68"/>
  <c r="G18" i="51"/>
  <c r="H18" i="51" s="1"/>
  <c r="I18" i="51" s="1"/>
  <c r="E28" i="46"/>
  <c r="G28" i="46" s="1"/>
  <c r="D28" i="46"/>
  <c r="E32" i="46"/>
  <c r="G32" i="46" s="1"/>
  <c r="E37" i="46"/>
  <c r="G37" i="46" s="1"/>
  <c r="D37" i="46"/>
  <c r="E28" i="49"/>
  <c r="G28" i="49" s="1"/>
  <c r="D28" i="49"/>
  <c r="E32" i="49"/>
  <c r="G32" i="49" s="1"/>
  <c r="D37" i="49"/>
  <c r="E37" i="49"/>
  <c r="G37" i="49" s="1"/>
  <c r="E28" i="50"/>
  <c r="G28" i="50" s="1"/>
  <c r="D28" i="50"/>
  <c r="E32" i="50"/>
  <c r="G32" i="50" s="1"/>
  <c r="E37" i="50"/>
  <c r="G37" i="50" s="1"/>
  <c r="D37" i="50"/>
  <c r="E27" i="52"/>
  <c r="G27" i="52" s="1"/>
  <c r="D27" i="52"/>
  <c r="E31" i="52"/>
  <c r="G31" i="52" s="1"/>
  <c r="E36" i="52"/>
  <c r="G36" i="52" s="1"/>
  <c r="D36" i="52"/>
  <c r="E27" i="54"/>
  <c r="G27" i="54" s="1"/>
  <c r="D27" i="54"/>
  <c r="E31" i="54"/>
  <c r="G31" i="54" s="1"/>
  <c r="D36" i="54"/>
  <c r="E36" i="54"/>
  <c r="G36" i="54" s="1"/>
  <c r="E28" i="56"/>
  <c r="G28" i="56" s="1"/>
  <c r="D28" i="56"/>
  <c r="E32" i="56"/>
  <c r="G32" i="56" s="1"/>
  <c r="D37" i="56"/>
  <c r="E37" i="56"/>
  <c r="G37" i="56" s="1"/>
  <c r="E27" i="58"/>
  <c r="G27" i="58" s="1"/>
  <c r="D27" i="58"/>
  <c r="E31" i="58"/>
  <c r="G31" i="58" s="1"/>
  <c r="D36" i="58"/>
  <c r="E36" i="58"/>
  <c r="G36" i="58" s="1"/>
  <c r="E27" i="60"/>
  <c r="G27" i="60" s="1"/>
  <c r="D27" i="60"/>
  <c r="E31" i="60"/>
  <c r="G31" i="60" s="1"/>
  <c r="D36" i="60"/>
  <c r="E36" i="60"/>
  <c r="G36" i="60" s="1"/>
  <c r="E27" i="61"/>
  <c r="G27" i="61" s="1"/>
  <c r="D27" i="61"/>
  <c r="E31" i="61"/>
  <c r="G31" i="61" s="1"/>
  <c r="E36" i="61"/>
  <c r="G36" i="61" s="1"/>
  <c r="D36" i="61"/>
  <c r="D29" i="72"/>
  <c r="E29" i="72"/>
  <c r="G29" i="72" s="1"/>
  <c r="G30" i="81"/>
  <c r="D30" i="68"/>
  <c r="G30" i="67"/>
  <c r="G40" i="62"/>
  <c r="D40" i="59"/>
  <c r="D40" i="57"/>
  <c r="G40" i="51"/>
  <c r="D40" i="48"/>
  <c r="G40" i="47"/>
  <c r="E27" i="46"/>
  <c r="G27" i="46" s="1"/>
  <c r="D27" i="46"/>
  <c r="E31" i="46"/>
  <c r="G31" i="46" s="1"/>
  <c r="E36" i="46"/>
  <c r="G36" i="46" s="1"/>
  <c r="D36" i="46"/>
  <c r="E27" i="49"/>
  <c r="G27" i="49" s="1"/>
  <c r="D27" i="49"/>
  <c r="E31" i="49"/>
  <c r="G31" i="49" s="1"/>
  <c r="D36" i="49"/>
  <c r="E36" i="49"/>
  <c r="G36" i="49" s="1"/>
  <c r="E27" i="50"/>
  <c r="G27" i="50" s="1"/>
  <c r="D27" i="50"/>
  <c r="E31" i="50"/>
  <c r="G31" i="50" s="1"/>
  <c r="E36" i="50"/>
  <c r="G36" i="50" s="1"/>
  <c r="D36" i="50"/>
  <c r="E28" i="52"/>
  <c r="G28" i="52" s="1"/>
  <c r="D28" i="52"/>
  <c r="E32" i="52"/>
  <c r="G32" i="52" s="1"/>
  <c r="E37" i="52"/>
  <c r="G37" i="52" s="1"/>
  <c r="D37" i="52"/>
  <c r="E28" i="54"/>
  <c r="G28" i="54" s="1"/>
  <c r="D28" i="54"/>
  <c r="E32" i="54"/>
  <c r="G32" i="54" s="1"/>
  <c r="D37" i="54"/>
  <c r="E37" i="54"/>
  <c r="G37" i="54" s="1"/>
  <c r="E27" i="56"/>
  <c r="G27" i="56" s="1"/>
  <c r="D27" i="56"/>
  <c r="E31" i="56"/>
  <c r="G31" i="56" s="1"/>
  <c r="D36" i="56"/>
  <c r="E36" i="56"/>
  <c r="G36" i="56" s="1"/>
  <c r="E28" i="58"/>
  <c r="G28" i="58" s="1"/>
  <c r="D28" i="58"/>
  <c r="E32" i="58"/>
  <c r="G32" i="58" s="1"/>
  <c r="D37" i="58"/>
  <c r="E37" i="58"/>
  <c r="G37" i="58" s="1"/>
  <c r="E28" i="60"/>
  <c r="G28" i="60" s="1"/>
  <c r="D28" i="60"/>
  <c r="E32" i="60"/>
  <c r="G32" i="60" s="1"/>
  <c r="D37" i="60"/>
  <c r="E37" i="60"/>
  <c r="G37" i="60" s="1"/>
  <c r="E28" i="61"/>
  <c r="G28" i="61" s="1"/>
  <c r="D28" i="61"/>
  <c r="E32" i="61"/>
  <c r="G32" i="61" s="1"/>
  <c r="E37" i="61"/>
  <c r="G37" i="61" s="1"/>
  <c r="D37" i="61"/>
  <c r="D28" i="72"/>
  <c r="E28" i="72"/>
  <c r="G28" i="72" s="1"/>
  <c r="D30" i="81"/>
  <c r="G24" i="70"/>
  <c r="G30" i="68"/>
  <c r="D30" i="67"/>
  <c r="G24" i="65"/>
  <c r="G24" i="64"/>
  <c r="D40" i="62"/>
  <c r="G33" i="62"/>
  <c r="G40" i="59"/>
  <c r="G33" i="59"/>
  <c r="G40" i="57"/>
  <c r="G33" i="57"/>
  <c r="D40" i="51"/>
  <c r="G33" i="51"/>
  <c r="G40" i="48"/>
  <c r="G33" i="48"/>
  <c r="D40" i="47"/>
  <c r="G33" i="47"/>
  <c r="D18" i="53"/>
  <c r="H18" i="53" s="1"/>
  <c r="I18" i="53" s="1"/>
  <c r="D18" i="62"/>
  <c r="H18" i="62" s="1"/>
  <c r="I18" i="62" s="1"/>
  <c r="D18" i="48"/>
  <c r="H18" i="48" s="1"/>
  <c r="I18" i="48" s="1"/>
  <c r="D18" i="49"/>
  <c r="D18" i="50"/>
  <c r="D18" i="60"/>
  <c r="H26" i="81"/>
  <c r="I26" i="81" s="1"/>
  <c r="G15" i="81"/>
  <c r="H13" i="81"/>
  <c r="I13" i="81" s="1"/>
  <c r="H27" i="81"/>
  <c r="I27" i="81" s="1"/>
  <c r="H26" i="79"/>
  <c r="I26" i="79" s="1"/>
  <c r="G15" i="79"/>
  <c r="H13" i="79"/>
  <c r="I13" i="79" s="1"/>
  <c r="H27" i="79"/>
  <c r="I27" i="79" s="1"/>
  <c r="D18" i="57"/>
  <c r="H18" i="57" s="1"/>
  <c r="I18" i="57" s="1"/>
  <c r="H16" i="51"/>
  <c r="I16" i="51" s="1"/>
  <c r="D14" i="51"/>
  <c r="H28" i="78"/>
  <c r="I28" i="78" s="1"/>
  <c r="G15" i="78"/>
  <c r="H13" i="78"/>
  <c r="I13" i="78" s="1"/>
  <c r="H29" i="78"/>
  <c r="I29" i="78" s="1"/>
  <c r="H28" i="76"/>
  <c r="I28" i="76" s="1"/>
  <c r="G15" i="76"/>
  <c r="H13" i="76"/>
  <c r="I13" i="76" s="1"/>
  <c r="H29" i="76"/>
  <c r="I29" i="76" s="1"/>
  <c r="H28" i="75"/>
  <c r="I28" i="75" s="1"/>
  <c r="H29" i="75"/>
  <c r="I29" i="75" s="1"/>
  <c r="H28" i="73"/>
  <c r="I28" i="73" s="1"/>
  <c r="G15" i="73"/>
  <c r="H13" i="73"/>
  <c r="I13" i="73" s="1"/>
  <c r="H29" i="73"/>
  <c r="I29" i="73" s="1"/>
  <c r="E13" i="72"/>
  <c r="D13" i="72"/>
  <c r="D15" i="72" s="1"/>
  <c r="H20" i="70"/>
  <c r="I20" i="70" s="1"/>
  <c r="H27" i="70"/>
  <c r="I27" i="70" s="1"/>
  <c r="H26" i="70"/>
  <c r="I26" i="70" s="1"/>
  <c r="G14" i="70"/>
  <c r="H12" i="70"/>
  <c r="I12" i="70" s="1"/>
  <c r="H20" i="68"/>
  <c r="I20" i="68" s="1"/>
  <c r="H27" i="68"/>
  <c r="I27" i="68" s="1"/>
  <c r="H26" i="68"/>
  <c r="I26" i="68" s="1"/>
  <c r="G14" i="68"/>
  <c r="H12" i="68"/>
  <c r="I12" i="68" s="1"/>
  <c r="H27" i="67"/>
  <c r="I27" i="67" s="1"/>
  <c r="H20" i="67"/>
  <c r="I20" i="67" s="1"/>
  <c r="H26" i="67"/>
  <c r="I26" i="67" s="1"/>
  <c r="G14" i="67"/>
  <c r="H12" i="67"/>
  <c r="I12" i="67" s="1"/>
  <c r="H20" i="65"/>
  <c r="I20" i="65" s="1"/>
  <c r="H27" i="65"/>
  <c r="I27" i="65" s="1"/>
  <c r="H26" i="65"/>
  <c r="I26" i="65" s="1"/>
  <c r="G14" i="65"/>
  <c r="H12" i="65"/>
  <c r="I12" i="65" s="1"/>
  <c r="H20" i="64"/>
  <c r="I20" i="64" s="1"/>
  <c r="H27" i="64"/>
  <c r="I27" i="64" s="1"/>
  <c r="H26" i="64"/>
  <c r="I26" i="64" s="1"/>
  <c r="G14" i="64"/>
  <c r="H12" i="64"/>
  <c r="I12" i="64" s="1"/>
  <c r="D14" i="62"/>
  <c r="H37" i="62"/>
  <c r="I37" i="62" s="1"/>
  <c r="H36" i="62"/>
  <c r="I36" i="62" s="1"/>
  <c r="G14" i="62"/>
  <c r="H12" i="62"/>
  <c r="I12" i="62" s="1"/>
  <c r="H28" i="62"/>
  <c r="I28" i="62" s="1"/>
  <c r="H13" i="62"/>
  <c r="I13" i="62" s="1"/>
  <c r="H27" i="62"/>
  <c r="I27" i="62" s="1"/>
  <c r="G14" i="61"/>
  <c r="H12" i="61"/>
  <c r="I12" i="61" s="1"/>
  <c r="H13" i="61"/>
  <c r="I13" i="61" s="1"/>
  <c r="H16" i="61"/>
  <c r="I16" i="61" s="1"/>
  <c r="G18" i="61"/>
  <c r="H13" i="60"/>
  <c r="I13" i="60" s="1"/>
  <c r="G14" i="60"/>
  <c r="G18" i="60"/>
  <c r="H15" i="60"/>
  <c r="I15" i="60" s="1"/>
  <c r="H16" i="60"/>
  <c r="I16" i="60" s="1"/>
  <c r="D14" i="58"/>
  <c r="H37" i="59"/>
  <c r="I37" i="59" s="1"/>
  <c r="H16" i="59"/>
  <c r="I16" i="59" s="1"/>
  <c r="H27" i="59"/>
  <c r="I27" i="59" s="1"/>
  <c r="G18" i="59"/>
  <c r="H15" i="59"/>
  <c r="I15" i="59" s="1"/>
  <c r="H17" i="59"/>
  <c r="I17" i="59" s="1"/>
  <c r="H28" i="59"/>
  <c r="I28" i="59" s="1"/>
  <c r="G14" i="59"/>
  <c r="H12" i="59"/>
  <c r="I12" i="59" s="1"/>
  <c r="H36" i="59"/>
  <c r="I36" i="59" s="1"/>
  <c r="D18" i="59"/>
  <c r="H13" i="59"/>
  <c r="I13" i="59" s="1"/>
  <c r="G14" i="58"/>
  <c r="H12" i="58"/>
  <c r="I12" i="58" s="1"/>
  <c r="D18" i="58"/>
  <c r="H13" i="58"/>
  <c r="I13" i="58" s="1"/>
  <c r="H16" i="58"/>
  <c r="I16" i="58" s="1"/>
  <c r="G18" i="58"/>
  <c r="H15" i="58"/>
  <c r="I15" i="58" s="1"/>
  <c r="H28" i="57"/>
  <c r="I28" i="57" s="1"/>
  <c r="H13" i="57"/>
  <c r="I13" i="57" s="1"/>
  <c r="H27" i="57"/>
  <c r="I27" i="57" s="1"/>
  <c r="G14" i="57"/>
  <c r="H12" i="57"/>
  <c r="I12" i="57" s="1"/>
  <c r="H37" i="57"/>
  <c r="I37" i="57" s="1"/>
  <c r="H36" i="57"/>
  <c r="I36" i="57" s="1"/>
  <c r="D14" i="57"/>
  <c r="G18" i="56"/>
  <c r="H15" i="56"/>
  <c r="I15" i="56" s="1"/>
  <c r="G14" i="56"/>
  <c r="H12" i="56"/>
  <c r="I12" i="56" s="1"/>
  <c r="D18" i="56"/>
  <c r="H16" i="56"/>
  <c r="I16" i="56" s="1"/>
  <c r="D18" i="54"/>
  <c r="G18" i="54"/>
  <c r="H15" i="54"/>
  <c r="I15" i="54" s="1"/>
  <c r="G14" i="54"/>
  <c r="H12" i="54"/>
  <c r="I12" i="54" s="1"/>
  <c r="H16" i="54"/>
  <c r="I16" i="54" s="1"/>
  <c r="D14" i="53"/>
  <c r="H28" i="53"/>
  <c r="I28" i="53" s="1"/>
  <c r="H37" i="53"/>
  <c r="I37" i="53" s="1"/>
  <c r="H36" i="53"/>
  <c r="I36" i="53" s="1"/>
  <c r="G14" i="53"/>
  <c r="H12" i="53"/>
  <c r="I12" i="53" s="1"/>
  <c r="H13" i="53"/>
  <c r="I13" i="53" s="1"/>
  <c r="H27" i="53"/>
  <c r="I27" i="53" s="1"/>
  <c r="G14" i="52"/>
  <c r="H12" i="52"/>
  <c r="I12" i="52" s="1"/>
  <c r="D18" i="52"/>
  <c r="H16" i="52"/>
  <c r="I16" i="52" s="1"/>
  <c r="G18" i="52"/>
  <c r="H15" i="52"/>
  <c r="I15" i="52" s="1"/>
  <c r="H13" i="51"/>
  <c r="I13" i="51" s="1"/>
  <c r="H36" i="51"/>
  <c r="I36" i="51" s="1"/>
  <c r="H37" i="51"/>
  <c r="I37" i="51" s="1"/>
  <c r="H28" i="51"/>
  <c r="I28" i="51" s="1"/>
  <c r="H27" i="51"/>
  <c r="I27" i="51" s="1"/>
  <c r="G14" i="51"/>
  <c r="H12" i="51"/>
  <c r="I12" i="51" s="1"/>
  <c r="H13" i="50"/>
  <c r="I13" i="50" s="1"/>
  <c r="G18" i="50"/>
  <c r="H15" i="50"/>
  <c r="I15" i="50" s="1"/>
  <c r="G14" i="50"/>
  <c r="H16" i="50"/>
  <c r="I16" i="50" s="1"/>
  <c r="G14" i="49"/>
  <c r="H12" i="49"/>
  <c r="I12" i="49" s="1"/>
  <c r="G18" i="49"/>
  <c r="H15" i="49"/>
  <c r="I15" i="49" s="1"/>
  <c r="H16" i="49"/>
  <c r="I16" i="49" s="1"/>
  <c r="H36" i="48"/>
  <c r="I36" i="48" s="1"/>
  <c r="H27" i="48"/>
  <c r="I27" i="48" s="1"/>
  <c r="H13" i="48"/>
  <c r="I13" i="48" s="1"/>
  <c r="H28" i="48"/>
  <c r="I28" i="48" s="1"/>
  <c r="G14" i="48"/>
  <c r="H12" i="48"/>
  <c r="I12" i="48" s="1"/>
  <c r="H37" i="48"/>
  <c r="I37" i="48" s="1"/>
  <c r="D14" i="48"/>
  <c r="H37" i="47"/>
  <c r="I37" i="47" s="1"/>
  <c r="G14" i="47"/>
  <c r="H12" i="47"/>
  <c r="I12" i="47" s="1"/>
  <c r="H36" i="47"/>
  <c r="I36" i="47" s="1"/>
  <c r="H28" i="47"/>
  <c r="I28" i="47" s="1"/>
  <c r="H16" i="47"/>
  <c r="I16" i="47" s="1"/>
  <c r="D14" i="47"/>
  <c r="H17" i="47"/>
  <c r="I17" i="47" s="1"/>
  <c r="H27" i="47"/>
  <c r="I27" i="47" s="1"/>
  <c r="G18" i="47"/>
  <c r="H13" i="47"/>
  <c r="I13" i="47" s="1"/>
  <c r="G14" i="46"/>
  <c r="H12" i="46"/>
  <c r="I12" i="46" s="1"/>
  <c r="D18" i="46"/>
  <c r="H16" i="46"/>
  <c r="I16" i="46" s="1"/>
  <c r="G18" i="46"/>
  <c r="H15" i="46"/>
  <c r="I15" i="46" s="1"/>
  <c r="H13" i="75" l="1"/>
  <c r="I13" i="75" s="1"/>
  <c r="G13" i="72"/>
  <c r="G15" i="72" s="1"/>
  <c r="H30" i="72"/>
  <c r="I30" i="72" s="1"/>
  <c r="D32" i="72"/>
  <c r="D40" i="56"/>
  <c r="G33" i="56"/>
  <c r="G40" i="50"/>
  <c r="D40" i="49"/>
  <c r="G33" i="49"/>
  <c r="G40" i="46"/>
  <c r="G33" i="50"/>
  <c r="G33" i="46"/>
  <c r="G32" i="72"/>
  <c r="G40" i="56"/>
  <c r="D40" i="50"/>
  <c r="G40" i="49"/>
  <c r="D40" i="46"/>
  <c r="D40" i="61"/>
  <c r="G40" i="60"/>
  <c r="G40" i="58"/>
  <c r="G40" i="54"/>
  <c r="D40" i="52"/>
  <c r="G40" i="61"/>
  <c r="G33" i="61"/>
  <c r="D40" i="60"/>
  <c r="G33" i="60"/>
  <c r="D40" i="58"/>
  <c r="G33" i="58"/>
  <c r="D40" i="54"/>
  <c r="G33" i="54"/>
  <c r="G40" i="52"/>
  <c r="G33" i="52"/>
  <c r="H30" i="81"/>
  <c r="I30" i="81" s="1"/>
  <c r="H15" i="81"/>
  <c r="I15" i="81" s="1"/>
  <c r="H30" i="79"/>
  <c r="I30" i="79" s="1"/>
  <c r="H15" i="79"/>
  <c r="I15" i="79" s="1"/>
  <c r="H15" i="78"/>
  <c r="I15" i="78" s="1"/>
  <c r="H32" i="78"/>
  <c r="I32" i="78" s="1"/>
  <c r="H15" i="76"/>
  <c r="I15" i="76" s="1"/>
  <c r="H32" i="76"/>
  <c r="I32" i="76" s="1"/>
  <c r="H32" i="75"/>
  <c r="I32" i="75" s="1"/>
  <c r="H15" i="75"/>
  <c r="I15" i="75" s="1"/>
  <c r="H15" i="73"/>
  <c r="I15" i="73" s="1"/>
  <c r="H32" i="73"/>
  <c r="I32" i="73" s="1"/>
  <c r="H29" i="72"/>
  <c r="I29" i="72" s="1"/>
  <c r="H28" i="72"/>
  <c r="I28" i="72" s="1"/>
  <c r="H30" i="70"/>
  <c r="I30" i="70" s="1"/>
  <c r="H14" i="70"/>
  <c r="I14" i="70" s="1"/>
  <c r="H14" i="68"/>
  <c r="I14" i="68" s="1"/>
  <c r="H30" i="68"/>
  <c r="I30" i="68" s="1"/>
  <c r="H14" i="67"/>
  <c r="I14" i="67" s="1"/>
  <c r="H30" i="67"/>
  <c r="I30" i="67" s="1"/>
  <c r="H30" i="65"/>
  <c r="I30" i="65" s="1"/>
  <c r="H14" i="65"/>
  <c r="I14" i="65" s="1"/>
  <c r="H30" i="64"/>
  <c r="I30" i="64" s="1"/>
  <c r="H14" i="64"/>
  <c r="I14" i="64" s="1"/>
  <c r="H40" i="62"/>
  <c r="I40" i="62" s="1"/>
  <c r="H14" i="62"/>
  <c r="I14" i="62" s="1"/>
  <c r="H18" i="61"/>
  <c r="I18" i="61" s="1"/>
  <c r="H37" i="61"/>
  <c r="I37" i="61" s="1"/>
  <c r="H27" i="61"/>
  <c r="I27" i="61" s="1"/>
  <c r="H28" i="61"/>
  <c r="I28" i="61" s="1"/>
  <c r="H36" i="61"/>
  <c r="I36" i="61" s="1"/>
  <c r="H14" i="61"/>
  <c r="I14" i="61" s="1"/>
  <c r="H37" i="60"/>
  <c r="I37" i="60" s="1"/>
  <c r="H27" i="60"/>
  <c r="I27" i="60" s="1"/>
  <c r="H18" i="60"/>
  <c r="I18" i="60" s="1"/>
  <c r="H28" i="60"/>
  <c r="I28" i="60" s="1"/>
  <c r="H14" i="60"/>
  <c r="I14" i="60" s="1"/>
  <c r="H36" i="60"/>
  <c r="I36" i="60" s="1"/>
  <c r="H18" i="59"/>
  <c r="I18" i="59" s="1"/>
  <c r="H40" i="59"/>
  <c r="I40" i="59" s="1"/>
  <c r="H14" i="59"/>
  <c r="I14" i="59" s="1"/>
  <c r="H18" i="58"/>
  <c r="I18" i="58" s="1"/>
  <c r="H27" i="58"/>
  <c r="I27" i="58" s="1"/>
  <c r="H14" i="58"/>
  <c r="I14" i="58" s="1"/>
  <c r="H28" i="58"/>
  <c r="I28" i="58" s="1"/>
  <c r="H36" i="58"/>
  <c r="I36" i="58" s="1"/>
  <c r="H37" i="58"/>
  <c r="I37" i="58" s="1"/>
  <c r="H14" i="57"/>
  <c r="I14" i="57" s="1"/>
  <c r="H40" i="57"/>
  <c r="I40" i="57" s="1"/>
  <c r="H36" i="56"/>
  <c r="I36" i="56" s="1"/>
  <c r="H14" i="56"/>
  <c r="I14" i="56" s="1"/>
  <c r="H37" i="56"/>
  <c r="I37" i="56" s="1"/>
  <c r="H27" i="56"/>
  <c r="I27" i="56" s="1"/>
  <c r="H28" i="56"/>
  <c r="I28" i="56" s="1"/>
  <c r="H18" i="56"/>
  <c r="I18" i="56" s="1"/>
  <c r="H14" i="54"/>
  <c r="I14" i="54" s="1"/>
  <c r="H27" i="54"/>
  <c r="I27" i="54" s="1"/>
  <c r="H28" i="54"/>
  <c r="I28" i="54" s="1"/>
  <c r="H36" i="54"/>
  <c r="I36" i="54" s="1"/>
  <c r="H18" i="54"/>
  <c r="I18" i="54" s="1"/>
  <c r="H37" i="54"/>
  <c r="I37" i="54" s="1"/>
  <c r="H40" i="53"/>
  <c r="I40" i="53" s="1"/>
  <c r="H14" i="53"/>
  <c r="I14" i="53" s="1"/>
  <c r="H27" i="52"/>
  <c r="I27" i="52" s="1"/>
  <c r="H18" i="52"/>
  <c r="I18" i="52" s="1"/>
  <c r="H37" i="52"/>
  <c r="I37" i="52" s="1"/>
  <c r="H28" i="52"/>
  <c r="I28" i="52" s="1"/>
  <c r="H36" i="52"/>
  <c r="I36" i="52" s="1"/>
  <c r="H14" i="52"/>
  <c r="I14" i="52" s="1"/>
  <c r="H40" i="51"/>
  <c r="I40" i="51" s="1"/>
  <c r="H14" i="51"/>
  <c r="I14" i="51" s="1"/>
  <c r="H18" i="50"/>
  <c r="I18" i="50" s="1"/>
  <c r="H28" i="50"/>
  <c r="I28" i="50" s="1"/>
  <c r="H36" i="50"/>
  <c r="I36" i="50" s="1"/>
  <c r="H14" i="50"/>
  <c r="I14" i="50" s="1"/>
  <c r="H37" i="50"/>
  <c r="I37" i="50" s="1"/>
  <c r="H27" i="50"/>
  <c r="I27" i="50" s="1"/>
  <c r="H18" i="49"/>
  <c r="I18" i="49" s="1"/>
  <c r="H37" i="49"/>
  <c r="I37" i="49" s="1"/>
  <c r="H14" i="49"/>
  <c r="I14" i="49" s="1"/>
  <c r="H27" i="49"/>
  <c r="I27" i="49" s="1"/>
  <c r="H28" i="49"/>
  <c r="I28" i="49" s="1"/>
  <c r="H36" i="49"/>
  <c r="I36" i="49" s="1"/>
  <c r="H40" i="48"/>
  <c r="I40" i="48" s="1"/>
  <c r="H14" i="48"/>
  <c r="I14" i="48" s="1"/>
  <c r="H40" i="47"/>
  <c r="I40" i="47" s="1"/>
  <c r="H14" i="47"/>
  <c r="I14" i="47" s="1"/>
  <c r="H18" i="47"/>
  <c r="I18" i="47" s="1"/>
  <c r="H18" i="46"/>
  <c r="I18" i="46" s="1"/>
  <c r="H28" i="46"/>
  <c r="I28" i="46" s="1"/>
  <c r="H27" i="46"/>
  <c r="I27" i="46" s="1"/>
  <c r="H37" i="46"/>
  <c r="I37" i="46" s="1"/>
  <c r="H14" i="46"/>
  <c r="I14" i="46" s="1"/>
  <c r="H36" i="46"/>
  <c r="I36" i="46" s="1"/>
  <c r="H13" i="72" l="1"/>
  <c r="I13" i="72" s="1"/>
  <c r="H32" i="72"/>
  <c r="I32" i="72" s="1"/>
  <c r="H15" i="72"/>
  <c r="I15" i="72" s="1"/>
  <c r="H40" i="61"/>
  <c r="I40" i="61" s="1"/>
  <c r="H40" i="60"/>
  <c r="I40" i="60" s="1"/>
  <c r="H40" i="58"/>
  <c r="I40" i="58" s="1"/>
  <c r="H40" i="56"/>
  <c r="I40" i="56" s="1"/>
  <c r="H40" i="54"/>
  <c r="I40" i="54" s="1"/>
  <c r="H40" i="52"/>
  <c r="I40" i="52" s="1"/>
  <c r="H40" i="50"/>
  <c r="I40" i="50" s="1"/>
  <c r="H40" i="49"/>
  <c r="I40" i="49" s="1"/>
  <c r="H40" i="46"/>
  <c r="I40" i="46" s="1"/>
  <c r="F37" i="5" l="1"/>
  <c r="F35" i="5"/>
  <c r="B25" i="5" l="1"/>
  <c r="B24" i="5"/>
  <c r="H17" i="5"/>
  <c r="I17" i="5" s="1"/>
  <c r="F14" i="5"/>
  <c r="F13" i="5"/>
  <c r="F35" i="25"/>
  <c r="F33" i="25"/>
  <c r="F31" i="25"/>
  <c r="B31" i="25"/>
  <c r="E31" i="25" s="1"/>
  <c r="F29" i="25"/>
  <c r="E29" i="25"/>
  <c r="D29" i="25"/>
  <c r="E15" i="25"/>
  <c r="F13" i="25"/>
  <c r="F12" i="25"/>
  <c r="G29" i="25" l="1"/>
  <c r="G31" i="25"/>
  <c r="E25" i="5"/>
  <c r="G25" i="5" s="1"/>
  <c r="E24" i="5"/>
  <c r="G24" i="5" s="1"/>
  <c r="H31" i="5"/>
  <c r="I31" i="5" s="1"/>
  <c r="H29" i="25"/>
  <c r="I29" i="25" s="1"/>
  <c r="D31" i="25"/>
  <c r="B9" i="4"/>
  <c r="C26" i="4"/>
  <c r="D26" i="4" s="1"/>
  <c r="H31" i="25" l="1"/>
  <c r="I31" i="25" s="1"/>
  <c r="G26" i="5"/>
  <c r="B23" i="4"/>
  <c r="B24" i="4"/>
  <c r="B9" i="25" l="1"/>
  <c r="B7" i="25"/>
  <c r="B6" i="25"/>
  <c r="B5" i="25"/>
  <c r="B13" i="25" l="1"/>
  <c r="B12" i="25"/>
  <c r="B18" i="25"/>
  <c r="B17" i="25"/>
  <c r="C20" i="25"/>
  <c r="F20" i="25" s="1"/>
  <c r="B8" i="25"/>
  <c r="B28" i="25" l="1"/>
  <c r="E28" i="25" s="1"/>
  <c r="G28" i="25" s="1"/>
  <c r="E13" i="25"/>
  <c r="G13" i="25" s="1"/>
  <c r="D13" i="25"/>
  <c r="E17" i="25"/>
  <c r="B27" i="25"/>
  <c r="B23" i="25"/>
  <c r="B26" i="25"/>
  <c r="B22" i="25"/>
  <c r="B20" i="25"/>
  <c r="E12" i="25"/>
  <c r="G12" i="25" s="1"/>
  <c r="D12" i="25"/>
  <c r="E18" i="25"/>
  <c r="D28" i="25" l="1"/>
  <c r="H28" i="25" s="1"/>
  <c r="I28" i="25" s="1"/>
  <c r="D14" i="25"/>
  <c r="D20" i="25"/>
  <c r="E20" i="25"/>
  <c r="G20" i="25" s="1"/>
  <c r="E22" i="25"/>
  <c r="E23" i="25"/>
  <c r="H12" i="25"/>
  <c r="I12" i="25" s="1"/>
  <c r="G14" i="25"/>
  <c r="E26" i="25"/>
  <c r="G26" i="25" s="1"/>
  <c r="D26" i="25"/>
  <c r="E27" i="25"/>
  <c r="G27" i="25" s="1"/>
  <c r="D27" i="25"/>
  <c r="H13" i="25"/>
  <c r="I13" i="25" s="1"/>
  <c r="B33" i="5"/>
  <c r="D33" i="5" l="1"/>
  <c r="E33" i="5"/>
  <c r="G33" i="5" s="1"/>
  <c r="H20" i="25"/>
  <c r="I20" i="25" s="1"/>
  <c r="G30" i="25"/>
  <c r="H26" i="25"/>
  <c r="I26" i="25" s="1"/>
  <c r="H27" i="25"/>
  <c r="I27" i="25" s="1"/>
  <c r="D30" i="25"/>
  <c r="H14" i="25"/>
  <c r="I14" i="25" s="1"/>
  <c r="H30" i="25" l="1"/>
  <c r="I30" i="25" s="1"/>
  <c r="H33" i="5"/>
  <c r="I33" i="5" s="1"/>
  <c r="B8" i="5" l="1"/>
  <c r="B6" i="5"/>
  <c r="B7" i="4"/>
  <c r="B6" i="4"/>
  <c r="B5" i="4"/>
  <c r="B13" i="4" l="1"/>
  <c r="B12" i="4"/>
  <c r="B21" i="5"/>
  <c r="B20" i="5"/>
  <c r="E14" i="5"/>
  <c r="G14" i="5" s="1"/>
  <c r="D14" i="5"/>
  <c r="F28" i="4"/>
  <c r="C27" i="4"/>
  <c r="F27" i="4" s="1"/>
  <c r="E24" i="4"/>
  <c r="E21" i="5" l="1"/>
  <c r="E20" i="5"/>
  <c r="H14" i="5"/>
  <c r="I14" i="5" s="1"/>
  <c r="B9" i="5"/>
  <c r="B22" i="5" s="1"/>
  <c r="D22" i="5" l="1"/>
  <c r="E22" i="5"/>
  <c r="B13" i="5"/>
  <c r="E13" i="5" s="1"/>
  <c r="G13" i="5" s="1"/>
  <c r="B30" i="5"/>
  <c r="B28" i="5"/>
  <c r="B29" i="5"/>
  <c r="F48" i="4"/>
  <c r="F45" i="4"/>
  <c r="F43" i="4"/>
  <c r="F41" i="4"/>
  <c r="F39" i="4"/>
  <c r="E39" i="4"/>
  <c r="D39" i="4"/>
  <c r="E22" i="4"/>
  <c r="G22" i="4" s="1"/>
  <c r="D22" i="4"/>
  <c r="E19" i="4"/>
  <c r="F17" i="4"/>
  <c r="F16" i="4"/>
  <c r="F15" i="4"/>
  <c r="F13" i="4"/>
  <c r="F12" i="4"/>
  <c r="D13" i="5" l="1"/>
  <c r="D15" i="5" s="1"/>
  <c r="E30" i="5"/>
  <c r="G30" i="5" s="1"/>
  <c r="D30" i="5"/>
  <c r="D28" i="5"/>
  <c r="E28" i="5"/>
  <c r="G28" i="5" s="1"/>
  <c r="D29" i="5"/>
  <c r="E29" i="5"/>
  <c r="G29" i="5" s="1"/>
  <c r="G39" i="4"/>
  <c r="H39" i="4" s="1"/>
  <c r="I39" i="4" s="1"/>
  <c r="G15" i="5"/>
  <c r="E13" i="4"/>
  <c r="G13" i="4" s="1"/>
  <c r="D13" i="4"/>
  <c r="B41" i="4"/>
  <c r="B8" i="4"/>
  <c r="B38" i="4" s="1"/>
  <c r="H22" i="4"/>
  <c r="I22" i="4" s="1"/>
  <c r="H13" i="5" l="1"/>
  <c r="I13" i="5" s="1"/>
  <c r="H30" i="5"/>
  <c r="I30" i="5" s="1"/>
  <c r="E38" i="4"/>
  <c r="G38" i="4" s="1"/>
  <c r="D38" i="4"/>
  <c r="H15" i="5"/>
  <c r="I15" i="5" s="1"/>
  <c r="G32" i="5"/>
  <c r="D32" i="5"/>
  <c r="H28" i="5"/>
  <c r="I28" i="5" s="1"/>
  <c r="H29" i="5"/>
  <c r="I29" i="5" s="1"/>
  <c r="B27" i="4"/>
  <c r="D27" i="4" s="1"/>
  <c r="B28" i="4"/>
  <c r="D15" i="4"/>
  <c r="E15" i="4"/>
  <c r="G15" i="4" s="1"/>
  <c r="E16" i="4"/>
  <c r="G16" i="4" s="1"/>
  <c r="D16" i="4"/>
  <c r="E41" i="4"/>
  <c r="G41" i="4" s="1"/>
  <c r="D41" i="4"/>
  <c r="E23" i="4"/>
  <c r="B37" i="4"/>
  <c r="B36" i="4"/>
  <c r="B32" i="4"/>
  <c r="B31" i="4"/>
  <c r="E17" i="4"/>
  <c r="G17" i="4" s="1"/>
  <c r="D17" i="4"/>
  <c r="E12" i="4"/>
  <c r="G12" i="4" s="1"/>
  <c r="D12" i="4"/>
  <c r="D14" i="4" s="1"/>
  <c r="H13" i="4"/>
  <c r="I13" i="4" s="1"/>
  <c r="H38" i="4" l="1"/>
  <c r="I38" i="4" s="1"/>
  <c r="H32" i="5"/>
  <c r="I32" i="5" s="1"/>
  <c r="E27" i="4"/>
  <c r="G27" i="4" s="1"/>
  <c r="D28" i="4"/>
  <c r="E28" i="4"/>
  <c r="G28" i="4" s="1"/>
  <c r="D18" i="4"/>
  <c r="E31" i="4"/>
  <c r="E36" i="4"/>
  <c r="G36" i="4" s="1"/>
  <c r="D36" i="4"/>
  <c r="G18" i="4"/>
  <c r="H15" i="4"/>
  <c r="I15" i="4" s="1"/>
  <c r="G14" i="4"/>
  <c r="H12" i="4"/>
  <c r="I12" i="4" s="1"/>
  <c r="H17" i="4"/>
  <c r="I17" i="4" s="1"/>
  <c r="E32" i="4"/>
  <c r="E37" i="4"/>
  <c r="G37" i="4" s="1"/>
  <c r="D37" i="4"/>
  <c r="H41" i="4"/>
  <c r="I41" i="4" s="1"/>
  <c r="H16" i="4"/>
  <c r="I16" i="4" s="1"/>
  <c r="H27" i="4" l="1"/>
  <c r="I27" i="4" s="1"/>
  <c r="H28" i="4"/>
  <c r="I28" i="4" s="1"/>
  <c r="D40" i="4"/>
  <c r="H37" i="4"/>
  <c r="I37" i="4" s="1"/>
  <c r="H14" i="4"/>
  <c r="I14" i="4" s="1"/>
  <c r="H36" i="4"/>
  <c r="I36" i="4" s="1"/>
  <c r="G40" i="4"/>
  <c r="H18" i="4"/>
  <c r="I18" i="4" s="1"/>
  <c r="H40" i="4" l="1"/>
  <c r="I40" i="4" s="1"/>
  <c r="G26" i="4" l="1"/>
  <c r="H26" i="4" s="1"/>
  <c r="I26" i="4" s="1"/>
  <c r="G23" i="25" l="1"/>
  <c r="G32" i="4"/>
  <c r="G22" i="25"/>
  <c r="G31" i="4"/>
  <c r="G33" i="4" l="1"/>
  <c r="G24" i="25"/>
  <c r="G20" i="59" l="1"/>
  <c r="G20" i="58"/>
  <c r="G20" i="57"/>
  <c r="G20" i="60"/>
  <c r="G20" i="62"/>
  <c r="G20" i="61"/>
  <c r="G20" i="46"/>
  <c r="G20" i="47"/>
  <c r="G20" i="4"/>
  <c r="G20" i="53"/>
  <c r="G20" i="52"/>
  <c r="G20" i="51"/>
  <c r="G20" i="50" l="1"/>
  <c r="G20" i="49"/>
  <c r="G20" i="48"/>
  <c r="G18" i="5"/>
  <c r="G18" i="72"/>
  <c r="G18" i="71"/>
  <c r="G18" i="78"/>
  <c r="G18" i="76"/>
  <c r="G18" i="75"/>
  <c r="G18" i="73"/>
  <c r="G18" i="74"/>
  <c r="G20" i="56"/>
  <c r="G20" i="54"/>
  <c r="D20" i="47" l="1"/>
  <c r="C20" i="4"/>
  <c r="D20" i="4" s="1"/>
  <c r="D20" i="46"/>
  <c r="D20" i="50"/>
  <c r="D20" i="48"/>
  <c r="D20" i="49"/>
  <c r="D20" i="51"/>
  <c r="D20" i="53"/>
  <c r="D20" i="52"/>
  <c r="D20" i="54"/>
  <c r="D20" i="56"/>
  <c r="D20" i="57"/>
  <c r="D20" i="59"/>
  <c r="D20" i="58"/>
  <c r="D20" i="61"/>
  <c r="D20" i="60"/>
  <c r="C20" i="62"/>
  <c r="D20" i="62" s="1"/>
  <c r="C18" i="72"/>
  <c r="D18" i="72" s="1"/>
  <c r="C18" i="71"/>
  <c r="D18" i="71" s="1"/>
  <c r="C18" i="5"/>
  <c r="D18" i="5" s="1"/>
  <c r="C18" i="75"/>
  <c r="D18" i="75" s="1"/>
  <c r="C18" i="74"/>
  <c r="D18" i="74" s="1"/>
  <c r="C18" i="73"/>
  <c r="D18" i="73" s="1"/>
  <c r="C18" i="78"/>
  <c r="D18" i="78" s="1"/>
  <c r="C18" i="76"/>
  <c r="D18" i="76" s="1"/>
  <c r="D20" i="79"/>
  <c r="D20" i="81"/>
  <c r="H18" i="76" l="1"/>
  <c r="I18" i="76" s="1"/>
  <c r="H18" i="78"/>
  <c r="I18" i="78" s="1"/>
  <c r="H18" i="74"/>
  <c r="I18" i="74" s="1"/>
  <c r="H18" i="5"/>
  <c r="I18" i="5" s="1"/>
  <c r="H18" i="72"/>
  <c r="I18" i="72" s="1"/>
  <c r="H20" i="62"/>
  <c r="I20" i="62" s="1"/>
  <c r="H20" i="61"/>
  <c r="I20" i="61" s="1"/>
  <c r="H20" i="59"/>
  <c r="I20" i="59" s="1"/>
  <c r="H20" i="56"/>
  <c r="I20" i="56" s="1"/>
  <c r="H20" i="53"/>
  <c r="I20" i="53" s="1"/>
  <c r="H20" i="49"/>
  <c r="I20" i="49" s="1"/>
  <c r="H20" i="50"/>
  <c r="I20" i="50" s="1"/>
  <c r="H20" i="4"/>
  <c r="I20" i="4" s="1"/>
  <c r="H18" i="73"/>
  <c r="I18" i="73" s="1"/>
  <c r="H18" i="75"/>
  <c r="I18" i="75" s="1"/>
  <c r="H18" i="71"/>
  <c r="I18" i="71" s="1"/>
  <c r="H20" i="60"/>
  <c r="I20" i="60" s="1"/>
  <c r="H20" i="58"/>
  <c r="I20" i="58" s="1"/>
  <c r="H20" i="57"/>
  <c r="I20" i="57" s="1"/>
  <c r="H20" i="54"/>
  <c r="I20" i="54" s="1"/>
  <c r="H20" i="52"/>
  <c r="I20" i="52" s="1"/>
  <c r="H20" i="51"/>
  <c r="I20" i="51" s="1"/>
  <c r="H20" i="48"/>
  <c r="I20" i="48" s="1"/>
  <c r="H20" i="46"/>
  <c r="I20" i="46" s="1"/>
  <c r="H20" i="47"/>
  <c r="I20" i="47" s="1"/>
  <c r="C23" i="50" l="1"/>
  <c r="D23" i="50" s="1"/>
  <c r="C23" i="58"/>
  <c r="D23" i="58" s="1"/>
  <c r="C23" i="59"/>
  <c r="D23" i="59" s="1"/>
  <c r="C23" i="48"/>
  <c r="D23" i="48" s="1"/>
  <c r="C23" i="49"/>
  <c r="D23" i="49" s="1"/>
  <c r="C23" i="57"/>
  <c r="D23" i="57" s="1"/>
  <c r="C23" i="47" l="1"/>
  <c r="D23" i="47" s="1"/>
  <c r="C23" i="46"/>
  <c r="D23" i="46" s="1"/>
  <c r="C23" i="4"/>
  <c r="D23" i="4" s="1"/>
  <c r="C17" i="70" l="1"/>
  <c r="D17" i="70" s="1"/>
  <c r="C17" i="69"/>
  <c r="C17" i="68"/>
  <c r="D17" i="68" s="1"/>
  <c r="C23" i="53" l="1"/>
  <c r="D23" i="53" s="1"/>
  <c r="C23" i="52"/>
  <c r="D23" i="52" s="1"/>
  <c r="C23" i="51"/>
  <c r="D23" i="51" s="1"/>
  <c r="C20" i="74"/>
  <c r="C20" i="75"/>
  <c r="D20" i="75" s="1"/>
  <c r="C20" i="73"/>
  <c r="D20" i="73" s="1"/>
  <c r="C17" i="65"/>
  <c r="D17" i="65" s="1"/>
  <c r="C17" i="66"/>
  <c r="C17" i="67"/>
  <c r="D17" i="67" s="1"/>
  <c r="C20" i="5" l="1"/>
  <c r="D20" i="5" s="1"/>
  <c r="C17" i="63"/>
  <c r="C23" i="61"/>
  <c r="D23" i="61" s="1"/>
  <c r="C20" i="72"/>
  <c r="D20" i="72" s="1"/>
  <c r="C20" i="71"/>
  <c r="C17" i="25"/>
  <c r="D17" i="25" s="1"/>
  <c r="C17" i="64"/>
  <c r="D17" i="64" s="1"/>
  <c r="C23" i="62"/>
  <c r="D23" i="62" s="1"/>
  <c r="C23" i="60"/>
  <c r="D23" i="60" s="1"/>
  <c r="D16" i="64" l="1"/>
  <c r="D16" i="63"/>
  <c r="C23" i="104" l="1"/>
  <c r="D23" i="104" s="1"/>
  <c r="C23" i="56"/>
  <c r="D23" i="56" s="1"/>
  <c r="C23" i="54"/>
  <c r="D23" i="54" s="1"/>
  <c r="N15" i="3" l="1"/>
  <c r="M15" i="3"/>
  <c r="N14" i="3"/>
  <c r="M14" i="3"/>
  <c r="N13" i="3"/>
  <c r="M13" i="3"/>
  <c r="N12" i="3"/>
  <c r="M12" i="3"/>
  <c r="N11" i="3"/>
  <c r="M11" i="3"/>
  <c r="N10" i="3"/>
  <c r="M10" i="3"/>
  <c r="N9" i="3"/>
  <c r="M9" i="3"/>
  <c r="C16" i="25" s="1"/>
  <c r="D16" i="25" s="1"/>
  <c r="N8" i="3"/>
  <c r="C24" i="116" s="1"/>
  <c r="M8" i="3"/>
  <c r="C21" i="116" s="1"/>
  <c r="D21" i="116" s="1"/>
  <c r="N7" i="3"/>
  <c r="C24" i="117" s="1"/>
  <c r="M7" i="3"/>
  <c r="C21" i="117" s="1"/>
  <c r="D21" i="117" s="1"/>
  <c r="N6" i="3"/>
  <c r="C24" i="115" s="1"/>
  <c r="M6" i="3"/>
  <c r="C21" i="115" s="1"/>
  <c r="D21" i="115" s="1"/>
  <c r="N5" i="3"/>
  <c r="C24" i="114" s="1"/>
  <c r="M5" i="3"/>
  <c r="C21" i="114" s="1"/>
  <c r="D21" i="114" s="1"/>
  <c r="N4" i="3"/>
  <c r="C24" i="113" s="1"/>
  <c r="M4" i="3"/>
  <c r="C21" i="113" s="1"/>
  <c r="D21" i="113" s="1"/>
  <c r="N3" i="3"/>
  <c r="C24" i="112" s="1"/>
  <c r="D24" i="112" s="1"/>
  <c r="M3" i="3"/>
  <c r="C21" i="112" s="1"/>
  <c r="D21" i="112" s="1"/>
  <c r="G14" i="3"/>
  <c r="G13" i="3"/>
  <c r="G12" i="3"/>
  <c r="G11" i="3"/>
  <c r="G10" i="3"/>
  <c r="G9" i="3"/>
  <c r="G8" i="3"/>
  <c r="C19" i="116" s="1"/>
  <c r="D19" i="116" s="1"/>
  <c r="G7" i="3"/>
  <c r="C19" i="117" s="1"/>
  <c r="D19" i="117" s="1"/>
  <c r="G6" i="3"/>
  <c r="C19" i="115" s="1"/>
  <c r="D19" i="115" s="1"/>
  <c r="G5" i="3"/>
  <c r="C19" i="114" s="1"/>
  <c r="D19" i="114" s="1"/>
  <c r="G4" i="3"/>
  <c r="C19" i="113" s="1"/>
  <c r="D19" i="113" s="1"/>
  <c r="G3" i="3"/>
  <c r="C19" i="112" s="1"/>
  <c r="D19" i="112" s="1"/>
  <c r="D25" i="112" l="1"/>
  <c r="C21" i="50"/>
  <c r="D21" i="50" s="1"/>
  <c r="C21" i="48"/>
  <c r="D21" i="48" s="1"/>
  <c r="C21" i="49"/>
  <c r="D21" i="49" s="1"/>
  <c r="C21" i="54"/>
  <c r="D21" i="54" s="1"/>
  <c r="C21" i="56"/>
  <c r="D21" i="56" s="1"/>
  <c r="C21" i="104"/>
  <c r="D21" i="104" s="1"/>
  <c r="C21" i="62"/>
  <c r="D21" i="62" s="1"/>
  <c r="C21" i="61"/>
  <c r="D21" i="61" s="1"/>
  <c r="C21" i="60"/>
  <c r="D21" i="60" s="1"/>
  <c r="C16" i="67"/>
  <c r="D16" i="67" s="1"/>
  <c r="C16" i="66"/>
  <c r="D16" i="66" s="1"/>
  <c r="C16" i="65"/>
  <c r="D16" i="65" s="1"/>
  <c r="C19" i="71"/>
  <c r="D19" i="71" s="1"/>
  <c r="C19" i="5"/>
  <c r="D19" i="5" s="1"/>
  <c r="C19" i="72"/>
  <c r="D19" i="72" s="1"/>
  <c r="C19" i="76"/>
  <c r="D19" i="76" s="1"/>
  <c r="C19" i="78"/>
  <c r="D19" i="78" s="1"/>
  <c r="C19" i="77"/>
  <c r="D19" i="77" s="1"/>
  <c r="C19" i="50"/>
  <c r="D19" i="50" s="1"/>
  <c r="C19" i="49"/>
  <c r="D19" i="49" s="1"/>
  <c r="C19" i="48"/>
  <c r="D19" i="48" s="1"/>
  <c r="C19" i="54"/>
  <c r="D19" i="54" s="1"/>
  <c r="C19" i="104"/>
  <c r="D19" i="104" s="1"/>
  <c r="C19" i="56"/>
  <c r="D19" i="56" s="1"/>
  <c r="C19" i="60"/>
  <c r="D19" i="60" s="1"/>
  <c r="C19" i="61"/>
  <c r="D19" i="61" s="1"/>
  <c r="C19" i="62"/>
  <c r="D19" i="62" s="1"/>
  <c r="C15" i="65"/>
  <c r="D15" i="65" s="1"/>
  <c r="C15" i="66"/>
  <c r="D15" i="66" s="1"/>
  <c r="C15" i="67"/>
  <c r="D15" i="67" s="1"/>
  <c r="C16" i="72"/>
  <c r="D16" i="72" s="1"/>
  <c r="C16" i="71"/>
  <c r="D16" i="71" s="1"/>
  <c r="C16" i="5"/>
  <c r="D16" i="5" s="1"/>
  <c r="C16" i="76"/>
  <c r="D16" i="76" s="1"/>
  <c r="C16" i="77"/>
  <c r="D16" i="77" s="1"/>
  <c r="C16" i="78"/>
  <c r="D16" i="78" s="1"/>
  <c r="C24" i="49"/>
  <c r="D24" i="49" s="1"/>
  <c r="C24" i="50"/>
  <c r="D24" i="50" s="1"/>
  <c r="C24" i="48"/>
  <c r="D24" i="48" s="1"/>
  <c r="C24" i="54"/>
  <c r="D24" i="54" s="1"/>
  <c r="C24" i="104"/>
  <c r="D24" i="104" s="1"/>
  <c r="C24" i="56"/>
  <c r="D24" i="56" s="1"/>
  <c r="C24" i="61"/>
  <c r="D24" i="61" s="1"/>
  <c r="C24" i="60"/>
  <c r="D24" i="60" s="1"/>
  <c r="C24" i="62"/>
  <c r="D24" i="62" s="1"/>
  <c r="C18" i="66"/>
  <c r="C18" i="65"/>
  <c r="D18" i="65" s="1"/>
  <c r="C18" i="67"/>
  <c r="D18" i="67" s="1"/>
  <c r="C21" i="5"/>
  <c r="D21" i="5" s="1"/>
  <c r="C21" i="71"/>
  <c r="C21" i="72"/>
  <c r="D21" i="72" s="1"/>
  <c r="C21" i="77"/>
  <c r="C21" i="76"/>
  <c r="D21" i="76" s="1"/>
  <c r="C21" i="78"/>
  <c r="D21" i="78" s="1"/>
  <c r="C21" i="46"/>
  <c r="D21" i="46" s="1"/>
  <c r="C21" i="47"/>
  <c r="D21" i="47" s="1"/>
  <c r="C21" i="4"/>
  <c r="D21" i="4" s="1"/>
  <c r="C21" i="53"/>
  <c r="D21" i="53" s="1"/>
  <c r="C21" i="52"/>
  <c r="D21" i="52" s="1"/>
  <c r="C21" i="51"/>
  <c r="D21" i="51" s="1"/>
  <c r="C21" i="57"/>
  <c r="D21" i="57" s="1"/>
  <c r="C21" i="58"/>
  <c r="D21" i="58" s="1"/>
  <c r="C21" i="59"/>
  <c r="D21" i="59" s="1"/>
  <c r="C16" i="70"/>
  <c r="D16" i="70" s="1"/>
  <c r="C16" i="68"/>
  <c r="D16" i="68" s="1"/>
  <c r="C16" i="69"/>
  <c r="D16" i="69" s="1"/>
  <c r="C19" i="73"/>
  <c r="D19" i="73" s="1"/>
  <c r="C19" i="74"/>
  <c r="D19" i="74" s="1"/>
  <c r="C19" i="75"/>
  <c r="D19" i="75" s="1"/>
  <c r="C17" i="80"/>
  <c r="D17" i="80" s="1"/>
  <c r="C17" i="81"/>
  <c r="D17" i="81" s="1"/>
  <c r="C17" i="79"/>
  <c r="D17" i="79" s="1"/>
  <c r="C19" i="47"/>
  <c r="D19" i="47" s="1"/>
  <c r="C19" i="46"/>
  <c r="D19" i="46" s="1"/>
  <c r="C19" i="4"/>
  <c r="D19" i="4" s="1"/>
  <c r="C19" i="53"/>
  <c r="D19" i="53" s="1"/>
  <c r="C19" i="52"/>
  <c r="D19" i="52" s="1"/>
  <c r="C19" i="51"/>
  <c r="D19" i="51" s="1"/>
  <c r="C19" i="58"/>
  <c r="D19" i="58" s="1"/>
  <c r="C19" i="59"/>
  <c r="D19" i="59" s="1"/>
  <c r="C19" i="57"/>
  <c r="D19" i="57" s="1"/>
  <c r="C15" i="25"/>
  <c r="D15" i="25" s="1"/>
  <c r="C15" i="64"/>
  <c r="D15" i="64" s="1"/>
  <c r="C15" i="63"/>
  <c r="D15" i="63" s="1"/>
  <c r="C15" i="69"/>
  <c r="D15" i="69" s="1"/>
  <c r="C15" i="68"/>
  <c r="D15" i="68" s="1"/>
  <c r="C15" i="70"/>
  <c r="D15" i="70" s="1"/>
  <c r="C16" i="74"/>
  <c r="D16" i="74" s="1"/>
  <c r="C16" i="75"/>
  <c r="D16" i="75" s="1"/>
  <c r="C16" i="73"/>
  <c r="D16" i="73" s="1"/>
  <c r="C24" i="46"/>
  <c r="D24" i="46" s="1"/>
  <c r="C24" i="47"/>
  <c r="D24" i="47" s="1"/>
  <c r="C24" i="4"/>
  <c r="D24" i="4" s="1"/>
  <c r="C24" i="53"/>
  <c r="D24" i="53" s="1"/>
  <c r="C24" i="51"/>
  <c r="D24" i="51" s="1"/>
  <c r="C24" i="52"/>
  <c r="D24" i="52" s="1"/>
  <c r="C24" i="57"/>
  <c r="D24" i="57" s="1"/>
  <c r="C24" i="58"/>
  <c r="D24" i="58" s="1"/>
  <c r="C24" i="59"/>
  <c r="D24" i="59" s="1"/>
  <c r="C18" i="64"/>
  <c r="D18" i="64" s="1"/>
  <c r="C18" i="25"/>
  <c r="D18" i="25" s="1"/>
  <c r="C18" i="63"/>
  <c r="C18" i="68"/>
  <c r="D18" i="68" s="1"/>
  <c r="C18" i="70"/>
  <c r="D18" i="70" s="1"/>
  <c r="C18" i="69"/>
  <c r="C21" i="73"/>
  <c r="D21" i="73" s="1"/>
  <c r="C21" i="74"/>
  <c r="C21" i="75"/>
  <c r="D21" i="75" s="1"/>
  <c r="C19" i="81"/>
  <c r="D19" i="81" s="1"/>
  <c r="C19" i="80"/>
  <c r="C19" i="79"/>
  <c r="D19" i="79" s="1"/>
  <c r="D23" i="72" l="1"/>
  <c r="D30" i="112"/>
  <c r="D29" i="112"/>
  <c r="D23" i="75"/>
  <c r="D21" i="79"/>
  <c r="D23" i="76"/>
  <c r="D19" i="65"/>
  <c r="D19" i="25"/>
  <c r="D19" i="64"/>
  <c r="D21" i="81"/>
  <c r="D23" i="78"/>
  <c r="D23" i="5"/>
  <c r="D19" i="67"/>
  <c r="D19" i="68"/>
  <c r="D23" i="73"/>
  <c r="D19" i="70"/>
  <c r="D25" i="4"/>
  <c r="D25" i="59"/>
  <c r="D25" i="52"/>
  <c r="D25" i="46"/>
  <c r="D25" i="61"/>
  <c r="D25" i="50"/>
  <c r="D25" i="51"/>
  <c r="D25" i="104"/>
  <c r="D25" i="58"/>
  <c r="D25" i="53"/>
  <c r="D25" i="47"/>
  <c r="D25" i="60"/>
  <c r="D25" i="54"/>
  <c r="D25" i="62"/>
  <c r="D25" i="49"/>
  <c r="D25" i="57"/>
  <c r="D25" i="56"/>
  <c r="D25" i="48"/>
  <c r="P15" i="3"/>
  <c r="O15" i="3"/>
  <c r="P14" i="3"/>
  <c r="O14" i="3"/>
  <c r="P13" i="3"/>
  <c r="O13" i="3"/>
  <c r="P12" i="3"/>
  <c r="O12" i="3"/>
  <c r="P11" i="3"/>
  <c r="O11" i="3"/>
  <c r="P9" i="3"/>
  <c r="O9" i="3"/>
  <c r="P8" i="3"/>
  <c r="C32" i="116" s="1"/>
  <c r="O8" i="3"/>
  <c r="C31" i="116" s="1"/>
  <c r="P7" i="3"/>
  <c r="C32" i="117" s="1"/>
  <c r="O7" i="3"/>
  <c r="C31" i="117" s="1"/>
  <c r="P6" i="3"/>
  <c r="C32" i="115" s="1"/>
  <c r="O6" i="3"/>
  <c r="C31" i="115" s="1"/>
  <c r="P5" i="3"/>
  <c r="C32" i="114" s="1"/>
  <c r="O5" i="3"/>
  <c r="C31" i="114" s="1"/>
  <c r="P4" i="3"/>
  <c r="C32" i="113" s="1"/>
  <c r="O4" i="3"/>
  <c r="C31" i="113" s="1"/>
  <c r="P3" i="3"/>
  <c r="C32" i="112" s="1"/>
  <c r="D32" i="112" s="1"/>
  <c r="O3" i="3"/>
  <c r="C31" i="112" s="1"/>
  <c r="D31" i="112" s="1"/>
  <c r="H31" i="112" s="1"/>
  <c r="I31" i="112" s="1"/>
  <c r="D33" i="112" l="1"/>
  <c r="D34" i="112" s="1"/>
  <c r="H32" i="112"/>
  <c r="I32" i="112" s="1"/>
  <c r="C32" i="104"/>
  <c r="D32" i="104" s="1"/>
  <c r="H32" i="104" s="1"/>
  <c r="I32" i="104" s="1"/>
  <c r="C32" i="56"/>
  <c r="D32" i="56" s="1"/>
  <c r="H32" i="56" s="1"/>
  <c r="I32" i="56" s="1"/>
  <c r="C32" i="54"/>
  <c r="D32" i="54" s="1"/>
  <c r="H32" i="54" s="1"/>
  <c r="I32" i="54" s="1"/>
  <c r="C23" i="68"/>
  <c r="D23" i="68" s="1"/>
  <c r="H23" i="68" s="1"/>
  <c r="I23" i="68" s="1"/>
  <c r="C23" i="70"/>
  <c r="D23" i="70" s="1"/>
  <c r="H23" i="70" s="1"/>
  <c r="I23" i="70" s="1"/>
  <c r="C23" i="69"/>
  <c r="C31" i="47"/>
  <c r="D31" i="47" s="1"/>
  <c r="C31" i="4"/>
  <c r="D31" i="4" s="1"/>
  <c r="C31" i="46"/>
  <c r="D31" i="46" s="1"/>
  <c r="C31" i="53"/>
  <c r="D31" i="53" s="1"/>
  <c r="C31" i="51"/>
  <c r="D31" i="51" s="1"/>
  <c r="C31" i="52"/>
  <c r="D31" i="52" s="1"/>
  <c r="C31" i="59"/>
  <c r="D31" i="59" s="1"/>
  <c r="C31" i="58"/>
  <c r="D31" i="58" s="1"/>
  <c r="C31" i="57"/>
  <c r="D31" i="57" s="1"/>
  <c r="C22" i="63"/>
  <c r="C22" i="64"/>
  <c r="D22" i="64" s="1"/>
  <c r="C22" i="25"/>
  <c r="D22" i="25" s="1"/>
  <c r="C24" i="71"/>
  <c r="C24" i="5"/>
  <c r="D24" i="5" s="1"/>
  <c r="C24" i="72"/>
  <c r="D24" i="72" s="1"/>
  <c r="C24" i="76"/>
  <c r="D24" i="76" s="1"/>
  <c r="C24" i="78"/>
  <c r="D24" i="78" s="1"/>
  <c r="C24" i="77"/>
  <c r="C32" i="46"/>
  <c r="D32" i="46" s="1"/>
  <c r="H32" i="46" s="1"/>
  <c r="I32" i="46" s="1"/>
  <c r="C32" i="4"/>
  <c r="D32" i="4" s="1"/>
  <c r="H32" i="4" s="1"/>
  <c r="I32" i="4" s="1"/>
  <c r="C32" i="47"/>
  <c r="D32" i="47" s="1"/>
  <c r="H32" i="47" s="1"/>
  <c r="I32" i="47" s="1"/>
  <c r="C32" i="53"/>
  <c r="D32" i="53" s="1"/>
  <c r="H32" i="53" s="1"/>
  <c r="I32" i="53" s="1"/>
  <c r="C32" i="51"/>
  <c r="D32" i="51" s="1"/>
  <c r="H32" i="51" s="1"/>
  <c r="I32" i="51" s="1"/>
  <c r="C32" i="52"/>
  <c r="D32" i="52" s="1"/>
  <c r="H32" i="52" s="1"/>
  <c r="I32" i="52" s="1"/>
  <c r="C32" i="57"/>
  <c r="D32" i="57" s="1"/>
  <c r="H32" i="57" s="1"/>
  <c r="I32" i="57" s="1"/>
  <c r="C32" i="59"/>
  <c r="D32" i="59" s="1"/>
  <c r="H32" i="59" s="1"/>
  <c r="I32" i="59" s="1"/>
  <c r="C32" i="58"/>
  <c r="D32" i="58" s="1"/>
  <c r="H32" i="58" s="1"/>
  <c r="I32" i="58" s="1"/>
  <c r="C23" i="63"/>
  <c r="C23" i="25"/>
  <c r="D23" i="25" s="1"/>
  <c r="H23" i="25" s="1"/>
  <c r="I23" i="25" s="1"/>
  <c r="C23" i="64"/>
  <c r="D23" i="64" s="1"/>
  <c r="H23" i="64" s="1"/>
  <c r="I23" i="64" s="1"/>
  <c r="C25" i="5"/>
  <c r="D25" i="5" s="1"/>
  <c r="H25" i="5" s="1"/>
  <c r="I25" i="5" s="1"/>
  <c r="C25" i="71"/>
  <c r="C25" i="72"/>
  <c r="D25" i="72" s="1"/>
  <c r="H25" i="72" s="1"/>
  <c r="I25" i="72" s="1"/>
  <c r="C25" i="77"/>
  <c r="C25" i="76"/>
  <c r="D25" i="76" s="1"/>
  <c r="H25" i="76" s="1"/>
  <c r="I25" i="76" s="1"/>
  <c r="C25" i="78"/>
  <c r="D25" i="78" s="1"/>
  <c r="H25" i="78" s="1"/>
  <c r="I25" i="78" s="1"/>
  <c r="D29" i="48"/>
  <c r="D30" i="48"/>
  <c r="D29" i="62"/>
  <c r="D30" i="62"/>
  <c r="D29" i="60"/>
  <c r="D30" i="60"/>
  <c r="D21" i="67"/>
  <c r="D30" i="47"/>
  <c r="D29" i="47"/>
  <c r="D30" i="58"/>
  <c r="D29" i="58"/>
  <c r="D21" i="68"/>
  <c r="D30" i="61"/>
  <c r="D29" i="61"/>
  <c r="D29" i="52"/>
  <c r="D30" i="52"/>
  <c r="D21" i="25"/>
  <c r="C31" i="48"/>
  <c r="D31" i="48" s="1"/>
  <c r="C31" i="50"/>
  <c r="D31" i="50" s="1"/>
  <c r="C31" i="49"/>
  <c r="D31" i="49" s="1"/>
  <c r="C31" i="104"/>
  <c r="D31" i="104" s="1"/>
  <c r="C31" i="54"/>
  <c r="D31" i="54" s="1"/>
  <c r="C31" i="56"/>
  <c r="D31" i="56" s="1"/>
  <c r="C31" i="61"/>
  <c r="D31" i="61" s="1"/>
  <c r="C31" i="60"/>
  <c r="D31" i="60" s="1"/>
  <c r="C31" i="62"/>
  <c r="D31" i="62" s="1"/>
  <c r="C22" i="68"/>
  <c r="D22" i="68" s="1"/>
  <c r="C22" i="70"/>
  <c r="D22" i="70" s="1"/>
  <c r="C22" i="69"/>
  <c r="C24" i="73"/>
  <c r="D24" i="73" s="1"/>
  <c r="C24" i="74"/>
  <c r="C24" i="75"/>
  <c r="D24" i="75" s="1"/>
  <c r="C22" i="80"/>
  <c r="C22" i="79"/>
  <c r="D22" i="79" s="1"/>
  <c r="C22" i="81"/>
  <c r="D22" i="81" s="1"/>
  <c r="C32" i="49"/>
  <c r="D32" i="49" s="1"/>
  <c r="H32" i="49" s="1"/>
  <c r="I32" i="49" s="1"/>
  <c r="C32" i="50"/>
  <c r="D32" i="50" s="1"/>
  <c r="H32" i="50" s="1"/>
  <c r="I32" i="50" s="1"/>
  <c r="C32" i="48"/>
  <c r="D32" i="48" s="1"/>
  <c r="H32" i="48" s="1"/>
  <c r="I32" i="48" s="1"/>
  <c r="C32" i="62"/>
  <c r="D32" i="62" s="1"/>
  <c r="H32" i="62" s="1"/>
  <c r="I32" i="62" s="1"/>
  <c r="C32" i="61"/>
  <c r="D32" i="61" s="1"/>
  <c r="H32" i="61" s="1"/>
  <c r="I32" i="61" s="1"/>
  <c r="C32" i="60"/>
  <c r="D32" i="60" s="1"/>
  <c r="H32" i="60" s="1"/>
  <c r="I32" i="60" s="1"/>
  <c r="C25" i="75"/>
  <c r="D25" i="75" s="1"/>
  <c r="H25" i="75" s="1"/>
  <c r="I25" i="75" s="1"/>
  <c r="C25" i="74"/>
  <c r="C25" i="73"/>
  <c r="D25" i="73" s="1"/>
  <c r="H25" i="73" s="1"/>
  <c r="I25" i="73" s="1"/>
  <c r="C23" i="79"/>
  <c r="D23" i="79" s="1"/>
  <c r="H23" i="79" s="1"/>
  <c r="I23" i="79" s="1"/>
  <c r="C23" i="80"/>
  <c r="C23" i="81"/>
  <c r="D23" i="81" s="1"/>
  <c r="H23" i="81" s="1"/>
  <c r="I23" i="81" s="1"/>
  <c r="D29" i="56"/>
  <c r="D30" i="56"/>
  <c r="D30" i="57"/>
  <c r="D29" i="57"/>
  <c r="D21" i="70"/>
  <c r="D30" i="49"/>
  <c r="D29" i="49"/>
  <c r="D21" i="64"/>
  <c r="D30" i="54"/>
  <c r="D29" i="54"/>
  <c r="D29" i="53"/>
  <c r="D30" i="53"/>
  <c r="D21" i="65"/>
  <c r="D29" i="104"/>
  <c r="D30" i="104"/>
  <c r="D29" i="51"/>
  <c r="D30" i="51"/>
  <c r="D30" i="50"/>
  <c r="D29" i="50"/>
  <c r="D30" i="46"/>
  <c r="D29" i="46"/>
  <c r="D29" i="59"/>
  <c r="D30" i="59"/>
  <c r="D30" i="4"/>
  <c r="D29" i="4"/>
  <c r="H33" i="112" l="1"/>
  <c r="I33" i="112" s="1"/>
  <c r="D42" i="112"/>
  <c r="D45" i="112" s="1"/>
  <c r="D47" i="112"/>
  <c r="D35" i="112"/>
  <c r="D24" i="81"/>
  <c r="H22" i="81"/>
  <c r="I22" i="81" s="1"/>
  <c r="D33" i="61"/>
  <c r="D34" i="61" s="1"/>
  <c r="H31" i="61"/>
  <c r="I31" i="61" s="1"/>
  <c r="D26" i="5"/>
  <c r="D27" i="5" s="1"/>
  <c r="H24" i="5"/>
  <c r="I24" i="5" s="1"/>
  <c r="D33" i="57"/>
  <c r="D34" i="57" s="1"/>
  <c r="H31" i="57"/>
  <c r="I31" i="57" s="1"/>
  <c r="D24" i="79"/>
  <c r="H22" i="79"/>
  <c r="I22" i="79" s="1"/>
  <c r="D26" i="75"/>
  <c r="D27" i="75" s="1"/>
  <c r="H24" i="75"/>
  <c r="I24" i="75" s="1"/>
  <c r="D33" i="54"/>
  <c r="D35" i="54" s="1"/>
  <c r="H31" i="54"/>
  <c r="I31" i="54" s="1"/>
  <c r="D33" i="48"/>
  <c r="H31" i="48"/>
  <c r="I31" i="48" s="1"/>
  <c r="D24" i="64"/>
  <c r="H24" i="64" s="1"/>
  <c r="I24" i="64" s="1"/>
  <c r="H22" i="64"/>
  <c r="I22" i="64" s="1"/>
  <c r="D33" i="58"/>
  <c r="D34" i="58" s="1"/>
  <c r="H31" i="58"/>
  <c r="I31" i="58" s="1"/>
  <c r="D33" i="52"/>
  <c r="D34" i="52" s="1"/>
  <c r="H31" i="52"/>
  <c r="I31" i="52" s="1"/>
  <c r="D33" i="46"/>
  <c r="D35" i="46" s="1"/>
  <c r="H31" i="46"/>
  <c r="I31" i="46" s="1"/>
  <c r="D33" i="50"/>
  <c r="D34" i="50" s="1"/>
  <c r="H31" i="50"/>
  <c r="I31" i="50" s="1"/>
  <c r="D33" i="62"/>
  <c r="D34" i="62" s="1"/>
  <c r="H31" i="62"/>
  <c r="I31" i="62" s="1"/>
  <c r="D33" i="104"/>
  <c r="D34" i="104" s="1"/>
  <c r="H31" i="104"/>
  <c r="I31" i="104" s="1"/>
  <c r="D33" i="59"/>
  <c r="D34" i="59" s="1"/>
  <c r="H31" i="59"/>
  <c r="I31" i="59" s="1"/>
  <c r="D33" i="51"/>
  <c r="D34" i="51" s="1"/>
  <c r="H31" i="51"/>
  <c r="I31" i="51" s="1"/>
  <c r="D33" i="4"/>
  <c r="D35" i="4" s="1"/>
  <c r="H31" i="4"/>
  <c r="I31" i="4" s="1"/>
  <c r="D24" i="68"/>
  <c r="H24" i="68" s="1"/>
  <c r="I24" i="68" s="1"/>
  <c r="H22" i="68"/>
  <c r="I22" i="68" s="1"/>
  <c r="D26" i="76"/>
  <c r="D27" i="76" s="1"/>
  <c r="H24" i="76"/>
  <c r="I24" i="76" s="1"/>
  <c r="D24" i="25"/>
  <c r="H24" i="25" s="1"/>
  <c r="I24" i="25" s="1"/>
  <c r="H22" i="25"/>
  <c r="I22" i="25" s="1"/>
  <c r="D26" i="73"/>
  <c r="D27" i="73" s="1"/>
  <c r="H24" i="73"/>
  <c r="I24" i="73" s="1"/>
  <c r="D24" i="70"/>
  <c r="H24" i="70" s="1"/>
  <c r="I24" i="70" s="1"/>
  <c r="H22" i="70"/>
  <c r="I22" i="70" s="1"/>
  <c r="D33" i="60"/>
  <c r="D35" i="60" s="1"/>
  <c r="H31" i="60"/>
  <c r="I31" i="60" s="1"/>
  <c r="D33" i="56"/>
  <c r="D35" i="56" s="1"/>
  <c r="H31" i="56"/>
  <c r="I31" i="56" s="1"/>
  <c r="D33" i="49"/>
  <c r="D34" i="49" s="1"/>
  <c r="H31" i="49"/>
  <c r="I31" i="49" s="1"/>
  <c r="D26" i="78"/>
  <c r="D27" i="78" s="1"/>
  <c r="H24" i="78"/>
  <c r="I24" i="78" s="1"/>
  <c r="D26" i="72"/>
  <c r="D27" i="72" s="1"/>
  <c r="H24" i="72"/>
  <c r="I24" i="72" s="1"/>
  <c r="D33" i="53"/>
  <c r="D35" i="53" s="1"/>
  <c r="H31" i="53"/>
  <c r="I31" i="53" s="1"/>
  <c r="D33" i="47"/>
  <c r="H31" i="47"/>
  <c r="I31" i="47" s="1"/>
  <c r="D48" i="112" l="1"/>
  <c r="D49" i="112" s="1"/>
  <c r="D50" i="112"/>
  <c r="D43" i="112"/>
  <c r="D44" i="112" s="1"/>
  <c r="D34" i="4"/>
  <c r="D34" i="60"/>
  <c r="D25" i="25"/>
  <c r="D35" i="61"/>
  <c r="D35" i="62"/>
  <c r="D34" i="46"/>
  <c r="D32" i="68"/>
  <c r="D35" i="68" s="1"/>
  <c r="D35" i="58"/>
  <c r="D35" i="57"/>
  <c r="D35" i="59"/>
  <c r="H26" i="78"/>
  <c r="I26" i="78" s="1"/>
  <c r="D34" i="78"/>
  <c r="D37" i="78" s="1"/>
  <c r="D32" i="64"/>
  <c r="D35" i="64" s="1"/>
  <c r="H33" i="56"/>
  <c r="I33" i="56" s="1"/>
  <c r="D42" i="56"/>
  <c r="D45" i="56" s="1"/>
  <c r="D47" i="56"/>
  <c r="D50" i="56" s="1"/>
  <c r="D25" i="68"/>
  <c r="H26" i="5"/>
  <c r="I26" i="5" s="1"/>
  <c r="D34" i="5"/>
  <c r="D37" i="5" s="1"/>
  <c r="H24" i="81"/>
  <c r="I24" i="81" s="1"/>
  <c r="D32" i="81"/>
  <c r="D35" i="81" s="1"/>
  <c r="D25" i="81"/>
  <c r="H33" i="52"/>
  <c r="I33" i="52" s="1"/>
  <c r="D47" i="52"/>
  <c r="D50" i="52" s="1"/>
  <c r="D42" i="52"/>
  <c r="D45" i="52" s="1"/>
  <c r="H33" i="48"/>
  <c r="I33" i="48" s="1"/>
  <c r="D42" i="48"/>
  <c r="D45" i="48" s="1"/>
  <c r="D47" i="48"/>
  <c r="D50" i="48" s="1"/>
  <c r="H26" i="75"/>
  <c r="I26" i="75" s="1"/>
  <c r="D34" i="75"/>
  <c r="D37" i="75" s="1"/>
  <c r="H33" i="47"/>
  <c r="I33" i="47" s="1"/>
  <c r="D47" i="47"/>
  <c r="D50" i="47" s="1"/>
  <c r="D42" i="47"/>
  <c r="D45" i="47" s="1"/>
  <c r="H26" i="72"/>
  <c r="I26" i="72" s="1"/>
  <c r="D34" i="72"/>
  <c r="D37" i="72" s="1"/>
  <c r="D35" i="48"/>
  <c r="D34" i="53"/>
  <c r="H33" i="4"/>
  <c r="I33" i="4" s="1"/>
  <c r="D42" i="4"/>
  <c r="D45" i="4" s="1"/>
  <c r="D47" i="4"/>
  <c r="D50" i="4" s="1"/>
  <c r="H33" i="59"/>
  <c r="I33" i="59" s="1"/>
  <c r="D42" i="59"/>
  <c r="D45" i="59" s="1"/>
  <c r="D47" i="59"/>
  <c r="D50" i="59" s="1"/>
  <c r="H33" i="104"/>
  <c r="I33" i="104" s="1"/>
  <c r="D47" i="104"/>
  <c r="D50" i="104" s="1"/>
  <c r="D42" i="104"/>
  <c r="D45" i="104" s="1"/>
  <c r="H33" i="62"/>
  <c r="I33" i="62" s="1"/>
  <c r="D47" i="62"/>
  <c r="D50" i="62" s="1"/>
  <c r="D42" i="62"/>
  <c r="D45" i="62" s="1"/>
  <c r="D34" i="56"/>
  <c r="H33" i="50"/>
  <c r="I33" i="50" s="1"/>
  <c r="D47" i="50"/>
  <c r="D50" i="50" s="1"/>
  <c r="D42" i="50"/>
  <c r="D45" i="50" s="1"/>
  <c r="H33" i="46"/>
  <c r="I33" i="46" s="1"/>
  <c r="D47" i="46"/>
  <c r="D50" i="46" s="1"/>
  <c r="D42" i="46"/>
  <c r="D45" i="46" s="1"/>
  <c r="H33" i="58"/>
  <c r="I33" i="58" s="1"/>
  <c r="D47" i="58"/>
  <c r="D50" i="58" s="1"/>
  <c r="D42" i="58"/>
  <c r="D45" i="58" s="1"/>
  <c r="D34" i="48"/>
  <c r="D34" i="47"/>
  <c r="H33" i="54"/>
  <c r="I33" i="54" s="1"/>
  <c r="D47" i="54"/>
  <c r="D50" i="54" s="1"/>
  <c r="D42" i="54"/>
  <c r="D45" i="54" s="1"/>
  <c r="H24" i="79"/>
  <c r="I24" i="79" s="1"/>
  <c r="D25" i="79"/>
  <c r="D32" i="79"/>
  <c r="D35" i="79" s="1"/>
  <c r="D34" i="54"/>
  <c r="D32" i="70"/>
  <c r="D35" i="70" s="1"/>
  <c r="H33" i="53"/>
  <c r="I33" i="53" s="1"/>
  <c r="D47" i="53"/>
  <c r="D50" i="53" s="1"/>
  <c r="D42" i="53"/>
  <c r="D45" i="53" s="1"/>
  <c r="H33" i="51"/>
  <c r="I33" i="51" s="1"/>
  <c r="D42" i="51"/>
  <c r="D45" i="51" s="1"/>
  <c r="D47" i="51"/>
  <c r="D50" i="51" s="1"/>
  <c r="D35" i="51"/>
  <c r="D32" i="25"/>
  <c r="D35" i="25" s="1"/>
  <c r="H33" i="49"/>
  <c r="I33" i="49" s="1"/>
  <c r="D42" i="49"/>
  <c r="D45" i="49" s="1"/>
  <c r="D47" i="49"/>
  <c r="D50" i="49" s="1"/>
  <c r="H33" i="60"/>
  <c r="I33" i="60" s="1"/>
  <c r="D47" i="60"/>
  <c r="D50" i="60" s="1"/>
  <c r="D42" i="60"/>
  <c r="D45" i="60" s="1"/>
  <c r="H26" i="73"/>
  <c r="I26" i="73" s="1"/>
  <c r="D34" i="73"/>
  <c r="D37" i="73" s="1"/>
  <c r="H26" i="76"/>
  <c r="I26" i="76" s="1"/>
  <c r="D34" i="76"/>
  <c r="D37" i="76" s="1"/>
  <c r="D35" i="49"/>
  <c r="D35" i="47"/>
  <c r="D35" i="52"/>
  <c r="D35" i="104"/>
  <c r="D25" i="64"/>
  <c r="D35" i="50"/>
  <c r="H33" i="57"/>
  <c r="I33" i="57" s="1"/>
  <c r="D47" i="57"/>
  <c r="D50" i="57" s="1"/>
  <c r="D42" i="57"/>
  <c r="D45" i="57" s="1"/>
  <c r="H33" i="61"/>
  <c r="I33" i="61" s="1"/>
  <c r="D42" i="61"/>
  <c r="D45" i="61" s="1"/>
  <c r="D47" i="61"/>
  <c r="D50" i="61" s="1"/>
  <c r="D25" i="70"/>
  <c r="D51" i="112" l="1"/>
  <c r="E4" i="7" s="1"/>
  <c r="D46" i="112"/>
  <c r="D33" i="68"/>
  <c r="D34" i="68" s="1"/>
  <c r="D48" i="61"/>
  <c r="D48" i="60"/>
  <c r="D33" i="81"/>
  <c r="D35" i="73"/>
  <c r="D33" i="25"/>
  <c r="D43" i="51"/>
  <c r="D43" i="53"/>
  <c r="D33" i="79"/>
  <c r="D48" i="54"/>
  <c r="D43" i="46"/>
  <c r="D48" i="50"/>
  <c r="D48" i="4"/>
  <c r="D35" i="72"/>
  <c r="D43" i="52"/>
  <c r="D35" i="75"/>
  <c r="D43" i="57"/>
  <c r="D48" i="49"/>
  <c r="D48" i="53"/>
  <c r="D33" i="70"/>
  <c r="D43" i="58"/>
  <c r="D48" i="46"/>
  <c r="D43" i="104"/>
  <c r="D48" i="59"/>
  <c r="D43" i="4"/>
  <c r="D48" i="48"/>
  <c r="D48" i="52"/>
  <c r="D35" i="5"/>
  <c r="D48" i="56"/>
  <c r="D33" i="64"/>
  <c r="D35" i="78"/>
  <c r="D35" i="76"/>
  <c r="D36" i="76" s="1"/>
  <c r="D48" i="51"/>
  <c r="D43" i="54"/>
  <c r="D43" i="50"/>
  <c r="D48" i="62"/>
  <c r="D48" i="47"/>
  <c r="D43" i="61"/>
  <c r="D48" i="57"/>
  <c r="D43" i="60"/>
  <c r="D43" i="49"/>
  <c r="D48" i="58"/>
  <c r="D43" i="62"/>
  <c r="D48" i="104"/>
  <c r="D43" i="59"/>
  <c r="D43" i="47"/>
  <c r="D43" i="48"/>
  <c r="D43" i="56"/>
  <c r="D49" i="47" l="1"/>
  <c r="D44" i="49"/>
  <c r="D44" i="54"/>
  <c r="D49" i="54"/>
  <c r="D44" i="48"/>
  <c r="D49" i="48"/>
  <c r="D36" i="5"/>
  <c r="D36" i="72"/>
  <c r="D44" i="62"/>
  <c r="D34" i="70"/>
  <c r="D49" i="49"/>
  <c r="D49" i="4"/>
  <c r="D44" i="46"/>
  <c r="D44" i="56"/>
  <c r="D44" i="47"/>
  <c r="D49" i="56"/>
  <c r="D44" i="4"/>
  <c r="D44" i="57"/>
  <c r="D44" i="59"/>
  <c r="D49" i="58"/>
  <c r="D49" i="57"/>
  <c r="D44" i="50"/>
  <c r="D49" i="46"/>
  <c r="D34" i="79"/>
  <c r="D49" i="53"/>
  <c r="D44" i="53"/>
  <c r="D34" i="25"/>
  <c r="D44" i="52"/>
  <c r="D34" i="64"/>
  <c r="D44" i="104"/>
  <c r="D34" i="81"/>
  <c r="D49" i="60"/>
  <c r="D49" i="61"/>
  <c r="D44" i="60"/>
  <c r="D49" i="51"/>
  <c r="D49" i="104"/>
  <c r="D44" i="61"/>
  <c r="D49" i="62"/>
  <c r="D36" i="78"/>
  <c r="D49" i="52"/>
  <c r="D49" i="59"/>
  <c r="D44" i="58"/>
  <c r="D36" i="68"/>
  <c r="D36" i="75"/>
  <c r="D49" i="50"/>
  <c r="D44" i="51"/>
  <c r="D36" i="73"/>
  <c r="D51" i="62" l="1"/>
  <c r="D38" i="72"/>
  <c r="E28" i="7" s="1"/>
  <c r="D51" i="56"/>
  <c r="E17" i="7" s="1"/>
  <c r="D46" i="48"/>
  <c r="D51" i="49"/>
  <c r="E7" i="7" s="1"/>
  <c r="D46" i="4"/>
  <c r="D46" i="56"/>
  <c r="D51" i="58"/>
  <c r="E19" i="7" s="1"/>
  <c r="D46" i="50"/>
  <c r="D51" i="54"/>
  <c r="D51" i="48"/>
  <c r="E6" i="7" s="1"/>
  <c r="D38" i="76"/>
  <c r="E41" i="7" s="1"/>
  <c r="D46" i="47"/>
  <c r="D36" i="79"/>
  <c r="D51" i="57"/>
  <c r="D46" i="46"/>
  <c r="D38" i="5"/>
  <c r="E38" i="7"/>
  <c r="D36" i="70"/>
  <c r="D51" i="47"/>
  <c r="D46" i="49"/>
  <c r="D51" i="46" l="1"/>
  <c r="E3" i="7" s="1"/>
  <c r="D46" i="54"/>
  <c r="D51" i="4"/>
  <c r="E2" i="7" s="1"/>
  <c r="D46" i="57"/>
  <c r="E14" i="7"/>
  <c r="D51" i="61"/>
  <c r="E23" i="7" s="1"/>
  <c r="D36" i="81"/>
  <c r="E46" i="7" s="1"/>
  <c r="D38" i="75"/>
  <c r="E31" i="7" s="1"/>
  <c r="E44" i="7"/>
  <c r="D46" i="60"/>
  <c r="D46" i="52"/>
  <c r="D46" i="58"/>
  <c r="D51" i="52"/>
  <c r="D51" i="104"/>
  <c r="D38" i="78"/>
  <c r="D38" i="73"/>
  <c r="D51" i="60"/>
  <c r="D51" i="51"/>
  <c r="D46" i="53"/>
  <c r="D46" i="104"/>
  <c r="E26" i="7"/>
  <c r="E18" i="7"/>
  <c r="D36" i="25"/>
  <c r="E5" i="7"/>
  <c r="E40" i="7"/>
  <c r="D51" i="50"/>
  <c r="D46" i="61"/>
  <c r="D46" i="51"/>
  <c r="D51" i="53"/>
  <c r="D36" i="64"/>
  <c r="E10" i="7" l="1"/>
  <c r="E29" i="7"/>
  <c r="E11" i="7"/>
  <c r="E13" i="7"/>
  <c r="E9" i="7"/>
  <c r="E15" i="7"/>
  <c r="E34" i="7"/>
  <c r="E32" i="7"/>
  <c r="E43" i="7"/>
  <c r="D46" i="59"/>
  <c r="E22" i="7"/>
  <c r="D46" i="62"/>
  <c r="D51" i="59"/>
  <c r="E21" i="7" s="1"/>
  <c r="E25" i="7" l="1"/>
  <c r="P10" i="3" l="1"/>
  <c r="O10" i="3"/>
  <c r="C23" i="65" l="1"/>
  <c r="D23" i="65" s="1"/>
  <c r="H23" i="65" s="1"/>
  <c r="I23" i="65" s="1"/>
  <c r="C23" i="67"/>
  <c r="D23" i="67" s="1"/>
  <c r="H23" i="67" s="1"/>
  <c r="I23" i="67" s="1"/>
  <c r="C23" i="66"/>
  <c r="C22" i="66"/>
  <c r="C22" i="65"/>
  <c r="D22" i="65" s="1"/>
  <c r="C22" i="67"/>
  <c r="D22" i="67" s="1"/>
  <c r="D24" i="67" l="1"/>
  <c r="H22" i="67"/>
  <c r="I22" i="67" s="1"/>
  <c r="D24" i="65"/>
  <c r="H22" i="65"/>
  <c r="I22" i="65" s="1"/>
  <c r="H24" i="65" l="1"/>
  <c r="I24" i="65" s="1"/>
  <c r="D32" i="65"/>
  <c r="D35" i="65" s="1"/>
  <c r="D25" i="65"/>
  <c r="H24" i="67"/>
  <c r="I24" i="67" s="1"/>
  <c r="D25" i="67"/>
  <c r="D32" i="67"/>
  <c r="D35" i="67" s="1"/>
  <c r="D33" i="67" l="1"/>
  <c r="D33" i="65"/>
  <c r="D34" i="67" l="1"/>
  <c r="D34" i="65"/>
  <c r="D36" i="65" l="1"/>
  <c r="E35" i="7" s="1"/>
  <c r="D36" i="67"/>
  <c r="E37" i="7" l="1"/>
  <c r="F19" i="115" l="1"/>
  <c r="G19" i="115" s="1"/>
  <c r="H19" i="115" s="1"/>
  <c r="I19" i="115" s="1"/>
  <c r="F19" i="104" l="1"/>
  <c r="G19" i="104" s="1"/>
  <c r="H19" i="104" s="1"/>
  <c r="I19" i="104" s="1"/>
  <c r="F19" i="54"/>
  <c r="G19" i="54" s="1"/>
  <c r="H19" i="54" s="1"/>
  <c r="I19" i="54" s="1"/>
  <c r="F19" i="56"/>
  <c r="G19" i="56" s="1"/>
  <c r="H19" i="56" s="1"/>
  <c r="I19" i="56" s="1"/>
  <c r="F16" i="78"/>
  <c r="G16" i="78" s="1"/>
  <c r="H16" i="78" s="1"/>
  <c r="I16" i="78" s="1"/>
  <c r="F16" i="77"/>
  <c r="G16" i="77" s="1"/>
  <c r="H16" i="77" s="1"/>
  <c r="I16" i="77" s="1"/>
  <c r="F16" i="76"/>
  <c r="G16" i="76" s="1"/>
  <c r="H16" i="76" s="1"/>
  <c r="I16" i="76" s="1"/>
  <c r="F17" i="67"/>
  <c r="G17" i="67" s="1"/>
  <c r="H17" i="67" s="1"/>
  <c r="I17" i="67" s="1"/>
  <c r="F17" i="65"/>
  <c r="G17" i="65" s="1"/>
  <c r="H17" i="65" s="1"/>
  <c r="I17" i="65" s="1"/>
  <c r="F17" i="66"/>
  <c r="F15" i="66"/>
  <c r="G15" i="66" s="1"/>
  <c r="F15" i="65"/>
  <c r="G15" i="65" s="1"/>
  <c r="F15" i="67"/>
  <c r="G15" i="67" s="1"/>
  <c r="F17" i="69"/>
  <c r="F17" i="68"/>
  <c r="G17" i="68" s="1"/>
  <c r="H17" i="68" s="1"/>
  <c r="I17" i="68" s="1"/>
  <c r="F17" i="70"/>
  <c r="G17" i="70" s="1"/>
  <c r="H17" i="70" s="1"/>
  <c r="I17" i="70" s="1"/>
  <c r="F15" i="70"/>
  <c r="G15" i="70" s="1"/>
  <c r="F15" i="69"/>
  <c r="G15" i="69" s="1"/>
  <c r="F15" i="68"/>
  <c r="G15" i="68" s="1"/>
  <c r="H15" i="70" l="1"/>
  <c r="I15" i="70" s="1"/>
  <c r="H15" i="65"/>
  <c r="I15" i="65" s="1"/>
  <c r="H15" i="66"/>
  <c r="I15" i="66" s="1"/>
  <c r="H15" i="69"/>
  <c r="I15" i="69" s="1"/>
  <c r="H15" i="68"/>
  <c r="I15" i="68" s="1"/>
  <c r="H15" i="67"/>
  <c r="I15" i="67" s="1"/>
  <c r="F23" i="115"/>
  <c r="F23" i="104" l="1"/>
  <c r="G23" i="104" s="1"/>
  <c r="H23" i="104" s="1"/>
  <c r="I23" i="104" s="1"/>
  <c r="F23" i="54"/>
  <c r="G23" i="54" s="1"/>
  <c r="H23" i="54" s="1"/>
  <c r="I23" i="54" s="1"/>
  <c r="F23" i="56"/>
  <c r="G23" i="56" s="1"/>
  <c r="H23" i="56" s="1"/>
  <c r="I23" i="56" s="1"/>
  <c r="F18" i="79" l="1"/>
  <c r="G18" i="79" s="1"/>
  <c r="H18" i="79" s="1"/>
  <c r="I18" i="79" s="1"/>
  <c r="F18" i="80"/>
  <c r="F18" i="81"/>
  <c r="G18" i="81" s="1"/>
  <c r="H18" i="81" s="1"/>
  <c r="I18" i="81" s="1"/>
  <c r="F19" i="113" l="1"/>
  <c r="G19" i="113" s="1"/>
  <c r="F19" i="117"/>
  <c r="G19" i="117" s="1"/>
  <c r="F19" i="116"/>
  <c r="G19" i="116" s="1"/>
  <c r="F19" i="112"/>
  <c r="G19" i="112" s="1"/>
  <c r="H19" i="112" l="1"/>
  <c r="I19" i="112" s="1"/>
  <c r="H19" i="116"/>
  <c r="I19" i="116" s="1"/>
  <c r="H19" i="113"/>
  <c r="I19" i="113" s="1"/>
  <c r="H19" i="117"/>
  <c r="I19" i="117" s="1"/>
  <c r="F16" i="79"/>
  <c r="G16" i="79" s="1"/>
  <c r="F16" i="80"/>
  <c r="G16" i="80" s="1"/>
  <c r="F16" i="81"/>
  <c r="G16" i="81" s="1"/>
  <c r="F23" i="116"/>
  <c r="F19" i="49"/>
  <c r="G19" i="49" s="1"/>
  <c r="H19" i="49" s="1"/>
  <c r="I19" i="49" s="1"/>
  <c r="F19" i="48"/>
  <c r="G19" i="48" s="1"/>
  <c r="H19" i="48" s="1"/>
  <c r="I19" i="48" s="1"/>
  <c r="F19" i="50"/>
  <c r="G19" i="50" s="1"/>
  <c r="H19" i="50" s="1"/>
  <c r="I19" i="50" s="1"/>
  <c r="F16" i="71"/>
  <c r="G16" i="71" s="1"/>
  <c r="H16" i="71" s="1"/>
  <c r="I16" i="71" s="1"/>
  <c r="F16" i="72"/>
  <c r="G16" i="72" s="1"/>
  <c r="H16" i="72" s="1"/>
  <c r="I16" i="72" s="1"/>
  <c r="F16" i="5"/>
  <c r="G16" i="5" s="1"/>
  <c r="H16" i="5" s="1"/>
  <c r="I16" i="5" s="1"/>
  <c r="F15" i="64"/>
  <c r="G15" i="64" s="1"/>
  <c r="F15" i="63"/>
  <c r="G15" i="63" s="1"/>
  <c r="F15" i="25"/>
  <c r="G15" i="25" s="1"/>
  <c r="F19" i="60"/>
  <c r="G19" i="60" s="1"/>
  <c r="H19" i="60" s="1"/>
  <c r="I19" i="60" s="1"/>
  <c r="F19" i="61"/>
  <c r="G19" i="61" s="1"/>
  <c r="H19" i="61" s="1"/>
  <c r="I19" i="61" s="1"/>
  <c r="F19" i="62"/>
  <c r="G19" i="62" s="1"/>
  <c r="H19" i="62" s="1"/>
  <c r="I19" i="62" s="1"/>
  <c r="F19" i="59"/>
  <c r="G19" i="59" s="1"/>
  <c r="H19" i="59" s="1"/>
  <c r="I19" i="59" s="1"/>
  <c r="F19" i="58"/>
  <c r="G19" i="58" s="1"/>
  <c r="H19" i="58" s="1"/>
  <c r="I19" i="58" s="1"/>
  <c r="F19" i="57"/>
  <c r="G19" i="57" s="1"/>
  <c r="H19" i="57" s="1"/>
  <c r="I19" i="57" s="1"/>
  <c r="F23" i="117"/>
  <c r="F16" i="74"/>
  <c r="G16" i="74" s="1"/>
  <c r="H16" i="74" s="1"/>
  <c r="I16" i="74" s="1"/>
  <c r="F16" i="73"/>
  <c r="G16" i="73" s="1"/>
  <c r="H16" i="73" s="1"/>
  <c r="I16" i="73" s="1"/>
  <c r="F16" i="75"/>
  <c r="G16" i="75" s="1"/>
  <c r="H16" i="75" s="1"/>
  <c r="I16" i="75" s="1"/>
  <c r="F19" i="4"/>
  <c r="G19" i="4" s="1"/>
  <c r="H19" i="4" s="1"/>
  <c r="I19" i="4" s="1"/>
  <c r="F19" i="46"/>
  <c r="G19" i="46" s="1"/>
  <c r="H19" i="46" s="1"/>
  <c r="I19" i="46" s="1"/>
  <c r="F19" i="47"/>
  <c r="G19" i="47" s="1"/>
  <c r="H19" i="47" s="1"/>
  <c r="I19" i="47" s="1"/>
  <c r="H15" i="25" l="1"/>
  <c r="I15" i="25" s="1"/>
  <c r="H16" i="81"/>
  <c r="I16" i="81" s="1"/>
  <c r="H15" i="63"/>
  <c r="I15" i="63" s="1"/>
  <c r="H16" i="80"/>
  <c r="I16" i="80" s="1"/>
  <c r="H15" i="64"/>
  <c r="I15" i="64" s="1"/>
  <c r="H16" i="79"/>
  <c r="I16" i="79" s="1"/>
  <c r="F23" i="62"/>
  <c r="G23" i="62" s="1"/>
  <c r="H23" i="62" s="1"/>
  <c r="I23" i="62" s="1"/>
  <c r="F23" i="61"/>
  <c r="G23" i="61" s="1"/>
  <c r="H23" i="61" s="1"/>
  <c r="I23" i="61" s="1"/>
  <c r="F23" i="60"/>
  <c r="G23" i="60" s="1"/>
  <c r="H23" i="60" s="1"/>
  <c r="I23" i="60" s="1"/>
  <c r="F23" i="58"/>
  <c r="G23" i="58" s="1"/>
  <c r="H23" i="58" s="1"/>
  <c r="I23" i="58" s="1"/>
  <c r="F23" i="59"/>
  <c r="G23" i="59" s="1"/>
  <c r="H23" i="59" s="1"/>
  <c r="I23" i="59" s="1"/>
  <c r="F23" i="57"/>
  <c r="G23" i="57" s="1"/>
  <c r="H23" i="57" s="1"/>
  <c r="I23" i="57" s="1"/>
  <c r="F20" i="74"/>
  <c r="F20" i="75"/>
  <c r="G20" i="75" s="1"/>
  <c r="H20" i="75" s="1"/>
  <c r="I20" i="75" s="1"/>
  <c r="F20" i="73"/>
  <c r="G20" i="73" s="1"/>
  <c r="H20" i="73" s="1"/>
  <c r="I20" i="73" s="1"/>
  <c r="F20" i="5"/>
  <c r="G20" i="5" s="1"/>
  <c r="H20" i="5" s="1"/>
  <c r="I20" i="5" s="1"/>
  <c r="F20" i="71"/>
  <c r="F20" i="72"/>
  <c r="G20" i="72" s="1"/>
  <c r="H20" i="72" s="1"/>
  <c r="I20" i="72" s="1"/>
  <c r="F17" i="25"/>
  <c r="G17" i="25" s="1"/>
  <c r="H17" i="25" s="1"/>
  <c r="I17" i="25" s="1"/>
  <c r="F17" i="63"/>
  <c r="F17" i="64"/>
  <c r="G17" i="64" s="1"/>
  <c r="H17" i="64" s="1"/>
  <c r="I17" i="64" s="1"/>
  <c r="F23" i="112" l="1"/>
  <c r="G23" i="112" s="1"/>
  <c r="F23" i="113"/>
  <c r="F23" i="114"/>
  <c r="H23" i="112" l="1"/>
  <c r="I23" i="112" s="1"/>
  <c r="F23" i="52"/>
  <c r="G23" i="52" s="1"/>
  <c r="H23" i="52" s="1"/>
  <c r="I23" i="52" s="1"/>
  <c r="F23" i="53"/>
  <c r="G23" i="53" s="1"/>
  <c r="H23" i="53" s="1"/>
  <c r="I23" i="53" s="1"/>
  <c r="F23" i="51"/>
  <c r="G23" i="51" s="1"/>
  <c r="H23" i="51" s="1"/>
  <c r="I23" i="51" s="1"/>
  <c r="F23" i="46"/>
  <c r="G23" i="46" s="1"/>
  <c r="H23" i="46" s="1"/>
  <c r="I23" i="46" s="1"/>
  <c r="F23" i="4"/>
  <c r="G23" i="4" s="1"/>
  <c r="H23" i="4" s="1"/>
  <c r="I23" i="4" s="1"/>
  <c r="F23" i="47"/>
  <c r="G23" i="47" s="1"/>
  <c r="H23" i="47" s="1"/>
  <c r="I23" i="47" s="1"/>
  <c r="F23" i="50"/>
  <c r="G23" i="50" s="1"/>
  <c r="H23" i="50" s="1"/>
  <c r="I23" i="50" s="1"/>
  <c r="F23" i="49"/>
  <c r="G23" i="49" s="1"/>
  <c r="H23" i="49" s="1"/>
  <c r="I23" i="49" s="1"/>
  <c r="F23" i="48"/>
  <c r="G23" i="48" s="1"/>
  <c r="H23" i="48" s="1"/>
  <c r="I23" i="48" s="1"/>
  <c r="F22" i="75" l="1"/>
  <c r="G22" i="75" s="1"/>
  <c r="H22" i="75" s="1"/>
  <c r="I22" i="75" s="1"/>
  <c r="F22" i="73"/>
  <c r="G22" i="73" s="1"/>
  <c r="H22" i="73" s="1"/>
  <c r="I22" i="73" s="1"/>
  <c r="F22" i="74"/>
  <c r="F22" i="71"/>
  <c r="F22" i="72"/>
  <c r="G22" i="72" s="1"/>
  <c r="H22" i="72" s="1"/>
  <c r="I22" i="72" s="1"/>
  <c r="F22" i="5"/>
  <c r="G22" i="5" s="1"/>
  <c r="H22" i="5" s="1"/>
  <c r="I22" i="5" s="1"/>
  <c r="F20" i="80" l="1"/>
  <c r="F20" i="81"/>
  <c r="G20" i="81" s="1"/>
  <c r="H20" i="81" s="1"/>
  <c r="I20" i="81" s="1"/>
  <c r="F20" i="79"/>
  <c r="G20" i="79" s="1"/>
  <c r="H20" i="79" s="1"/>
  <c r="I20" i="79" s="1"/>
  <c r="F22" i="77"/>
  <c r="F22" i="76"/>
  <c r="G22" i="76" s="1"/>
  <c r="H22" i="76" s="1"/>
  <c r="I22" i="76" s="1"/>
  <c r="F22" i="78"/>
  <c r="G22" i="78" s="1"/>
  <c r="H22" i="78" s="1"/>
  <c r="I22" i="78" s="1"/>
  <c r="F21" i="76" l="1"/>
  <c r="G21" i="76" s="1"/>
  <c r="F21" i="77"/>
  <c r="F21" i="78"/>
  <c r="G21" i="78" s="1"/>
  <c r="F19" i="77"/>
  <c r="G19" i="77" s="1"/>
  <c r="F19" i="78"/>
  <c r="G19" i="78" s="1"/>
  <c r="F19" i="76"/>
  <c r="G19" i="76" s="1"/>
  <c r="F16" i="67" l="1"/>
  <c r="G16" i="67" s="1"/>
  <c r="F16" i="66"/>
  <c r="G16" i="66" s="1"/>
  <c r="F16" i="65"/>
  <c r="G16" i="65" s="1"/>
  <c r="F21" i="49"/>
  <c r="G21" i="49" s="1"/>
  <c r="F21" i="50"/>
  <c r="G21" i="50" s="1"/>
  <c r="F21" i="113"/>
  <c r="G21" i="113" s="1"/>
  <c r="F21" i="48"/>
  <c r="G21" i="48" s="1"/>
  <c r="F16" i="68"/>
  <c r="G16" i="68" s="1"/>
  <c r="F16" i="70"/>
  <c r="G16" i="70" s="1"/>
  <c r="F16" i="69"/>
  <c r="G16" i="69" s="1"/>
  <c r="F19" i="75"/>
  <c r="G19" i="75" s="1"/>
  <c r="F19" i="74"/>
  <c r="G19" i="74" s="1"/>
  <c r="F19" i="73"/>
  <c r="G19" i="73" s="1"/>
  <c r="F21" i="52"/>
  <c r="G21" i="52" s="1"/>
  <c r="F21" i="114"/>
  <c r="G21" i="114" s="1"/>
  <c r="F21" i="51"/>
  <c r="G21" i="51" s="1"/>
  <c r="F21" i="53"/>
  <c r="G21" i="53" s="1"/>
  <c r="F17" i="81"/>
  <c r="G17" i="81" s="1"/>
  <c r="F17" i="80"/>
  <c r="G17" i="80" s="1"/>
  <c r="F17" i="79"/>
  <c r="G17" i="79" s="1"/>
  <c r="F18" i="69"/>
  <c r="F18" i="68"/>
  <c r="G18" i="68" s="1"/>
  <c r="F18" i="70"/>
  <c r="G18" i="70" s="1"/>
  <c r="H19" i="77"/>
  <c r="I19" i="77" s="1"/>
  <c r="F24" i="60"/>
  <c r="G24" i="60" s="1"/>
  <c r="F24" i="62"/>
  <c r="G24" i="62" s="1"/>
  <c r="F24" i="116"/>
  <c r="F24" i="61"/>
  <c r="G24" i="61" s="1"/>
  <c r="H21" i="76"/>
  <c r="I21" i="76" s="1"/>
  <c r="F24" i="117"/>
  <c r="F24" i="59"/>
  <c r="G24" i="59" s="1"/>
  <c r="F24" i="57"/>
  <c r="G24" i="57" s="1"/>
  <c r="F24" i="58"/>
  <c r="G24" i="58" s="1"/>
  <c r="F21" i="5"/>
  <c r="G21" i="5" s="1"/>
  <c r="F21" i="71"/>
  <c r="F21" i="72"/>
  <c r="G21" i="72" s="1"/>
  <c r="F21" i="75"/>
  <c r="G21" i="75" s="1"/>
  <c r="F21" i="73"/>
  <c r="G21" i="73" s="1"/>
  <c r="F21" i="74"/>
  <c r="F18" i="64"/>
  <c r="G18" i="64" s="1"/>
  <c r="F18" i="63"/>
  <c r="F18" i="25"/>
  <c r="G18" i="25" s="1"/>
  <c r="F21" i="59"/>
  <c r="G21" i="59" s="1"/>
  <c r="F21" i="58"/>
  <c r="G21" i="58" s="1"/>
  <c r="F21" i="117"/>
  <c r="G21" i="117" s="1"/>
  <c r="F21" i="57"/>
  <c r="G21" i="57" s="1"/>
  <c r="F18" i="67"/>
  <c r="G18" i="67" s="1"/>
  <c r="F18" i="66"/>
  <c r="F18" i="65"/>
  <c r="G18" i="65" s="1"/>
  <c r="H19" i="78"/>
  <c r="I19" i="78" s="1"/>
  <c r="F21" i="61"/>
  <c r="G21" i="61" s="1"/>
  <c r="F21" i="62"/>
  <c r="G21" i="62" s="1"/>
  <c r="F21" i="116"/>
  <c r="G21" i="116" s="1"/>
  <c r="F21" i="60"/>
  <c r="G21" i="60" s="1"/>
  <c r="F16" i="64"/>
  <c r="G16" i="64" s="1"/>
  <c r="F16" i="63"/>
  <c r="G16" i="63" s="1"/>
  <c r="F16" i="25"/>
  <c r="G16" i="25" s="1"/>
  <c r="F24" i="50"/>
  <c r="G24" i="50" s="1"/>
  <c r="F24" i="113"/>
  <c r="F24" i="48"/>
  <c r="G24" i="48" s="1"/>
  <c r="F24" i="49"/>
  <c r="G24" i="49" s="1"/>
  <c r="H19" i="76"/>
  <c r="I19" i="76" s="1"/>
  <c r="F19" i="72"/>
  <c r="G19" i="72" s="1"/>
  <c r="F19" i="5"/>
  <c r="G19" i="5" s="1"/>
  <c r="F19" i="71"/>
  <c r="G19" i="71" s="1"/>
  <c r="H21" i="78"/>
  <c r="I21" i="78" s="1"/>
  <c r="F21" i="115"/>
  <c r="G21" i="115" s="1"/>
  <c r="F21" i="56"/>
  <c r="G21" i="56" s="1"/>
  <c r="F21" i="104"/>
  <c r="G21" i="104" s="1"/>
  <c r="F21" i="54"/>
  <c r="G21" i="54" s="1"/>
  <c r="F24" i="115"/>
  <c r="F24" i="54"/>
  <c r="G24" i="54" s="1"/>
  <c r="F24" i="104"/>
  <c r="G24" i="104" s="1"/>
  <c r="F24" i="56"/>
  <c r="G24" i="56" s="1"/>
  <c r="F24" i="114"/>
  <c r="F24" i="51"/>
  <c r="G24" i="51" s="1"/>
  <c r="F24" i="53"/>
  <c r="G24" i="53" s="1"/>
  <c r="F24" i="52"/>
  <c r="G24" i="52" s="1"/>
  <c r="H24" i="56" l="1"/>
  <c r="I24" i="56" s="1"/>
  <c r="H21" i="56"/>
  <c r="I21" i="56" s="1"/>
  <c r="G25" i="56"/>
  <c r="H21" i="52"/>
  <c r="I21" i="52" s="1"/>
  <c r="G23" i="75"/>
  <c r="H19" i="75"/>
  <c r="I19" i="75" s="1"/>
  <c r="G19" i="67"/>
  <c r="H16" i="67"/>
  <c r="I16" i="67" s="1"/>
  <c r="H21" i="54"/>
  <c r="I21" i="54" s="1"/>
  <c r="G25" i="54"/>
  <c r="G25" i="62"/>
  <c r="H21" i="62"/>
  <c r="I21" i="62" s="1"/>
  <c r="H18" i="25"/>
  <c r="I18" i="25" s="1"/>
  <c r="H21" i="5"/>
  <c r="I21" i="5" s="1"/>
  <c r="H24" i="59"/>
  <c r="I24" i="59" s="1"/>
  <c r="H24" i="62"/>
  <c r="I24" i="62" s="1"/>
  <c r="H19" i="73"/>
  <c r="I19" i="73" s="1"/>
  <c r="G23" i="73"/>
  <c r="H16" i="70"/>
  <c r="I16" i="70" s="1"/>
  <c r="G19" i="70"/>
  <c r="G25" i="48"/>
  <c r="H21" i="48"/>
  <c r="I21" i="48" s="1"/>
  <c r="H21" i="49"/>
  <c r="I21" i="49" s="1"/>
  <c r="G25" i="49"/>
  <c r="H24" i="51"/>
  <c r="I24" i="51" s="1"/>
  <c r="G23" i="5"/>
  <c r="H19" i="5"/>
  <c r="I19" i="5" s="1"/>
  <c r="G19" i="25"/>
  <c r="H16" i="25"/>
  <c r="I16" i="25" s="1"/>
  <c r="H18" i="67"/>
  <c r="I18" i="67" s="1"/>
  <c r="G25" i="58"/>
  <c r="H21" i="58"/>
  <c r="I21" i="58" s="1"/>
  <c r="H24" i="58"/>
  <c r="I24" i="58" s="1"/>
  <c r="H24" i="61"/>
  <c r="I24" i="61" s="1"/>
  <c r="H21" i="51"/>
  <c r="I21" i="51" s="1"/>
  <c r="H16" i="68"/>
  <c r="I16" i="68" s="1"/>
  <c r="G19" i="68"/>
  <c r="H21" i="113"/>
  <c r="I21" i="113" s="1"/>
  <c r="H16" i="65"/>
  <c r="I16" i="65" s="1"/>
  <c r="G19" i="65"/>
  <c r="H24" i="52"/>
  <c r="I24" i="52" s="1"/>
  <c r="H19" i="71"/>
  <c r="I19" i="71" s="1"/>
  <c r="H24" i="48"/>
  <c r="I24" i="48" s="1"/>
  <c r="H21" i="116"/>
  <c r="I21" i="116" s="1"/>
  <c r="H18" i="65"/>
  <c r="I18" i="65" s="1"/>
  <c r="H21" i="73"/>
  <c r="I21" i="73" s="1"/>
  <c r="H24" i="57"/>
  <c r="I24" i="57" s="1"/>
  <c r="H17" i="80"/>
  <c r="I17" i="80" s="1"/>
  <c r="H21" i="53"/>
  <c r="I21" i="53" s="1"/>
  <c r="H16" i="69"/>
  <c r="I16" i="69" s="1"/>
  <c r="G25" i="50"/>
  <c r="H21" i="50"/>
  <c r="I21" i="50" s="1"/>
  <c r="H24" i="53"/>
  <c r="I24" i="53" s="1"/>
  <c r="H24" i="104"/>
  <c r="I24" i="104" s="1"/>
  <c r="H21" i="115"/>
  <c r="I21" i="115" s="1"/>
  <c r="G19" i="64"/>
  <c r="H16" i="64"/>
  <c r="I16" i="64" s="1"/>
  <c r="H21" i="117"/>
  <c r="I21" i="117" s="1"/>
  <c r="H21" i="75"/>
  <c r="I21" i="75" s="1"/>
  <c r="H18" i="68"/>
  <c r="I18" i="68" s="1"/>
  <c r="H17" i="81"/>
  <c r="I17" i="81" s="1"/>
  <c r="H24" i="54"/>
  <c r="I24" i="54" s="1"/>
  <c r="G25" i="104"/>
  <c r="H21" i="104"/>
  <c r="I21" i="104" s="1"/>
  <c r="H19" i="72"/>
  <c r="I19" i="72" s="1"/>
  <c r="G23" i="72"/>
  <c r="H24" i="49"/>
  <c r="I24" i="49" s="1"/>
  <c r="H24" i="50"/>
  <c r="I24" i="50" s="1"/>
  <c r="H16" i="63"/>
  <c r="I16" i="63" s="1"/>
  <c r="H21" i="60"/>
  <c r="I21" i="60" s="1"/>
  <c r="G25" i="60"/>
  <c r="H21" i="61"/>
  <c r="I21" i="61" s="1"/>
  <c r="G25" i="61"/>
  <c r="G25" i="57"/>
  <c r="H21" i="57"/>
  <c r="I21" i="57" s="1"/>
  <c r="H21" i="59"/>
  <c r="I21" i="59" s="1"/>
  <c r="G25" i="59"/>
  <c r="H18" i="64"/>
  <c r="I18" i="64" s="1"/>
  <c r="H21" i="72"/>
  <c r="I21" i="72" s="1"/>
  <c r="H24" i="60"/>
  <c r="I24" i="60" s="1"/>
  <c r="H18" i="70"/>
  <c r="I18" i="70" s="1"/>
  <c r="H17" i="79"/>
  <c r="I17" i="79" s="1"/>
  <c r="H21" i="114"/>
  <c r="I21" i="114" s="1"/>
  <c r="H19" i="74"/>
  <c r="I19" i="74" s="1"/>
  <c r="H16" i="66"/>
  <c r="I16" i="66" s="1"/>
  <c r="H23" i="5" l="1"/>
  <c r="G34" i="5"/>
  <c r="G37" i="5" s="1"/>
  <c r="G27" i="5"/>
  <c r="G30" i="49"/>
  <c r="G47" i="49"/>
  <c r="G50" i="49" s="1"/>
  <c r="G29" i="49"/>
  <c r="H25" i="49"/>
  <c r="G42" i="49"/>
  <c r="G45" i="49" s="1"/>
  <c r="G29" i="104"/>
  <c r="G47" i="104"/>
  <c r="G50" i="104" s="1"/>
  <c r="G30" i="104"/>
  <c r="H25" i="104"/>
  <c r="G42" i="104"/>
  <c r="G45" i="104" s="1"/>
  <c r="G29" i="58"/>
  <c r="G47" i="58"/>
  <c r="G50" i="58" s="1"/>
  <c r="H25" i="58"/>
  <c r="G30" i="58"/>
  <c r="G42" i="58"/>
  <c r="G45" i="58" s="1"/>
  <c r="G29" i="48"/>
  <c r="H25" i="48"/>
  <c r="G42" i="48"/>
  <c r="G45" i="48" s="1"/>
  <c r="G30" i="48"/>
  <c r="G47" i="48"/>
  <c r="G50" i="48" s="1"/>
  <c r="G42" i="54"/>
  <c r="G45" i="54" s="1"/>
  <c r="G30" i="54"/>
  <c r="G47" i="54"/>
  <c r="G50" i="54" s="1"/>
  <c r="G29" i="54"/>
  <c r="H25" i="54"/>
  <c r="F21" i="4"/>
  <c r="G21" i="4" s="1"/>
  <c r="F21" i="47"/>
  <c r="G21" i="47" s="1"/>
  <c r="F21" i="46"/>
  <c r="G21" i="46" s="1"/>
  <c r="F21" i="112"/>
  <c r="G21" i="112" s="1"/>
  <c r="G29" i="59"/>
  <c r="G30" i="59"/>
  <c r="G42" i="59"/>
  <c r="G45" i="59" s="1"/>
  <c r="G47" i="59"/>
  <c r="G50" i="59" s="1"/>
  <c r="H25" i="59"/>
  <c r="G21" i="68"/>
  <c r="H19" i="68"/>
  <c r="G21" i="25"/>
  <c r="H19" i="25"/>
  <c r="G34" i="73"/>
  <c r="G37" i="73" s="1"/>
  <c r="G27" i="73"/>
  <c r="H23" i="73"/>
  <c r="F24" i="47"/>
  <c r="G24" i="47" s="1"/>
  <c r="F24" i="112"/>
  <c r="G24" i="112" s="1"/>
  <c r="F24" i="46"/>
  <c r="G24" i="46" s="1"/>
  <c r="F24" i="4"/>
  <c r="G24" i="4" s="1"/>
  <c r="H25" i="61"/>
  <c r="G29" i="61"/>
  <c r="G30" i="61"/>
  <c r="G42" i="61"/>
  <c r="G45" i="61" s="1"/>
  <c r="G47" i="61"/>
  <c r="G50" i="61" s="1"/>
  <c r="H25" i="60"/>
  <c r="G30" i="60"/>
  <c r="G29" i="60"/>
  <c r="G42" i="60"/>
  <c r="G45" i="60" s="1"/>
  <c r="G47" i="60"/>
  <c r="G50" i="60" s="1"/>
  <c r="G27" i="72"/>
  <c r="H23" i="72"/>
  <c r="G34" i="72"/>
  <c r="G37" i="72" s="1"/>
  <c r="H19" i="64"/>
  <c r="G21" i="64"/>
  <c r="H23" i="75"/>
  <c r="G34" i="75"/>
  <c r="G37" i="75" s="1"/>
  <c r="G27" i="75"/>
  <c r="F19" i="80"/>
  <c r="F19" i="79"/>
  <c r="G19" i="79" s="1"/>
  <c r="F19" i="81"/>
  <c r="G19" i="81" s="1"/>
  <c r="G42" i="50"/>
  <c r="G45" i="50" s="1"/>
  <c r="G47" i="50"/>
  <c r="G50" i="50" s="1"/>
  <c r="H25" i="50"/>
  <c r="G29" i="50"/>
  <c r="G30" i="50"/>
  <c r="G21" i="67"/>
  <c r="H19" i="67"/>
  <c r="G47" i="57"/>
  <c r="G50" i="57" s="1"/>
  <c r="G30" i="57"/>
  <c r="H25" i="57"/>
  <c r="G42" i="57"/>
  <c r="G45" i="57" s="1"/>
  <c r="G29" i="57"/>
  <c r="G21" i="65"/>
  <c r="H19" i="65"/>
  <c r="H19" i="70"/>
  <c r="G21" i="70"/>
  <c r="G47" i="62"/>
  <c r="G50" i="62" s="1"/>
  <c r="G30" i="62"/>
  <c r="G42" i="62"/>
  <c r="G45" i="62" s="1"/>
  <c r="H25" i="62"/>
  <c r="G29" i="62"/>
  <c r="G30" i="56"/>
  <c r="G42" i="56"/>
  <c r="G45" i="56" s="1"/>
  <c r="G29" i="56"/>
  <c r="H25" i="56"/>
  <c r="G47" i="56"/>
  <c r="G50" i="56" s="1"/>
  <c r="H30" i="62" l="1"/>
  <c r="I30" i="62" s="1"/>
  <c r="G35" i="62"/>
  <c r="H19" i="81"/>
  <c r="I19" i="81" s="1"/>
  <c r="G21" i="81"/>
  <c r="I19" i="64"/>
  <c r="F34" i="7"/>
  <c r="H27" i="72"/>
  <c r="I27" i="72" s="1"/>
  <c r="H21" i="25"/>
  <c r="I21" i="25" s="1"/>
  <c r="G32" i="25"/>
  <c r="G35" i="25" s="1"/>
  <c r="G25" i="25"/>
  <c r="G25" i="46"/>
  <c r="H21" i="46"/>
  <c r="I21" i="46" s="1"/>
  <c r="G43" i="104"/>
  <c r="G44" i="104" s="1"/>
  <c r="H42" i="104"/>
  <c r="I42" i="104" s="1"/>
  <c r="H27" i="5"/>
  <c r="I27" i="5" s="1"/>
  <c r="H29" i="62"/>
  <c r="I29" i="62" s="1"/>
  <c r="G34" i="62"/>
  <c r="H30" i="57"/>
  <c r="I30" i="57" s="1"/>
  <c r="G35" i="57"/>
  <c r="H19" i="79"/>
  <c r="I19" i="79" s="1"/>
  <c r="G21" i="79"/>
  <c r="G35" i="73"/>
  <c r="G36" i="73" s="1"/>
  <c r="H34" i="73"/>
  <c r="I34" i="73" s="1"/>
  <c r="G35" i="59"/>
  <c r="H30" i="59"/>
  <c r="I30" i="59" s="1"/>
  <c r="H30" i="54"/>
  <c r="I30" i="54" s="1"/>
  <c r="G35" i="54"/>
  <c r="H47" i="58"/>
  <c r="I47" i="58" s="1"/>
  <c r="G48" i="58"/>
  <c r="G49" i="58" s="1"/>
  <c r="H47" i="49"/>
  <c r="I47" i="49" s="1"/>
  <c r="G48" i="49"/>
  <c r="G49" i="49" s="1"/>
  <c r="H42" i="56"/>
  <c r="I42" i="56" s="1"/>
  <c r="G43" i="56"/>
  <c r="F25" i="7"/>
  <c r="I25" i="62"/>
  <c r="G25" i="70"/>
  <c r="G32" i="70"/>
  <c r="G35" i="70" s="1"/>
  <c r="H21" i="70"/>
  <c r="I21" i="70" s="1"/>
  <c r="I19" i="65"/>
  <c r="F35" i="7"/>
  <c r="G34" i="57"/>
  <c r="H29" i="57"/>
  <c r="I29" i="57" s="1"/>
  <c r="H47" i="57"/>
  <c r="I47" i="57" s="1"/>
  <c r="G48" i="57"/>
  <c r="G32" i="67"/>
  <c r="G35" i="67" s="1"/>
  <c r="H21" i="67"/>
  <c r="I21" i="67" s="1"/>
  <c r="G25" i="67"/>
  <c r="H47" i="50"/>
  <c r="I47" i="50" s="1"/>
  <c r="G48" i="50"/>
  <c r="G35" i="75"/>
  <c r="G36" i="75" s="1"/>
  <c r="H34" i="75"/>
  <c r="I34" i="75" s="1"/>
  <c r="G35" i="72"/>
  <c r="H34" i="72"/>
  <c r="I34" i="72" s="1"/>
  <c r="H30" i="60"/>
  <c r="I30" i="60" s="1"/>
  <c r="G35" i="60"/>
  <c r="G48" i="61"/>
  <c r="H47" i="61"/>
  <c r="I47" i="61" s="1"/>
  <c r="F23" i="7"/>
  <c r="I25" i="61"/>
  <c r="H24" i="4"/>
  <c r="I24" i="4" s="1"/>
  <c r="I19" i="68"/>
  <c r="F38" i="7"/>
  <c r="F21" i="7"/>
  <c r="I25" i="59"/>
  <c r="G34" i="59"/>
  <c r="H29" i="59"/>
  <c r="I29" i="59" s="1"/>
  <c r="F14" i="7"/>
  <c r="I25" i="54"/>
  <c r="H42" i="54"/>
  <c r="I42" i="54" s="1"/>
  <c r="G43" i="54"/>
  <c r="F6" i="7"/>
  <c r="I25" i="48"/>
  <c r="H42" i="58"/>
  <c r="I42" i="58" s="1"/>
  <c r="G43" i="58"/>
  <c r="G34" i="58"/>
  <c r="H29" i="58"/>
  <c r="I29" i="58" s="1"/>
  <c r="H30" i="104"/>
  <c r="I30" i="104" s="1"/>
  <c r="G35" i="104"/>
  <c r="G43" i="49"/>
  <c r="G44" i="49" s="1"/>
  <c r="H42" i="49"/>
  <c r="I42" i="49" s="1"/>
  <c r="G35" i="49"/>
  <c r="H30" i="49"/>
  <c r="I30" i="49" s="1"/>
  <c r="I23" i="5"/>
  <c r="F26" i="7"/>
  <c r="I25" i="56"/>
  <c r="F17" i="7"/>
  <c r="I25" i="57"/>
  <c r="F18" i="7"/>
  <c r="H29" i="50"/>
  <c r="I29" i="50" s="1"/>
  <c r="G34" i="50"/>
  <c r="H42" i="60"/>
  <c r="I42" i="60" s="1"/>
  <c r="G43" i="60"/>
  <c r="G35" i="61"/>
  <c r="H30" i="61"/>
  <c r="I30" i="61" s="1"/>
  <c r="H24" i="112"/>
  <c r="I24" i="112" s="1"/>
  <c r="H27" i="73"/>
  <c r="I27" i="73" s="1"/>
  <c r="G43" i="59"/>
  <c r="G44" i="59" s="1"/>
  <c r="H45" i="59" s="1"/>
  <c r="H42" i="59"/>
  <c r="I42" i="59" s="1"/>
  <c r="G48" i="54"/>
  <c r="G49" i="54" s="1"/>
  <c r="H47" i="54"/>
  <c r="I47" i="54" s="1"/>
  <c r="H30" i="48"/>
  <c r="I30" i="48" s="1"/>
  <c r="G35" i="48"/>
  <c r="I25" i="58"/>
  <c r="F19" i="7"/>
  <c r="G34" i="104"/>
  <c r="H29" i="104"/>
  <c r="I29" i="104" s="1"/>
  <c r="H29" i="49"/>
  <c r="I29" i="49" s="1"/>
  <c r="G34" i="49"/>
  <c r="H29" i="56"/>
  <c r="I29" i="56" s="1"/>
  <c r="G34" i="56"/>
  <c r="H47" i="62"/>
  <c r="I47" i="62" s="1"/>
  <c r="G48" i="62"/>
  <c r="F37" i="7"/>
  <c r="I19" i="67"/>
  <c r="F9" i="7"/>
  <c r="I25" i="50"/>
  <c r="H27" i="75"/>
  <c r="I27" i="75" s="1"/>
  <c r="G34" i="60"/>
  <c r="H29" i="60"/>
  <c r="I29" i="60" s="1"/>
  <c r="G34" i="61"/>
  <c r="H29" i="61"/>
  <c r="I29" i="61" s="1"/>
  <c r="H24" i="47"/>
  <c r="I24" i="47" s="1"/>
  <c r="G25" i="47"/>
  <c r="H21" i="47"/>
  <c r="I21" i="47" s="1"/>
  <c r="G43" i="48"/>
  <c r="H42" i="48"/>
  <c r="I42" i="48" s="1"/>
  <c r="F15" i="7"/>
  <c r="I25" i="104"/>
  <c r="G35" i="5"/>
  <c r="G36" i="5" s="1"/>
  <c r="H34" i="5"/>
  <c r="I34" i="5" s="1"/>
  <c r="H47" i="56"/>
  <c r="I47" i="56" s="1"/>
  <c r="G48" i="56"/>
  <c r="G35" i="56"/>
  <c r="H30" i="56"/>
  <c r="I30" i="56" s="1"/>
  <c r="H42" i="62"/>
  <c r="I42" i="62" s="1"/>
  <c r="G43" i="62"/>
  <c r="G44" i="62" s="1"/>
  <c r="I19" i="70"/>
  <c r="F40" i="7"/>
  <c r="G25" i="65"/>
  <c r="G32" i="65"/>
  <c r="G35" i="65" s="1"/>
  <c r="H21" i="65"/>
  <c r="I21" i="65" s="1"/>
  <c r="G43" i="57"/>
  <c r="H42" i="57"/>
  <c r="I42" i="57" s="1"/>
  <c r="G35" i="50"/>
  <c r="H30" i="50"/>
  <c r="I30" i="50" s="1"/>
  <c r="G43" i="50"/>
  <c r="H42" i="50"/>
  <c r="I42" i="50" s="1"/>
  <c r="F31" i="7"/>
  <c r="I23" i="75"/>
  <c r="G32" i="64"/>
  <c r="G35" i="64" s="1"/>
  <c r="H21" i="64"/>
  <c r="I21" i="64" s="1"/>
  <c r="G25" i="64"/>
  <c r="I23" i="72"/>
  <c r="F28" i="7"/>
  <c r="H47" i="60"/>
  <c r="I47" i="60" s="1"/>
  <c r="G48" i="60"/>
  <c r="G49" i="60" s="1"/>
  <c r="I25" i="60"/>
  <c r="F22" i="7"/>
  <c r="H42" i="61"/>
  <c r="I42" i="61" s="1"/>
  <c r="G43" i="61"/>
  <c r="H24" i="46"/>
  <c r="I24" i="46" s="1"/>
  <c r="I23" i="73"/>
  <c r="F29" i="7"/>
  <c r="I19" i="25"/>
  <c r="F32" i="7"/>
  <c r="G25" i="68"/>
  <c r="H21" i="68"/>
  <c r="I21" i="68" s="1"/>
  <c r="G32" i="68"/>
  <c r="G35" i="68" s="1"/>
  <c r="H47" i="59"/>
  <c r="I47" i="59" s="1"/>
  <c r="G48" i="59"/>
  <c r="G49" i="59" s="1"/>
  <c r="H21" i="112"/>
  <c r="I21" i="112" s="1"/>
  <c r="G25" i="112"/>
  <c r="H21" i="4"/>
  <c r="I21" i="4" s="1"/>
  <c r="G25" i="4"/>
  <c r="H29" i="54"/>
  <c r="I29" i="54" s="1"/>
  <c r="G34" i="54"/>
  <c r="G48" i="48"/>
  <c r="G49" i="48" s="1"/>
  <c r="H47" i="48"/>
  <c r="I47" i="48" s="1"/>
  <c r="G34" i="48"/>
  <c r="H29" i="48"/>
  <c r="I29" i="48" s="1"/>
  <c r="H30" i="58"/>
  <c r="I30" i="58" s="1"/>
  <c r="G35" i="58"/>
  <c r="H47" i="104"/>
  <c r="I47" i="104" s="1"/>
  <c r="G48" i="104"/>
  <c r="G49" i="104" s="1"/>
  <c r="F7" i="7"/>
  <c r="I25" i="49"/>
  <c r="H49" i="59" l="1"/>
  <c r="I49" i="59" s="1"/>
  <c r="H49" i="60"/>
  <c r="I49" i="60" s="1"/>
  <c r="H49" i="104"/>
  <c r="I49" i="104" s="1"/>
  <c r="H50" i="104"/>
  <c r="I50" i="104" s="1"/>
  <c r="H43" i="61"/>
  <c r="I43" i="61" s="1"/>
  <c r="G31" i="7"/>
  <c r="G15" i="7"/>
  <c r="G49" i="62"/>
  <c r="H48" i="62"/>
  <c r="I48" i="62" s="1"/>
  <c r="G18" i="7"/>
  <c r="H36" i="75"/>
  <c r="I36" i="75" s="1"/>
  <c r="H37" i="75"/>
  <c r="I37" i="75" s="1"/>
  <c r="G25" i="7"/>
  <c r="H43" i="56"/>
  <c r="I43" i="56" s="1"/>
  <c r="H48" i="104"/>
  <c r="I48" i="104" s="1"/>
  <c r="H35" i="58"/>
  <c r="I35" i="58" s="1"/>
  <c r="G47" i="4"/>
  <c r="G50" i="4" s="1"/>
  <c r="H25" i="4"/>
  <c r="G30" i="4"/>
  <c r="G42" i="4"/>
  <c r="G45" i="4" s="1"/>
  <c r="G29" i="4"/>
  <c r="G47" i="112"/>
  <c r="G50" i="112" s="1"/>
  <c r="G30" i="112"/>
  <c r="G29" i="112"/>
  <c r="H25" i="112"/>
  <c r="G42" i="112"/>
  <c r="G45" i="112" s="1"/>
  <c r="H48" i="59"/>
  <c r="I48" i="59" s="1"/>
  <c r="G32" i="7"/>
  <c r="G40" i="7"/>
  <c r="H44" i="62"/>
  <c r="I44" i="62" s="1"/>
  <c r="G49" i="56"/>
  <c r="H48" i="56"/>
  <c r="I48" i="56" s="1"/>
  <c r="H43" i="48"/>
  <c r="I43" i="48" s="1"/>
  <c r="G44" i="60"/>
  <c r="H43" i="60"/>
  <c r="I43" i="60" s="1"/>
  <c r="H34" i="50"/>
  <c r="I34" i="50" s="1"/>
  <c r="G44" i="58"/>
  <c r="H43" i="58"/>
  <c r="I43" i="58" s="1"/>
  <c r="G49" i="61"/>
  <c r="H48" i="61"/>
  <c r="I48" i="61" s="1"/>
  <c r="H34" i="57"/>
  <c r="I34" i="57" s="1"/>
  <c r="G35" i="7"/>
  <c r="H49" i="49"/>
  <c r="I49" i="49" s="1"/>
  <c r="H48" i="58"/>
  <c r="I48" i="58" s="1"/>
  <c r="G7" i="7"/>
  <c r="H34" i="48"/>
  <c r="I34" i="48" s="1"/>
  <c r="H48" i="48"/>
  <c r="I48" i="48" s="1"/>
  <c r="H25" i="68"/>
  <c r="I25" i="68" s="1"/>
  <c r="G28" i="7"/>
  <c r="G44" i="57"/>
  <c r="H43" i="57"/>
  <c r="I43" i="57" s="1"/>
  <c r="G33" i="65"/>
  <c r="H32" i="65"/>
  <c r="I32" i="65" s="1"/>
  <c r="H43" i="62"/>
  <c r="I43" i="62" s="1"/>
  <c r="H35" i="5"/>
  <c r="I35" i="5" s="1"/>
  <c r="H34" i="61"/>
  <c r="I34" i="61" s="1"/>
  <c r="H34" i="60"/>
  <c r="I34" i="60" s="1"/>
  <c r="G37" i="7"/>
  <c r="H34" i="49"/>
  <c r="I34" i="49" s="1"/>
  <c r="G19" i="7"/>
  <c r="H48" i="54"/>
  <c r="I48" i="54" s="1"/>
  <c r="H43" i="59"/>
  <c r="I43" i="59" s="1"/>
  <c r="G26" i="7"/>
  <c r="H35" i="104"/>
  <c r="I35" i="104" s="1"/>
  <c r="G14" i="7"/>
  <c r="H35" i="75"/>
  <c r="I35" i="75" s="1"/>
  <c r="H25" i="67"/>
  <c r="I25" i="67" s="1"/>
  <c r="G33" i="70"/>
  <c r="G34" i="70" s="1"/>
  <c r="H32" i="70"/>
  <c r="I32" i="70" s="1"/>
  <c r="H48" i="49"/>
  <c r="I48" i="49" s="1"/>
  <c r="H35" i="59"/>
  <c r="I35" i="59" s="1"/>
  <c r="H35" i="73"/>
  <c r="I35" i="73" s="1"/>
  <c r="G25" i="79"/>
  <c r="G32" i="79"/>
  <c r="G35" i="79" s="1"/>
  <c r="H21" i="79"/>
  <c r="H43" i="104"/>
  <c r="I43" i="104" s="1"/>
  <c r="G30" i="46"/>
  <c r="H25" i="46"/>
  <c r="G29" i="46"/>
  <c r="G42" i="46"/>
  <c r="G45" i="46" s="1"/>
  <c r="G47" i="46"/>
  <c r="G50" i="46" s="1"/>
  <c r="H35" i="62"/>
  <c r="I35" i="62" s="1"/>
  <c r="H50" i="48"/>
  <c r="I50" i="48" s="1"/>
  <c r="H49" i="48"/>
  <c r="I49" i="48" s="1"/>
  <c r="H32" i="68"/>
  <c r="I32" i="68" s="1"/>
  <c r="G33" i="68"/>
  <c r="G34" i="68" s="1"/>
  <c r="H36" i="5"/>
  <c r="I36" i="5" s="1"/>
  <c r="H49" i="54"/>
  <c r="I49" i="54" s="1"/>
  <c r="H44" i="59"/>
  <c r="I44" i="59" s="1"/>
  <c r="G38" i="7"/>
  <c r="G23" i="7"/>
  <c r="H35" i="60"/>
  <c r="I35" i="60" s="1"/>
  <c r="H32" i="67"/>
  <c r="I32" i="67" s="1"/>
  <c r="G33" i="67"/>
  <c r="G49" i="57"/>
  <c r="H48" i="57"/>
  <c r="I48" i="57" s="1"/>
  <c r="H50" i="58"/>
  <c r="I50" i="58" s="1"/>
  <c r="H49" i="58"/>
  <c r="I49" i="58" s="1"/>
  <c r="H36" i="73"/>
  <c r="I36" i="73" s="1"/>
  <c r="H37" i="73"/>
  <c r="I37" i="73" s="1"/>
  <c r="H44" i="104"/>
  <c r="I44" i="104" s="1"/>
  <c r="H45" i="104"/>
  <c r="I45" i="104" s="1"/>
  <c r="H25" i="25"/>
  <c r="I25" i="25" s="1"/>
  <c r="G32" i="81"/>
  <c r="G35" i="81" s="1"/>
  <c r="H21" i="81"/>
  <c r="G25" i="81"/>
  <c r="H34" i="54"/>
  <c r="I34" i="54" s="1"/>
  <c r="H25" i="64"/>
  <c r="I25" i="64" s="1"/>
  <c r="H43" i="50"/>
  <c r="I43" i="50" s="1"/>
  <c r="H35" i="50"/>
  <c r="I35" i="50" s="1"/>
  <c r="G42" i="47"/>
  <c r="G45" i="47" s="1"/>
  <c r="H25" i="47"/>
  <c r="G29" i="47"/>
  <c r="G30" i="47"/>
  <c r="G47" i="47"/>
  <c r="G50" i="47" s="1"/>
  <c r="H35" i="48"/>
  <c r="I35" i="48" s="1"/>
  <c r="H44" i="49"/>
  <c r="I44" i="49" s="1"/>
  <c r="G21" i="7"/>
  <c r="H35" i="72"/>
  <c r="I35" i="72" s="1"/>
  <c r="H35" i="54"/>
  <c r="I35" i="54" s="1"/>
  <c r="H32" i="25"/>
  <c r="I32" i="25" s="1"/>
  <c r="G33" i="25"/>
  <c r="G34" i="25" s="1"/>
  <c r="G29" i="7"/>
  <c r="G44" i="61"/>
  <c r="G22" i="7"/>
  <c r="H48" i="60"/>
  <c r="I48" i="60" s="1"/>
  <c r="H32" i="64"/>
  <c r="I32" i="64" s="1"/>
  <c r="G33" i="64"/>
  <c r="G34" i="64" s="1"/>
  <c r="G44" i="50"/>
  <c r="H25" i="65"/>
  <c r="I25" i="65" s="1"/>
  <c r="H35" i="56"/>
  <c r="I35" i="56" s="1"/>
  <c r="G44" i="48"/>
  <c r="G9" i="7"/>
  <c r="H34" i="56"/>
  <c r="I34" i="56" s="1"/>
  <c r="H34" i="104"/>
  <c r="I34" i="104" s="1"/>
  <c r="H35" i="61"/>
  <c r="I35" i="61" s="1"/>
  <c r="G17" i="7"/>
  <c r="H35" i="49"/>
  <c r="I35" i="49" s="1"/>
  <c r="H43" i="49"/>
  <c r="I43" i="49" s="1"/>
  <c r="H34" i="58"/>
  <c r="I34" i="58" s="1"/>
  <c r="G6" i="7"/>
  <c r="G44" i="54"/>
  <c r="H43" i="54"/>
  <c r="I43" i="54" s="1"/>
  <c r="H34" i="59"/>
  <c r="I34" i="59" s="1"/>
  <c r="G36" i="72"/>
  <c r="G49" i="50"/>
  <c r="H48" i="50"/>
  <c r="I48" i="50" s="1"/>
  <c r="H25" i="70"/>
  <c r="I25" i="70" s="1"/>
  <c r="G44" i="56"/>
  <c r="H35" i="57"/>
  <c r="I35" i="57" s="1"/>
  <c r="H34" i="62"/>
  <c r="I34" i="62" s="1"/>
  <c r="G34" i="7"/>
  <c r="G51" i="58" l="1"/>
  <c r="K23" i="58" s="1"/>
  <c r="G51" i="48"/>
  <c r="K35" i="48" s="1"/>
  <c r="G38" i="73"/>
  <c r="J38" i="73" s="1"/>
  <c r="G46" i="104"/>
  <c r="J37" i="104" s="1"/>
  <c r="G38" i="75"/>
  <c r="J35" i="75" s="1"/>
  <c r="G51" i="104"/>
  <c r="K35" i="104" s="1"/>
  <c r="H35" i="25"/>
  <c r="I35" i="25" s="1"/>
  <c r="H34" i="25"/>
  <c r="I34" i="25" s="1"/>
  <c r="H44" i="50"/>
  <c r="I44" i="50" s="1"/>
  <c r="H47" i="47"/>
  <c r="I47" i="47" s="1"/>
  <c r="G48" i="47"/>
  <c r="G49" i="47" s="1"/>
  <c r="H25" i="81"/>
  <c r="I25" i="81" s="1"/>
  <c r="H50" i="54"/>
  <c r="I50" i="54" s="1"/>
  <c r="G34" i="46"/>
  <c r="H29" i="46"/>
  <c r="I29" i="46" s="1"/>
  <c r="H25" i="79"/>
  <c r="I25" i="79" s="1"/>
  <c r="H29" i="112"/>
  <c r="I29" i="112" s="1"/>
  <c r="G34" i="112"/>
  <c r="F2" i="7"/>
  <c r="I25" i="4"/>
  <c r="H36" i="72"/>
  <c r="I36" i="72" s="1"/>
  <c r="H34" i="64"/>
  <c r="I34" i="64" s="1"/>
  <c r="H30" i="47"/>
  <c r="I30" i="47" s="1"/>
  <c r="G35" i="47"/>
  <c r="H50" i="57"/>
  <c r="I50" i="57" s="1"/>
  <c r="H49" i="57"/>
  <c r="I49" i="57" s="1"/>
  <c r="H33" i="68"/>
  <c r="I33" i="68" s="1"/>
  <c r="H34" i="70"/>
  <c r="I34" i="70" s="1"/>
  <c r="G36" i="70"/>
  <c r="H30" i="112"/>
  <c r="I30" i="112" s="1"/>
  <c r="G35" i="112"/>
  <c r="G34" i="4"/>
  <c r="H29" i="4"/>
  <c r="I29" i="4" s="1"/>
  <c r="H33" i="64"/>
  <c r="I33" i="64" s="1"/>
  <c r="G46" i="49"/>
  <c r="J45" i="49" s="1"/>
  <c r="H45" i="49"/>
  <c r="I45" i="49" s="1"/>
  <c r="H29" i="47"/>
  <c r="I29" i="47" s="1"/>
  <c r="G34" i="47"/>
  <c r="G33" i="81"/>
  <c r="G34" i="81" s="1"/>
  <c r="H32" i="81"/>
  <c r="I32" i="81" s="1"/>
  <c r="G38" i="5"/>
  <c r="J37" i="5" s="1"/>
  <c r="H37" i="5"/>
  <c r="I37" i="5" s="1"/>
  <c r="H47" i="46"/>
  <c r="I47" i="46" s="1"/>
  <c r="G48" i="46"/>
  <c r="G49" i="46" s="1"/>
  <c r="H30" i="46"/>
  <c r="I30" i="46" s="1"/>
  <c r="G35" i="46"/>
  <c r="F44" i="7"/>
  <c r="I21" i="79"/>
  <c r="H44" i="57"/>
  <c r="I44" i="57" s="1"/>
  <c r="H45" i="57"/>
  <c r="I45" i="57" s="1"/>
  <c r="H42" i="112"/>
  <c r="I42" i="112" s="1"/>
  <c r="G43" i="112"/>
  <c r="G44" i="112" s="1"/>
  <c r="H47" i="112"/>
  <c r="I47" i="112" s="1"/>
  <c r="G48" i="112"/>
  <c r="G49" i="112" s="1"/>
  <c r="H42" i="4"/>
  <c r="I42" i="4" s="1"/>
  <c r="G43" i="4"/>
  <c r="G44" i="4" s="1"/>
  <c r="H49" i="62"/>
  <c r="I49" i="62" s="1"/>
  <c r="H44" i="56"/>
  <c r="I44" i="56" s="1"/>
  <c r="H49" i="50"/>
  <c r="I49" i="50" s="1"/>
  <c r="H44" i="48"/>
  <c r="I44" i="48" s="1"/>
  <c r="H45" i="61"/>
  <c r="I45" i="61" s="1"/>
  <c r="H44" i="61"/>
  <c r="I44" i="61" s="1"/>
  <c r="H42" i="47"/>
  <c r="I42" i="47" s="1"/>
  <c r="G43" i="47"/>
  <c r="G44" i="47" s="1"/>
  <c r="H35" i="68"/>
  <c r="I35" i="68" s="1"/>
  <c r="H34" i="68"/>
  <c r="I34" i="68" s="1"/>
  <c r="H49" i="61"/>
  <c r="I49" i="61" s="1"/>
  <c r="H44" i="60"/>
  <c r="I44" i="60" s="1"/>
  <c r="I21" i="81"/>
  <c r="F46" i="7"/>
  <c r="F3" i="7"/>
  <c r="I25" i="46"/>
  <c r="H50" i="49"/>
  <c r="I50" i="49" s="1"/>
  <c r="H47" i="4"/>
  <c r="I47" i="4" s="1"/>
  <c r="G48" i="4"/>
  <c r="G49" i="4" s="1"/>
  <c r="H45" i="54"/>
  <c r="I45" i="54" s="1"/>
  <c r="H44" i="54"/>
  <c r="I44" i="54" s="1"/>
  <c r="H33" i="25"/>
  <c r="I33" i="25" s="1"/>
  <c r="F5" i="7"/>
  <c r="I25" i="47"/>
  <c r="G34" i="67"/>
  <c r="H33" i="67"/>
  <c r="I33" i="67" s="1"/>
  <c r="G51" i="54"/>
  <c r="G43" i="46"/>
  <c r="H42" i="46"/>
  <c r="I42" i="46" s="1"/>
  <c r="H32" i="79"/>
  <c r="I32" i="79" s="1"/>
  <c r="G33" i="79"/>
  <c r="G34" i="79" s="1"/>
  <c r="H33" i="70"/>
  <c r="I33" i="70" s="1"/>
  <c r="G34" i="65"/>
  <c r="H33" i="65"/>
  <c r="I33" i="65" s="1"/>
  <c r="G51" i="49"/>
  <c r="K50" i="49" s="1"/>
  <c r="G46" i="58"/>
  <c r="J44" i="58" s="1"/>
  <c r="H44" i="58"/>
  <c r="I44" i="58" s="1"/>
  <c r="H49" i="56"/>
  <c r="I49" i="56" s="1"/>
  <c r="H50" i="56"/>
  <c r="I50" i="56" s="1"/>
  <c r="I25" i="112"/>
  <c r="G4" i="7" s="1"/>
  <c r="F4" i="7"/>
  <c r="G35" i="4"/>
  <c r="H30" i="4"/>
  <c r="I30" i="4" s="1"/>
  <c r="G51" i="60"/>
  <c r="K50" i="60" s="1"/>
  <c r="H50" i="60"/>
  <c r="I50" i="60" s="1"/>
  <c r="J41" i="104" l="1"/>
  <c r="J31" i="104"/>
  <c r="K48" i="58"/>
  <c r="K47" i="58"/>
  <c r="K31" i="58"/>
  <c r="K18" i="58"/>
  <c r="H51" i="48"/>
  <c r="H6" i="7" s="1"/>
  <c r="K28" i="58"/>
  <c r="K33" i="48"/>
  <c r="K51" i="58"/>
  <c r="K20" i="48"/>
  <c r="K35" i="58"/>
  <c r="K16" i="58"/>
  <c r="K29" i="58"/>
  <c r="K22" i="58"/>
  <c r="K30" i="58"/>
  <c r="K49" i="48"/>
  <c r="K25" i="58"/>
  <c r="K49" i="58"/>
  <c r="K48" i="48"/>
  <c r="K40" i="48"/>
  <c r="K24" i="58"/>
  <c r="K41" i="58"/>
  <c r="K26" i="58"/>
  <c r="K34" i="58"/>
  <c r="K21" i="58"/>
  <c r="K33" i="58"/>
  <c r="K40" i="58"/>
  <c r="K37" i="48"/>
  <c r="K19" i="58"/>
  <c r="K38" i="58"/>
  <c r="K30" i="48"/>
  <c r="K20" i="58"/>
  <c r="K27" i="58"/>
  <c r="K50" i="58"/>
  <c r="K31" i="48"/>
  <c r="H51" i="58"/>
  <c r="K15" i="58"/>
  <c r="K25" i="48"/>
  <c r="K17" i="58"/>
  <c r="K34" i="48"/>
  <c r="K24" i="48"/>
  <c r="K23" i="48"/>
  <c r="K38" i="48"/>
  <c r="K39" i="58"/>
  <c r="K21" i="48"/>
  <c r="K41" i="48"/>
  <c r="K50" i="48"/>
  <c r="J27" i="75"/>
  <c r="K26" i="48"/>
  <c r="K36" i="48"/>
  <c r="J30" i="75"/>
  <c r="K29" i="48"/>
  <c r="K28" i="48"/>
  <c r="K27" i="48"/>
  <c r="K47" i="48"/>
  <c r="K15" i="48"/>
  <c r="K32" i="48"/>
  <c r="K32" i="58"/>
  <c r="K16" i="48"/>
  <c r="K37" i="58"/>
  <c r="K36" i="58"/>
  <c r="K18" i="48"/>
  <c r="K17" i="48"/>
  <c r="K39" i="48"/>
  <c r="K51" i="104"/>
  <c r="K19" i="48"/>
  <c r="K15" i="104"/>
  <c r="K39" i="104"/>
  <c r="K33" i="104"/>
  <c r="K22" i="48"/>
  <c r="K25" i="104"/>
  <c r="K40" i="104"/>
  <c r="K22" i="104"/>
  <c r="K51" i="48"/>
  <c r="J27" i="73"/>
  <c r="J31" i="73"/>
  <c r="J35" i="73"/>
  <c r="J13" i="73"/>
  <c r="J29" i="73"/>
  <c r="J32" i="73"/>
  <c r="J18" i="73"/>
  <c r="J30" i="73"/>
  <c r="J33" i="73"/>
  <c r="J26" i="73"/>
  <c r="J22" i="73"/>
  <c r="J20" i="73"/>
  <c r="J28" i="73"/>
  <c r="J37" i="73"/>
  <c r="J36" i="73"/>
  <c r="J34" i="73"/>
  <c r="H38" i="73"/>
  <c r="J15" i="73"/>
  <c r="J23" i="73"/>
  <c r="J25" i="73"/>
  <c r="J14" i="73"/>
  <c r="J19" i="73"/>
  <c r="J16" i="73"/>
  <c r="J24" i="73"/>
  <c r="J21" i="73"/>
  <c r="J17" i="73"/>
  <c r="J29" i="104"/>
  <c r="J46" i="104"/>
  <c r="J40" i="104"/>
  <c r="J33" i="104"/>
  <c r="J20" i="104"/>
  <c r="J43" i="104"/>
  <c r="J44" i="104"/>
  <c r="J26" i="104"/>
  <c r="J23" i="104"/>
  <c r="J36" i="104"/>
  <c r="J24" i="75"/>
  <c r="J21" i="75"/>
  <c r="J13" i="104"/>
  <c r="J26" i="75"/>
  <c r="J34" i="104"/>
  <c r="J42" i="104"/>
  <c r="J22" i="104"/>
  <c r="J18" i="104"/>
  <c r="J38" i="104"/>
  <c r="J22" i="75"/>
  <c r="J37" i="75"/>
  <c r="G36" i="25"/>
  <c r="J14" i="25" s="1"/>
  <c r="J19" i="75"/>
  <c r="J30" i="104"/>
  <c r="J14" i="104"/>
  <c r="J38" i="75"/>
  <c r="J25" i="104"/>
  <c r="J12" i="104"/>
  <c r="J32" i="104"/>
  <c r="J27" i="104"/>
  <c r="J18" i="75"/>
  <c r="J13" i="75"/>
  <c r="J19" i="104"/>
  <c r="J21" i="104"/>
  <c r="J28" i="104"/>
  <c r="J39" i="104"/>
  <c r="J45" i="104"/>
  <c r="J25" i="75"/>
  <c r="J35" i="104"/>
  <c r="J24" i="104"/>
  <c r="H46" i="104"/>
  <c r="I46" i="104" s="1"/>
  <c r="J14" i="75"/>
  <c r="K49" i="104"/>
  <c r="K24" i="104"/>
  <c r="K36" i="104"/>
  <c r="K16" i="104"/>
  <c r="K50" i="104"/>
  <c r="K34" i="104"/>
  <c r="K29" i="104"/>
  <c r="K21" i="104"/>
  <c r="K38" i="104"/>
  <c r="H51" i="104"/>
  <c r="I51" i="104" s="1"/>
  <c r="K18" i="104"/>
  <c r="K27" i="104"/>
  <c r="K32" i="104"/>
  <c r="J34" i="75"/>
  <c r="J17" i="75"/>
  <c r="J16" i="75"/>
  <c r="H38" i="75"/>
  <c r="I38" i="75" s="1"/>
  <c r="J28" i="75"/>
  <c r="J32" i="75"/>
  <c r="K30" i="104"/>
  <c r="K26" i="104"/>
  <c r="K20" i="104"/>
  <c r="K17" i="104"/>
  <c r="J36" i="75"/>
  <c r="K47" i="104"/>
  <c r="K19" i="104"/>
  <c r="K23" i="104"/>
  <c r="K31" i="104"/>
  <c r="K37" i="104"/>
  <c r="K28" i="104"/>
  <c r="K41" i="104"/>
  <c r="G46" i="61"/>
  <c r="J44" i="61" s="1"/>
  <c r="K48" i="104"/>
  <c r="J23" i="75"/>
  <c r="J33" i="75"/>
  <c r="J20" i="75"/>
  <c r="J29" i="75"/>
  <c r="J15" i="75"/>
  <c r="J31" i="75"/>
  <c r="H44" i="47"/>
  <c r="I44" i="47" s="1"/>
  <c r="H45" i="47"/>
  <c r="I45" i="47" s="1"/>
  <c r="J34" i="70"/>
  <c r="J20" i="70"/>
  <c r="J14" i="70"/>
  <c r="J26" i="70"/>
  <c r="J31" i="70"/>
  <c r="J22" i="70"/>
  <c r="H36" i="70"/>
  <c r="J28" i="70"/>
  <c r="J36" i="70"/>
  <c r="J13" i="70"/>
  <c r="J23" i="70"/>
  <c r="J29" i="70"/>
  <c r="J15" i="70"/>
  <c r="J24" i="70"/>
  <c r="J12" i="70"/>
  <c r="J27" i="70"/>
  <c r="J30" i="70"/>
  <c r="J17" i="70"/>
  <c r="J16" i="70"/>
  <c r="J18" i="70"/>
  <c r="J19" i="70"/>
  <c r="J21" i="70"/>
  <c r="J32" i="70"/>
  <c r="J25" i="70"/>
  <c r="J33" i="70"/>
  <c r="H35" i="65"/>
  <c r="I35" i="65" s="1"/>
  <c r="H34" i="65"/>
  <c r="I34" i="65" s="1"/>
  <c r="G51" i="4"/>
  <c r="H49" i="4"/>
  <c r="I49" i="4" s="1"/>
  <c r="G46" i="60"/>
  <c r="H45" i="60"/>
  <c r="I45" i="60" s="1"/>
  <c r="H50" i="61"/>
  <c r="I50" i="61" s="1"/>
  <c r="G46" i="48"/>
  <c r="J45" i="48" s="1"/>
  <c r="H45" i="48"/>
  <c r="I45" i="48" s="1"/>
  <c r="H50" i="50"/>
  <c r="I50" i="50" s="1"/>
  <c r="H49" i="46"/>
  <c r="I49" i="46" s="1"/>
  <c r="G51" i="46"/>
  <c r="H34" i="81"/>
  <c r="I34" i="81" s="1"/>
  <c r="H35" i="64"/>
  <c r="I35" i="64" s="1"/>
  <c r="H37" i="72"/>
  <c r="I37" i="72" s="1"/>
  <c r="G51" i="59"/>
  <c r="K50" i="59" s="1"/>
  <c r="H50" i="59"/>
  <c r="I50" i="59" s="1"/>
  <c r="H34" i="46"/>
  <c r="I34" i="46" s="1"/>
  <c r="H45" i="50"/>
  <c r="I45" i="50" s="1"/>
  <c r="K49" i="60"/>
  <c r="K17" i="60"/>
  <c r="K41" i="60"/>
  <c r="K23" i="60"/>
  <c r="K38" i="60"/>
  <c r="K51" i="60"/>
  <c r="K33" i="60"/>
  <c r="K16" i="60"/>
  <c r="H51" i="60"/>
  <c r="K28" i="60"/>
  <c r="K18" i="60"/>
  <c r="K19" i="60"/>
  <c r="K32" i="60"/>
  <c r="K31" i="60"/>
  <c r="K40" i="60"/>
  <c r="K39" i="60"/>
  <c r="K37" i="60"/>
  <c r="K36" i="60"/>
  <c r="K15" i="60"/>
  <c r="K20" i="60"/>
  <c r="K27" i="60"/>
  <c r="K26" i="60"/>
  <c r="K22" i="60"/>
  <c r="K24" i="60"/>
  <c r="K21" i="60"/>
  <c r="K25" i="60"/>
  <c r="K29" i="60"/>
  <c r="K47" i="60"/>
  <c r="K30" i="60"/>
  <c r="K48" i="60"/>
  <c r="K34" i="60"/>
  <c r="K35" i="60"/>
  <c r="H35" i="4"/>
  <c r="I35" i="4" s="1"/>
  <c r="G51" i="56"/>
  <c r="J27" i="58"/>
  <c r="J40" i="58"/>
  <c r="J37" i="58"/>
  <c r="H46" i="58"/>
  <c r="I46" i="58" s="1"/>
  <c r="J38" i="58"/>
  <c r="J32" i="58"/>
  <c r="J28" i="58"/>
  <c r="J18" i="58"/>
  <c r="J26" i="58"/>
  <c r="J13" i="58"/>
  <c r="J12" i="58"/>
  <c r="J46" i="58"/>
  <c r="J36" i="58"/>
  <c r="J23" i="58"/>
  <c r="J41" i="58"/>
  <c r="J33" i="58"/>
  <c r="J19" i="58"/>
  <c r="J31" i="58"/>
  <c r="J22" i="58"/>
  <c r="J14" i="58"/>
  <c r="J39" i="58"/>
  <c r="J20" i="58"/>
  <c r="J21" i="58"/>
  <c r="J24" i="58"/>
  <c r="J25" i="58"/>
  <c r="J29" i="58"/>
  <c r="J42" i="58"/>
  <c r="J30" i="58"/>
  <c r="J35" i="58"/>
  <c r="J34" i="58"/>
  <c r="J43" i="58"/>
  <c r="H43" i="46"/>
  <c r="I43" i="46" s="1"/>
  <c r="G5" i="7"/>
  <c r="G3" i="7"/>
  <c r="H45" i="56"/>
  <c r="I45" i="56" s="1"/>
  <c r="G44" i="7"/>
  <c r="H35" i="46"/>
  <c r="I35" i="46" s="1"/>
  <c r="H48" i="46"/>
  <c r="I48" i="46" s="1"/>
  <c r="H34" i="47"/>
  <c r="I34" i="47" s="1"/>
  <c r="J44" i="49"/>
  <c r="J31" i="49"/>
  <c r="J33" i="49"/>
  <c r="J38" i="49"/>
  <c r="J12" i="49"/>
  <c r="J13" i="49"/>
  <c r="J32" i="49"/>
  <c r="J37" i="49"/>
  <c r="J20" i="49"/>
  <c r="J18" i="49"/>
  <c r="J40" i="49"/>
  <c r="J22" i="49"/>
  <c r="J28" i="49"/>
  <c r="J36" i="49"/>
  <c r="H46" i="49"/>
  <c r="I46" i="49" s="1"/>
  <c r="J27" i="49"/>
  <c r="J19" i="49"/>
  <c r="J23" i="49"/>
  <c r="J46" i="49"/>
  <c r="J39" i="49"/>
  <c r="J14" i="49"/>
  <c r="J26" i="49"/>
  <c r="J41" i="49"/>
  <c r="J21" i="49"/>
  <c r="J24" i="49"/>
  <c r="J25" i="49"/>
  <c r="J30" i="49"/>
  <c r="J29" i="49"/>
  <c r="J42" i="49"/>
  <c r="J34" i="49"/>
  <c r="J43" i="49"/>
  <c r="J35" i="49"/>
  <c r="H35" i="112"/>
  <c r="I35" i="112" s="1"/>
  <c r="H49" i="47"/>
  <c r="I49" i="47" s="1"/>
  <c r="H50" i="47"/>
  <c r="I50" i="47" s="1"/>
  <c r="K17" i="49"/>
  <c r="K27" i="49"/>
  <c r="K16" i="49"/>
  <c r="K40" i="49"/>
  <c r="K19" i="49"/>
  <c r="K26" i="49"/>
  <c r="H51" i="49"/>
  <c r="K38" i="49"/>
  <c r="K28" i="49"/>
  <c r="K36" i="49"/>
  <c r="K20" i="49"/>
  <c r="K37" i="49"/>
  <c r="K39" i="49"/>
  <c r="K32" i="49"/>
  <c r="K22" i="49"/>
  <c r="K33" i="49"/>
  <c r="K18" i="49"/>
  <c r="K51" i="49"/>
  <c r="K23" i="49"/>
  <c r="K41" i="49"/>
  <c r="K15" i="49"/>
  <c r="K31" i="49"/>
  <c r="K21" i="49"/>
  <c r="K24" i="49"/>
  <c r="K25" i="49"/>
  <c r="K47" i="49"/>
  <c r="K30" i="49"/>
  <c r="K29" i="49"/>
  <c r="K49" i="49"/>
  <c r="K34" i="49"/>
  <c r="K35" i="49"/>
  <c r="K48" i="49"/>
  <c r="H34" i="79"/>
  <c r="I34" i="79" s="1"/>
  <c r="K49" i="54"/>
  <c r="K16" i="54"/>
  <c r="K41" i="54"/>
  <c r="H51" i="54"/>
  <c r="K36" i="54"/>
  <c r="K40" i="54"/>
  <c r="K19" i="54"/>
  <c r="K33" i="54"/>
  <c r="K37" i="54"/>
  <c r="K18" i="54"/>
  <c r="K15" i="54"/>
  <c r="K39" i="54"/>
  <c r="K31" i="54"/>
  <c r="K20" i="54"/>
  <c r="K38" i="54"/>
  <c r="K27" i="54"/>
  <c r="K26" i="54"/>
  <c r="K28" i="54"/>
  <c r="K32" i="54"/>
  <c r="K22" i="54"/>
  <c r="K23" i="54"/>
  <c r="K17" i="54"/>
  <c r="K51" i="54"/>
  <c r="K21" i="54"/>
  <c r="K24" i="54"/>
  <c r="K25" i="54"/>
  <c r="K47" i="54"/>
  <c r="K29" i="54"/>
  <c r="K30" i="54"/>
  <c r="K35" i="54"/>
  <c r="K48" i="54"/>
  <c r="K34" i="54"/>
  <c r="H34" i="67"/>
  <c r="I34" i="67" s="1"/>
  <c r="G36" i="67"/>
  <c r="H48" i="4"/>
  <c r="I48" i="4" s="1"/>
  <c r="G46" i="7"/>
  <c r="G36" i="68"/>
  <c r="H43" i="47"/>
  <c r="I43" i="47" s="1"/>
  <c r="H50" i="62"/>
  <c r="I50" i="62" s="1"/>
  <c r="G51" i="62"/>
  <c r="H44" i="4"/>
  <c r="I44" i="4" s="1"/>
  <c r="H45" i="4"/>
  <c r="I45" i="4" s="1"/>
  <c r="G51" i="112"/>
  <c r="H49" i="112"/>
  <c r="I49" i="112" s="1"/>
  <c r="H44" i="112"/>
  <c r="I44" i="112" s="1"/>
  <c r="H33" i="81"/>
  <c r="I33" i="81" s="1"/>
  <c r="H34" i="4"/>
  <c r="I34" i="4" s="1"/>
  <c r="H35" i="70"/>
  <c r="I35" i="70" s="1"/>
  <c r="J35" i="70"/>
  <c r="G36" i="64"/>
  <c r="J35" i="64" s="1"/>
  <c r="G2" i="7"/>
  <c r="K50" i="54"/>
  <c r="H45" i="58"/>
  <c r="I45" i="58" s="1"/>
  <c r="J45" i="58"/>
  <c r="H33" i="79"/>
  <c r="I33" i="79" s="1"/>
  <c r="G44" i="46"/>
  <c r="G46" i="54"/>
  <c r="G51" i="61"/>
  <c r="G51" i="50"/>
  <c r="K50" i="50" s="1"/>
  <c r="G46" i="56"/>
  <c r="H43" i="4"/>
  <c r="I43" i="4" s="1"/>
  <c r="H48" i="112"/>
  <c r="I48" i="112" s="1"/>
  <c r="H43" i="112"/>
  <c r="I43" i="112" s="1"/>
  <c r="G46" i="57"/>
  <c r="J31" i="5"/>
  <c r="H38" i="5"/>
  <c r="J16" i="5"/>
  <c r="J25" i="5"/>
  <c r="J24" i="5"/>
  <c r="J33" i="5"/>
  <c r="J29" i="5"/>
  <c r="J17" i="5"/>
  <c r="J38" i="5"/>
  <c r="J13" i="5"/>
  <c r="J18" i="5"/>
  <c r="J20" i="5"/>
  <c r="J15" i="5"/>
  <c r="J22" i="5"/>
  <c r="J32" i="5"/>
  <c r="J30" i="5"/>
  <c r="J28" i="5"/>
  <c r="J26" i="5"/>
  <c r="J14" i="5"/>
  <c r="J19" i="5"/>
  <c r="J21" i="5"/>
  <c r="J23" i="5"/>
  <c r="J34" i="5"/>
  <c r="J27" i="5"/>
  <c r="J36" i="5"/>
  <c r="J35" i="5"/>
  <c r="G51" i="57"/>
  <c r="H35" i="47"/>
  <c r="I35" i="47" s="1"/>
  <c r="G38" i="72"/>
  <c r="J37" i="72" s="1"/>
  <c r="H34" i="112"/>
  <c r="I34" i="112" s="1"/>
  <c r="H48" i="47"/>
  <c r="I48" i="47" s="1"/>
  <c r="G46" i="50"/>
  <c r="I51" i="48" l="1"/>
  <c r="I6" i="7" s="1"/>
  <c r="H19" i="7"/>
  <c r="I51" i="58"/>
  <c r="I19" i="7" s="1"/>
  <c r="J35" i="25"/>
  <c r="J39" i="61"/>
  <c r="I38" i="73"/>
  <c r="I29" i="7" s="1"/>
  <c r="J32" i="61"/>
  <c r="H29" i="7"/>
  <c r="J36" i="25"/>
  <c r="J13" i="25"/>
  <c r="J20" i="25"/>
  <c r="J12" i="25"/>
  <c r="J19" i="25"/>
  <c r="J17" i="25"/>
  <c r="J27" i="25"/>
  <c r="J32" i="25"/>
  <c r="J21" i="25"/>
  <c r="J16" i="25"/>
  <c r="J29" i="25"/>
  <c r="J22" i="25"/>
  <c r="H36" i="25"/>
  <c r="H32" i="7" s="1"/>
  <c r="J25" i="25"/>
  <c r="J15" i="25"/>
  <c r="J18" i="25"/>
  <c r="J30" i="25"/>
  <c r="J28" i="25"/>
  <c r="J26" i="25"/>
  <c r="J23" i="25"/>
  <c r="J24" i="25"/>
  <c r="J31" i="25"/>
  <c r="K48" i="46"/>
  <c r="K35" i="46"/>
  <c r="J35" i="61"/>
  <c r="J34" i="61"/>
  <c r="J42" i="61"/>
  <c r="J26" i="61"/>
  <c r="J30" i="61"/>
  <c r="J38" i="61"/>
  <c r="J37" i="61"/>
  <c r="J20" i="61"/>
  <c r="H15" i="7"/>
  <c r="J46" i="61"/>
  <c r="J33" i="61"/>
  <c r="J27" i="61"/>
  <c r="J36" i="61"/>
  <c r="J12" i="61"/>
  <c r="J28" i="61"/>
  <c r="J29" i="61"/>
  <c r="J18" i="61"/>
  <c r="J31" i="61"/>
  <c r="J40" i="61"/>
  <c r="J25" i="61"/>
  <c r="J14" i="61"/>
  <c r="J13" i="61"/>
  <c r="J22" i="61"/>
  <c r="J33" i="25"/>
  <c r="J34" i="25"/>
  <c r="J21" i="61"/>
  <c r="J23" i="61"/>
  <c r="J41" i="61"/>
  <c r="J45" i="61"/>
  <c r="H31" i="7"/>
  <c r="J43" i="61"/>
  <c r="J24" i="61"/>
  <c r="J19" i="61"/>
  <c r="H46" i="61"/>
  <c r="I46" i="61" s="1"/>
  <c r="K34" i="112"/>
  <c r="K49" i="112"/>
  <c r="K48" i="112"/>
  <c r="J34" i="67"/>
  <c r="J17" i="67"/>
  <c r="J29" i="67"/>
  <c r="J28" i="67"/>
  <c r="J36" i="67"/>
  <c r="J13" i="67"/>
  <c r="J31" i="67"/>
  <c r="J26" i="67"/>
  <c r="J12" i="67"/>
  <c r="J30" i="67"/>
  <c r="J14" i="67"/>
  <c r="J23" i="67"/>
  <c r="J22" i="67"/>
  <c r="J27" i="67"/>
  <c r="J15" i="67"/>
  <c r="H36" i="67"/>
  <c r="J20" i="67"/>
  <c r="J24" i="67"/>
  <c r="J16" i="67"/>
  <c r="J18" i="67"/>
  <c r="J19" i="67"/>
  <c r="J21" i="67"/>
  <c r="J25" i="67"/>
  <c r="J32" i="67"/>
  <c r="J33" i="67"/>
  <c r="K18" i="4"/>
  <c r="K32" i="4"/>
  <c r="K31" i="4"/>
  <c r="H51" i="4"/>
  <c r="K20" i="4"/>
  <c r="K41" i="4"/>
  <c r="K23" i="4"/>
  <c r="K19" i="4"/>
  <c r="K28" i="4"/>
  <c r="K27" i="4"/>
  <c r="K26" i="4"/>
  <c r="K16" i="4"/>
  <c r="K36" i="4"/>
  <c r="K51" i="4"/>
  <c r="K33" i="4"/>
  <c r="K22" i="4"/>
  <c r="K38" i="4"/>
  <c r="K40" i="4"/>
  <c r="K39" i="4"/>
  <c r="K15" i="4"/>
  <c r="K17" i="4"/>
  <c r="K37" i="4"/>
  <c r="K24" i="4"/>
  <c r="K21" i="4"/>
  <c r="K25" i="4"/>
  <c r="K30" i="4"/>
  <c r="K47" i="4"/>
  <c r="K29" i="4"/>
  <c r="K48" i="4"/>
  <c r="K34" i="4"/>
  <c r="K35" i="4"/>
  <c r="K49" i="4"/>
  <c r="J31" i="56"/>
  <c r="J14" i="56"/>
  <c r="J27" i="56"/>
  <c r="J39" i="56"/>
  <c r="J28" i="56"/>
  <c r="J19" i="56"/>
  <c r="J40" i="56"/>
  <c r="J37" i="56"/>
  <c r="J23" i="56"/>
  <c r="J46" i="56"/>
  <c r="J36" i="56"/>
  <c r="J22" i="56"/>
  <c r="J38" i="56"/>
  <c r="J13" i="56"/>
  <c r="H46" i="56"/>
  <c r="I46" i="56" s="1"/>
  <c r="J18" i="56"/>
  <c r="J26" i="56"/>
  <c r="J33" i="56"/>
  <c r="J20" i="56"/>
  <c r="J12" i="56"/>
  <c r="J41" i="56"/>
  <c r="J32" i="56"/>
  <c r="J21" i="56"/>
  <c r="J24" i="56"/>
  <c r="J25" i="56"/>
  <c r="J42" i="56"/>
  <c r="J29" i="56"/>
  <c r="J30" i="56"/>
  <c r="J34" i="56"/>
  <c r="J35" i="56"/>
  <c r="J43" i="56"/>
  <c r="J44" i="56"/>
  <c r="K32" i="61"/>
  <c r="K23" i="61"/>
  <c r="K15" i="61"/>
  <c r="K31" i="61"/>
  <c r="K39" i="61"/>
  <c r="K16" i="61"/>
  <c r="K51" i="61"/>
  <c r="K17" i="61"/>
  <c r="K22" i="61"/>
  <c r="K18" i="61"/>
  <c r="K40" i="61"/>
  <c r="K26" i="61"/>
  <c r="K37" i="61"/>
  <c r="K41" i="61"/>
  <c r="K36" i="61"/>
  <c r="K20" i="61"/>
  <c r="K38" i="61"/>
  <c r="K27" i="61"/>
  <c r="K28" i="61"/>
  <c r="K33" i="61"/>
  <c r="H51" i="61"/>
  <c r="K19" i="61"/>
  <c r="K21" i="61"/>
  <c r="K24" i="61"/>
  <c r="K25" i="61"/>
  <c r="K47" i="61"/>
  <c r="K30" i="61"/>
  <c r="K29" i="61"/>
  <c r="K35" i="61"/>
  <c r="K34" i="61"/>
  <c r="K48" i="61"/>
  <c r="K49" i="61"/>
  <c r="G46" i="112"/>
  <c r="H45" i="112"/>
  <c r="I45" i="112" s="1"/>
  <c r="H14" i="7"/>
  <c r="I51" i="54"/>
  <c r="K26" i="46"/>
  <c r="K36" i="46"/>
  <c r="K38" i="46"/>
  <c r="K28" i="46"/>
  <c r="K22" i="46"/>
  <c r="K51" i="46"/>
  <c r="K31" i="46"/>
  <c r="K20" i="46"/>
  <c r="K39" i="46"/>
  <c r="K15" i="46"/>
  <c r="K23" i="46"/>
  <c r="K27" i="46"/>
  <c r="K18" i="46"/>
  <c r="K19" i="46"/>
  <c r="K40" i="46"/>
  <c r="K16" i="46"/>
  <c r="H51" i="46"/>
  <c r="K17" i="46"/>
  <c r="K33" i="46"/>
  <c r="K41" i="46"/>
  <c r="K32" i="46"/>
  <c r="K37" i="46"/>
  <c r="K21" i="46"/>
  <c r="K24" i="46"/>
  <c r="K25" i="46"/>
  <c r="K47" i="46"/>
  <c r="K30" i="46"/>
  <c r="K29" i="46"/>
  <c r="K50" i="61"/>
  <c r="J23" i="60"/>
  <c r="J20" i="60"/>
  <c r="J13" i="60"/>
  <c r="J22" i="60"/>
  <c r="J26" i="60"/>
  <c r="J46" i="60"/>
  <c r="J32" i="60"/>
  <c r="J39" i="60"/>
  <c r="J36" i="60"/>
  <c r="J33" i="60"/>
  <c r="J19" i="60"/>
  <c r="J31" i="60"/>
  <c r="J27" i="60"/>
  <c r="J38" i="60"/>
  <c r="H46" i="60"/>
  <c r="I46" i="60" s="1"/>
  <c r="J40" i="60"/>
  <c r="J41" i="60"/>
  <c r="J18" i="60"/>
  <c r="J37" i="60"/>
  <c r="J28" i="60"/>
  <c r="J14" i="60"/>
  <c r="J12" i="60"/>
  <c r="J21" i="60"/>
  <c r="J24" i="60"/>
  <c r="J25" i="60"/>
  <c r="J30" i="60"/>
  <c r="J29" i="60"/>
  <c r="J42" i="60"/>
  <c r="J43" i="60"/>
  <c r="J34" i="60"/>
  <c r="J35" i="60"/>
  <c r="J44" i="60"/>
  <c r="I36" i="70"/>
  <c r="H40" i="7"/>
  <c r="J36" i="50"/>
  <c r="J20" i="50"/>
  <c r="J22" i="50"/>
  <c r="J14" i="50"/>
  <c r="J12" i="50"/>
  <c r="J39" i="50"/>
  <c r="J32" i="50"/>
  <c r="J37" i="50"/>
  <c r="J28" i="50"/>
  <c r="J26" i="50"/>
  <c r="J18" i="50"/>
  <c r="J13" i="50"/>
  <c r="J27" i="50"/>
  <c r="J41" i="50"/>
  <c r="J40" i="50"/>
  <c r="J33" i="50"/>
  <c r="J19" i="50"/>
  <c r="J38" i="50"/>
  <c r="J46" i="50"/>
  <c r="J23" i="50"/>
  <c r="H46" i="50"/>
  <c r="I46" i="50" s="1"/>
  <c r="J31" i="50"/>
  <c r="J21" i="50"/>
  <c r="J24" i="50"/>
  <c r="J25" i="50"/>
  <c r="J29" i="50"/>
  <c r="J30" i="50"/>
  <c r="J42" i="50"/>
  <c r="J34" i="50"/>
  <c r="J43" i="50"/>
  <c r="J35" i="50"/>
  <c r="J44" i="50"/>
  <c r="K50" i="57"/>
  <c r="K28" i="57"/>
  <c r="K15" i="57"/>
  <c r="K37" i="57"/>
  <c r="K22" i="57"/>
  <c r="K27" i="57"/>
  <c r="K16" i="57"/>
  <c r="K20" i="57"/>
  <c r="K26" i="57"/>
  <c r="K36" i="57"/>
  <c r="K38" i="57"/>
  <c r="K40" i="57"/>
  <c r="K31" i="57"/>
  <c r="K19" i="57"/>
  <c r="K41" i="57"/>
  <c r="K17" i="57"/>
  <c r="K33" i="57"/>
  <c r="K51" i="57"/>
  <c r="K18" i="57"/>
  <c r="K39" i="57"/>
  <c r="K32" i="57"/>
  <c r="K23" i="57"/>
  <c r="H51" i="57"/>
  <c r="K24" i="57"/>
  <c r="K21" i="57"/>
  <c r="K25" i="57"/>
  <c r="K29" i="57"/>
  <c r="K47" i="57"/>
  <c r="K30" i="57"/>
  <c r="K34" i="57"/>
  <c r="K48" i="57"/>
  <c r="K35" i="57"/>
  <c r="K49" i="57"/>
  <c r="I38" i="5"/>
  <c r="H26" i="7"/>
  <c r="J45" i="57"/>
  <c r="J18" i="57"/>
  <c r="J27" i="57"/>
  <c r="J13" i="57"/>
  <c r="J46" i="57"/>
  <c r="J33" i="57"/>
  <c r="J19" i="57"/>
  <c r="J40" i="57"/>
  <c r="J39" i="57"/>
  <c r="J23" i="57"/>
  <c r="J14" i="57"/>
  <c r="J36" i="57"/>
  <c r="J28" i="57"/>
  <c r="J31" i="57"/>
  <c r="J12" i="57"/>
  <c r="J20" i="57"/>
  <c r="J38" i="57"/>
  <c r="J41" i="57"/>
  <c r="J22" i="57"/>
  <c r="J37" i="57"/>
  <c r="H46" i="57"/>
  <c r="I46" i="57" s="1"/>
  <c r="J26" i="57"/>
  <c r="J32" i="57"/>
  <c r="J21" i="57"/>
  <c r="J24" i="57"/>
  <c r="J25" i="57"/>
  <c r="J42" i="57"/>
  <c r="J30" i="57"/>
  <c r="J29" i="57"/>
  <c r="J34" i="57"/>
  <c r="J43" i="57"/>
  <c r="J35" i="57"/>
  <c r="J44" i="57"/>
  <c r="K35" i="50"/>
  <c r="K16" i="50"/>
  <c r="K26" i="50"/>
  <c r="H51" i="50"/>
  <c r="K15" i="50"/>
  <c r="K41" i="50"/>
  <c r="K36" i="50"/>
  <c r="K22" i="50"/>
  <c r="K40" i="50"/>
  <c r="K51" i="50"/>
  <c r="K18" i="50"/>
  <c r="K31" i="50"/>
  <c r="K33" i="50"/>
  <c r="K23" i="50"/>
  <c r="K19" i="50"/>
  <c r="K20" i="50"/>
  <c r="K37" i="50"/>
  <c r="K39" i="50"/>
  <c r="K27" i="50"/>
  <c r="K32" i="50"/>
  <c r="K17" i="50"/>
  <c r="K38" i="50"/>
  <c r="K28" i="50"/>
  <c r="K21" i="50"/>
  <c r="K24" i="50"/>
  <c r="K25" i="50"/>
  <c r="K30" i="50"/>
  <c r="K29" i="50"/>
  <c r="K47" i="50"/>
  <c r="K34" i="50"/>
  <c r="K48" i="50"/>
  <c r="K49" i="50"/>
  <c r="J45" i="54"/>
  <c r="J37" i="54"/>
  <c r="J20" i="54"/>
  <c r="J32" i="54"/>
  <c r="J40" i="54"/>
  <c r="J38" i="54"/>
  <c r="J36" i="54"/>
  <c r="J28" i="54"/>
  <c r="J46" i="54"/>
  <c r="J22" i="54"/>
  <c r="J27" i="54"/>
  <c r="J31" i="54"/>
  <c r="J14" i="54"/>
  <c r="J41" i="54"/>
  <c r="J19" i="54"/>
  <c r="J26" i="54"/>
  <c r="J18" i="54"/>
  <c r="J39" i="54"/>
  <c r="J13" i="54"/>
  <c r="J23" i="54"/>
  <c r="J12" i="54"/>
  <c r="J33" i="54"/>
  <c r="H46" i="54"/>
  <c r="I46" i="54" s="1"/>
  <c r="J24" i="54"/>
  <c r="J21" i="54"/>
  <c r="J25" i="54"/>
  <c r="J30" i="54"/>
  <c r="J42" i="54"/>
  <c r="J29" i="54"/>
  <c r="J35" i="54"/>
  <c r="J34" i="54"/>
  <c r="J43" i="54"/>
  <c r="J44" i="54"/>
  <c r="G46" i="46"/>
  <c r="H44" i="46"/>
  <c r="I44" i="46" s="1"/>
  <c r="H45" i="62"/>
  <c r="I45" i="62" s="1"/>
  <c r="G46" i="62"/>
  <c r="H50" i="112"/>
  <c r="I50" i="112" s="1"/>
  <c r="K50" i="112"/>
  <c r="G36" i="79"/>
  <c r="J35" i="79" s="1"/>
  <c r="H35" i="79"/>
  <c r="I35" i="79" s="1"/>
  <c r="K34" i="46"/>
  <c r="H50" i="46"/>
  <c r="I50" i="46" s="1"/>
  <c r="K50" i="46"/>
  <c r="G36" i="65"/>
  <c r="G46" i="47"/>
  <c r="K39" i="62"/>
  <c r="K33" i="62"/>
  <c r="K26" i="62"/>
  <c r="K38" i="62"/>
  <c r="K16" i="62"/>
  <c r="K15" i="62"/>
  <c r="K19" i="62"/>
  <c r="K28" i="62"/>
  <c r="K32" i="62"/>
  <c r="K23" i="62"/>
  <c r="K36" i="62"/>
  <c r="K41" i="62"/>
  <c r="K37" i="62"/>
  <c r="K17" i="62"/>
  <c r="K31" i="62"/>
  <c r="K22" i="62"/>
  <c r="K20" i="62"/>
  <c r="H51" i="62"/>
  <c r="K27" i="62"/>
  <c r="K51" i="62"/>
  <c r="K40" i="62"/>
  <c r="K18" i="62"/>
  <c r="K24" i="62"/>
  <c r="K21" i="62"/>
  <c r="K25" i="62"/>
  <c r="K47" i="62"/>
  <c r="K30" i="62"/>
  <c r="K29" i="62"/>
  <c r="K48" i="62"/>
  <c r="K35" i="62"/>
  <c r="K34" i="62"/>
  <c r="K49" i="62"/>
  <c r="H35" i="67"/>
  <c r="I35" i="67" s="1"/>
  <c r="J35" i="67"/>
  <c r="J45" i="56"/>
  <c r="H22" i="7"/>
  <c r="I51" i="60"/>
  <c r="J13" i="72"/>
  <c r="J15" i="72"/>
  <c r="J30" i="72"/>
  <c r="J17" i="72"/>
  <c r="J32" i="72"/>
  <c r="J29" i="72"/>
  <c r="J20" i="72"/>
  <c r="H38" i="72"/>
  <c r="J38" i="72"/>
  <c r="J33" i="72"/>
  <c r="J26" i="72"/>
  <c r="J24" i="72"/>
  <c r="J22" i="72"/>
  <c r="J28" i="72"/>
  <c r="J18" i="72"/>
  <c r="J14" i="72"/>
  <c r="J25" i="72"/>
  <c r="J16" i="72"/>
  <c r="J31" i="72"/>
  <c r="J19" i="72"/>
  <c r="J21" i="72"/>
  <c r="J23" i="72"/>
  <c r="J27" i="72"/>
  <c r="J34" i="72"/>
  <c r="J35" i="72"/>
  <c r="J36" i="72"/>
  <c r="I15" i="7"/>
  <c r="J22" i="64"/>
  <c r="J17" i="64"/>
  <c r="H36" i="64"/>
  <c r="J36" i="64"/>
  <c r="J12" i="64"/>
  <c r="J13" i="64"/>
  <c r="J31" i="64"/>
  <c r="J23" i="64"/>
  <c r="J27" i="64"/>
  <c r="J20" i="64"/>
  <c r="J14" i="64"/>
  <c r="J30" i="64"/>
  <c r="J26" i="64"/>
  <c r="J29" i="64"/>
  <c r="J15" i="64"/>
  <c r="J24" i="64"/>
  <c r="J28" i="64"/>
  <c r="J16" i="64"/>
  <c r="J18" i="64"/>
  <c r="J19" i="64"/>
  <c r="J21" i="64"/>
  <c r="J25" i="64"/>
  <c r="J32" i="64"/>
  <c r="J33" i="64"/>
  <c r="J34" i="64"/>
  <c r="K33" i="112"/>
  <c r="K40" i="112"/>
  <c r="K16" i="112"/>
  <c r="K37" i="112"/>
  <c r="K51" i="112"/>
  <c r="K36" i="112"/>
  <c r="K31" i="112"/>
  <c r="K23" i="112"/>
  <c r="K38" i="112"/>
  <c r="K17" i="112"/>
  <c r="K39" i="112"/>
  <c r="K18" i="112"/>
  <c r="K19" i="112"/>
  <c r="H51" i="112"/>
  <c r="K20" i="112"/>
  <c r="K15" i="112"/>
  <c r="K27" i="112"/>
  <c r="K41" i="112"/>
  <c r="K22" i="112"/>
  <c r="K32" i="112"/>
  <c r="K28" i="112"/>
  <c r="K26" i="112"/>
  <c r="K21" i="112"/>
  <c r="K24" i="112"/>
  <c r="K25" i="112"/>
  <c r="K30" i="112"/>
  <c r="K29" i="112"/>
  <c r="K47" i="112"/>
  <c r="G46" i="4"/>
  <c r="K50" i="62"/>
  <c r="J35" i="68"/>
  <c r="J30" i="68"/>
  <c r="J13" i="68"/>
  <c r="J24" i="68"/>
  <c r="J29" i="68"/>
  <c r="J36" i="68"/>
  <c r="J17" i="68"/>
  <c r="H36" i="68"/>
  <c r="J22" i="68"/>
  <c r="J23" i="68"/>
  <c r="J14" i="68"/>
  <c r="J27" i="68"/>
  <c r="J15" i="68"/>
  <c r="J12" i="68"/>
  <c r="J31" i="68"/>
  <c r="J26" i="68"/>
  <c r="J20" i="68"/>
  <c r="J28" i="68"/>
  <c r="J18" i="68"/>
  <c r="J16" i="68"/>
  <c r="J19" i="68"/>
  <c r="J21" i="68"/>
  <c r="J32" i="68"/>
  <c r="J25" i="68"/>
  <c r="J34" i="68"/>
  <c r="J33" i="68"/>
  <c r="I45" i="59"/>
  <c r="G46" i="59"/>
  <c r="J45" i="59" s="1"/>
  <c r="H7" i="7"/>
  <c r="I51" i="49"/>
  <c r="G51" i="47"/>
  <c r="K35" i="112"/>
  <c r="K50" i="56"/>
  <c r="K17" i="56"/>
  <c r="K38" i="56"/>
  <c r="K26" i="56"/>
  <c r="K15" i="56"/>
  <c r="K33" i="56"/>
  <c r="K28" i="56"/>
  <c r="K23" i="56"/>
  <c r="K22" i="56"/>
  <c r="K51" i="56"/>
  <c r="K27" i="56"/>
  <c r="K40" i="56"/>
  <c r="K32" i="56"/>
  <c r="K37" i="56"/>
  <c r="K36" i="56"/>
  <c r="K19" i="56"/>
  <c r="K16" i="56"/>
  <c r="K31" i="56"/>
  <c r="K18" i="56"/>
  <c r="K39" i="56"/>
  <c r="K20" i="56"/>
  <c r="H51" i="56"/>
  <c r="K41" i="56"/>
  <c r="K24" i="56"/>
  <c r="K21" i="56"/>
  <c r="K25" i="56"/>
  <c r="K30" i="56"/>
  <c r="K47" i="56"/>
  <c r="K29" i="56"/>
  <c r="K35" i="56"/>
  <c r="K34" i="56"/>
  <c r="K48" i="56"/>
  <c r="K49" i="56"/>
  <c r="J45" i="50"/>
  <c r="I31" i="7"/>
  <c r="K49" i="59"/>
  <c r="K15" i="59"/>
  <c r="K51" i="59"/>
  <c r="K32" i="59"/>
  <c r="K41" i="59"/>
  <c r="K17" i="59"/>
  <c r="K36" i="59"/>
  <c r="K26" i="59"/>
  <c r="K22" i="59"/>
  <c r="K31" i="59"/>
  <c r="K37" i="59"/>
  <c r="K40" i="59"/>
  <c r="K38" i="59"/>
  <c r="K28" i="59"/>
  <c r="K39" i="59"/>
  <c r="K23" i="59"/>
  <c r="H51" i="59"/>
  <c r="K19" i="59"/>
  <c r="K20" i="59"/>
  <c r="K33" i="59"/>
  <c r="K27" i="59"/>
  <c r="K18" i="59"/>
  <c r="K16" i="59"/>
  <c r="K21" i="59"/>
  <c r="K24" i="59"/>
  <c r="K25" i="59"/>
  <c r="K47" i="59"/>
  <c r="K29" i="59"/>
  <c r="K30" i="59"/>
  <c r="K34" i="59"/>
  <c r="K35" i="59"/>
  <c r="K48" i="59"/>
  <c r="G36" i="81"/>
  <c r="J35" i="81" s="1"/>
  <c r="H35" i="81"/>
  <c r="I35" i="81" s="1"/>
  <c r="K49" i="46"/>
  <c r="J44" i="48"/>
  <c r="J39" i="48"/>
  <c r="J14" i="48"/>
  <c r="J27" i="48"/>
  <c r="J26" i="48"/>
  <c r="J32" i="48"/>
  <c r="J20" i="48"/>
  <c r="J31" i="48"/>
  <c r="J46" i="48"/>
  <c r="J13" i="48"/>
  <c r="J36" i="48"/>
  <c r="J38" i="48"/>
  <c r="J23" i="48"/>
  <c r="J37" i="48"/>
  <c r="J40" i="48"/>
  <c r="J28" i="48"/>
  <c r="J22" i="48"/>
  <c r="J12" i="48"/>
  <c r="J41" i="48"/>
  <c r="J18" i="48"/>
  <c r="J19" i="48"/>
  <c r="H46" i="48"/>
  <c r="I46" i="48" s="1"/>
  <c r="J33" i="48"/>
  <c r="J21" i="48"/>
  <c r="J24" i="48"/>
  <c r="J25" i="48"/>
  <c r="J42" i="48"/>
  <c r="J30" i="48"/>
  <c r="J29" i="48"/>
  <c r="J43" i="48"/>
  <c r="J34" i="48"/>
  <c r="J35" i="48"/>
  <c r="J45" i="60"/>
  <c r="H50" i="4"/>
  <c r="I50" i="4" s="1"/>
  <c r="K50" i="4"/>
  <c r="I36" i="25" l="1"/>
  <c r="I51" i="50"/>
  <c r="H9" i="7"/>
  <c r="K50" i="47"/>
  <c r="K26" i="47"/>
  <c r="K15" i="47"/>
  <c r="K39" i="47"/>
  <c r="K27" i="47"/>
  <c r="K16" i="47"/>
  <c r="K37" i="47"/>
  <c r="K18" i="47"/>
  <c r="K38" i="47"/>
  <c r="H51" i="47"/>
  <c r="K32" i="47"/>
  <c r="K51" i="47"/>
  <c r="K41" i="47"/>
  <c r="K23" i="47"/>
  <c r="K36" i="47"/>
  <c r="K20" i="47"/>
  <c r="K28" i="47"/>
  <c r="K17" i="47"/>
  <c r="K22" i="47"/>
  <c r="K40" i="47"/>
  <c r="K31" i="47"/>
  <c r="K33" i="47"/>
  <c r="K19" i="47"/>
  <c r="K24" i="47"/>
  <c r="K21" i="47"/>
  <c r="K25" i="47"/>
  <c r="K47" i="47"/>
  <c r="K30" i="47"/>
  <c r="K29" i="47"/>
  <c r="K35" i="47"/>
  <c r="K34" i="47"/>
  <c r="K49" i="47"/>
  <c r="K48" i="47"/>
  <c r="J33" i="46"/>
  <c r="J40" i="46"/>
  <c r="J18" i="46"/>
  <c r="J20" i="46"/>
  <c r="J46" i="46"/>
  <c r="J38" i="46"/>
  <c r="J36" i="46"/>
  <c r="J19" i="46"/>
  <c r="J41" i="46"/>
  <c r="J26" i="46"/>
  <c r="J14" i="46"/>
  <c r="J27" i="46"/>
  <c r="J28" i="46"/>
  <c r="H46" i="46"/>
  <c r="I46" i="46" s="1"/>
  <c r="J23" i="46"/>
  <c r="J31" i="46"/>
  <c r="J22" i="46"/>
  <c r="J39" i="46"/>
  <c r="J37" i="46"/>
  <c r="J12" i="46"/>
  <c r="J13" i="46"/>
  <c r="J32" i="46"/>
  <c r="J21" i="46"/>
  <c r="J24" i="46"/>
  <c r="J25" i="46"/>
  <c r="J29" i="46"/>
  <c r="J42" i="46"/>
  <c r="J30" i="46"/>
  <c r="J43" i="46"/>
  <c r="J35" i="46"/>
  <c r="J34" i="46"/>
  <c r="I7" i="7"/>
  <c r="H28" i="7"/>
  <c r="I38" i="72"/>
  <c r="J35" i="65"/>
  <c r="J13" i="65"/>
  <c r="J36" i="65"/>
  <c r="J15" i="65"/>
  <c r="J27" i="65"/>
  <c r="H36" i="65"/>
  <c r="J12" i="65"/>
  <c r="J17" i="65"/>
  <c r="J20" i="65"/>
  <c r="J22" i="65"/>
  <c r="J26" i="65"/>
  <c r="J31" i="65"/>
  <c r="J24" i="65"/>
  <c r="J14" i="65"/>
  <c r="J23" i="65"/>
  <c r="J29" i="65"/>
  <c r="J30" i="65"/>
  <c r="J28" i="65"/>
  <c r="J18" i="65"/>
  <c r="J16" i="65"/>
  <c r="J19" i="65"/>
  <c r="J21" i="65"/>
  <c r="J32" i="65"/>
  <c r="J25" i="65"/>
  <c r="J33" i="65"/>
  <c r="J34" i="65"/>
  <c r="J45" i="46"/>
  <c r="H45" i="46"/>
  <c r="I45" i="46" s="1"/>
  <c r="I26" i="7"/>
  <c r="H18" i="7"/>
  <c r="I51" i="57"/>
  <c r="H3" i="7"/>
  <c r="I51" i="46"/>
  <c r="H23" i="7"/>
  <c r="I51" i="61"/>
  <c r="I51" i="59"/>
  <c r="H21" i="7"/>
  <c r="H17" i="7"/>
  <c r="I51" i="56"/>
  <c r="I36" i="68"/>
  <c r="H38" i="7"/>
  <c r="I51" i="112"/>
  <c r="I4" i="7" s="1"/>
  <c r="H4" i="7"/>
  <c r="H34" i="7"/>
  <c r="I36" i="64"/>
  <c r="J44" i="112"/>
  <c r="J14" i="112"/>
  <c r="J46" i="112"/>
  <c r="J13" i="112"/>
  <c r="J26" i="112"/>
  <c r="J28" i="112"/>
  <c r="J32" i="112"/>
  <c r="J33" i="112"/>
  <c r="J31" i="112"/>
  <c r="J38" i="112"/>
  <c r="J41" i="112"/>
  <c r="J40" i="112"/>
  <c r="J23" i="112"/>
  <c r="J39" i="112"/>
  <c r="J20" i="112"/>
  <c r="J22" i="112"/>
  <c r="J12" i="112"/>
  <c r="J36" i="112"/>
  <c r="J27" i="112"/>
  <c r="H46" i="112"/>
  <c r="I46" i="112" s="1"/>
  <c r="J19" i="112"/>
  <c r="J37" i="112"/>
  <c r="J18" i="112"/>
  <c r="J21" i="112"/>
  <c r="J24" i="112"/>
  <c r="J25" i="112"/>
  <c r="J29" i="112"/>
  <c r="J42" i="112"/>
  <c r="J30" i="112"/>
  <c r="J34" i="112"/>
  <c r="J35" i="112"/>
  <c r="J43" i="112"/>
  <c r="H37" i="7"/>
  <c r="I36" i="67"/>
  <c r="J45" i="4"/>
  <c r="J14" i="4"/>
  <c r="J32" i="4"/>
  <c r="J46" i="4"/>
  <c r="J26" i="4"/>
  <c r="J23" i="4"/>
  <c r="J31" i="4"/>
  <c r="J22" i="4"/>
  <c r="J33" i="4"/>
  <c r="J40" i="4"/>
  <c r="J19" i="4"/>
  <c r="H46" i="4"/>
  <c r="I46" i="4" s="1"/>
  <c r="J36" i="4"/>
  <c r="J39" i="4"/>
  <c r="J41" i="4"/>
  <c r="J18" i="4"/>
  <c r="J12" i="4"/>
  <c r="J28" i="4"/>
  <c r="J27" i="4"/>
  <c r="J38" i="4"/>
  <c r="J13" i="4"/>
  <c r="J37" i="4"/>
  <c r="J20" i="4"/>
  <c r="J21" i="4"/>
  <c r="J24" i="4"/>
  <c r="J25" i="4"/>
  <c r="J29" i="4"/>
  <c r="J30" i="4"/>
  <c r="J42" i="4"/>
  <c r="J44" i="4"/>
  <c r="J34" i="4"/>
  <c r="J35" i="4"/>
  <c r="J43" i="4"/>
  <c r="J45" i="62"/>
  <c r="J36" i="62"/>
  <c r="J39" i="62"/>
  <c r="J46" i="62"/>
  <c r="J20" i="62"/>
  <c r="J38" i="62"/>
  <c r="J37" i="62"/>
  <c r="J14" i="62"/>
  <c r="J23" i="62"/>
  <c r="J32" i="62"/>
  <c r="J18" i="62"/>
  <c r="J40" i="62"/>
  <c r="J31" i="62"/>
  <c r="J33" i="62"/>
  <c r="J19" i="62"/>
  <c r="J22" i="62"/>
  <c r="J41" i="62"/>
  <c r="H46" i="62"/>
  <c r="I46" i="62" s="1"/>
  <c r="J26" i="62"/>
  <c r="J12" i="62"/>
  <c r="J13" i="62"/>
  <c r="J27" i="62"/>
  <c r="J28" i="62"/>
  <c r="J21" i="62"/>
  <c r="J24" i="62"/>
  <c r="J25" i="62"/>
  <c r="J30" i="62"/>
  <c r="J29" i="62"/>
  <c r="J42" i="62"/>
  <c r="J43" i="62"/>
  <c r="J44" i="62"/>
  <c r="J35" i="62"/>
  <c r="J34" i="62"/>
  <c r="J14" i="81"/>
  <c r="J13" i="81"/>
  <c r="J30" i="81"/>
  <c r="J16" i="81"/>
  <c r="J20" i="81"/>
  <c r="J18" i="81"/>
  <c r="J27" i="81"/>
  <c r="J29" i="81"/>
  <c r="J31" i="81"/>
  <c r="H36" i="81"/>
  <c r="J28" i="81"/>
  <c r="J22" i="81"/>
  <c r="J26" i="81"/>
  <c r="J24" i="81"/>
  <c r="J36" i="81"/>
  <c r="J23" i="81"/>
  <c r="J15" i="81"/>
  <c r="J17" i="81"/>
  <c r="J19" i="81"/>
  <c r="J21" i="81"/>
  <c r="J32" i="81"/>
  <c r="J25" i="81"/>
  <c r="J34" i="81"/>
  <c r="J33" i="81"/>
  <c r="J26" i="59"/>
  <c r="J41" i="59"/>
  <c r="J36" i="59"/>
  <c r="J28" i="59"/>
  <c r="J40" i="59"/>
  <c r="H46" i="59"/>
  <c r="I46" i="59" s="1"/>
  <c r="J31" i="59"/>
  <c r="J46" i="59"/>
  <c r="J18" i="59"/>
  <c r="J33" i="59"/>
  <c r="J38" i="59"/>
  <c r="J37" i="59"/>
  <c r="J20" i="59"/>
  <c r="J19" i="59"/>
  <c r="J12" i="59"/>
  <c r="J32" i="59"/>
  <c r="J13" i="59"/>
  <c r="J22" i="59"/>
  <c r="J14" i="59"/>
  <c r="J39" i="59"/>
  <c r="J27" i="59"/>
  <c r="J23" i="59"/>
  <c r="J24" i="59"/>
  <c r="J21" i="59"/>
  <c r="J25" i="59"/>
  <c r="J30" i="59"/>
  <c r="J42" i="59"/>
  <c r="J29" i="59"/>
  <c r="J35" i="59"/>
  <c r="J44" i="59"/>
  <c r="J43" i="59"/>
  <c r="J34" i="59"/>
  <c r="I22" i="7"/>
  <c r="H25" i="7"/>
  <c r="I51" i="62"/>
  <c r="J45" i="47"/>
  <c r="J46" i="47"/>
  <c r="J27" i="47"/>
  <c r="J32" i="47"/>
  <c r="J22" i="47"/>
  <c r="J36" i="47"/>
  <c r="J40" i="47"/>
  <c r="J26" i="47"/>
  <c r="J19" i="47"/>
  <c r="J23" i="47"/>
  <c r="J20" i="47"/>
  <c r="J12" i="47"/>
  <c r="J28" i="47"/>
  <c r="J13" i="47"/>
  <c r="H46" i="47"/>
  <c r="I46" i="47" s="1"/>
  <c r="J37" i="47"/>
  <c r="J38" i="47"/>
  <c r="J18" i="47"/>
  <c r="J41" i="47"/>
  <c r="J39" i="47"/>
  <c r="J31" i="47"/>
  <c r="J14" i="47"/>
  <c r="J33" i="47"/>
  <c r="J24" i="47"/>
  <c r="J21" i="47"/>
  <c r="J25" i="47"/>
  <c r="J29" i="47"/>
  <c r="J30" i="47"/>
  <c r="J42" i="47"/>
  <c r="J34" i="47"/>
  <c r="J43" i="47"/>
  <c r="J44" i="47"/>
  <c r="J35" i="47"/>
  <c r="J34" i="79"/>
  <c r="J36" i="79"/>
  <c r="J26" i="79"/>
  <c r="J14" i="79"/>
  <c r="J30" i="79"/>
  <c r="J28" i="79"/>
  <c r="J22" i="79"/>
  <c r="J29" i="79"/>
  <c r="J13" i="79"/>
  <c r="J31" i="79"/>
  <c r="J15" i="79"/>
  <c r="J23" i="79"/>
  <c r="J27" i="79"/>
  <c r="J20" i="79"/>
  <c r="J24" i="79"/>
  <c r="J18" i="79"/>
  <c r="J16" i="79"/>
  <c r="H36" i="79"/>
  <c r="J17" i="79"/>
  <c r="J19" i="79"/>
  <c r="J21" i="79"/>
  <c r="J25" i="79"/>
  <c r="J32" i="79"/>
  <c r="J33" i="79"/>
  <c r="J44" i="46"/>
  <c r="I40" i="7"/>
  <c r="I14" i="7"/>
  <c r="J45" i="112"/>
  <c r="H2" i="7"/>
  <c r="I51" i="4"/>
  <c r="I32" i="7" l="1"/>
  <c r="H44" i="7"/>
  <c r="I36" i="79"/>
  <c r="I25" i="7"/>
  <c r="I28" i="7"/>
  <c r="I38" i="7"/>
  <c r="I17" i="7"/>
  <c r="I21" i="7"/>
  <c r="I9" i="7"/>
  <c r="I2" i="7"/>
  <c r="H46" i="7"/>
  <c r="I36" i="81"/>
  <c r="I37" i="7"/>
  <c r="I34" i="7"/>
  <c r="I23" i="7"/>
  <c r="I3" i="7"/>
  <c r="I18" i="7"/>
  <c r="I36" i="65"/>
  <c r="H35" i="7"/>
  <c r="H5" i="7"/>
  <c r="I51" i="47"/>
  <c r="I5" i="7" l="1"/>
  <c r="I46" i="7"/>
  <c r="I35" i="7"/>
  <c r="I44" i="7"/>
  <c r="B4" i="77" l="1"/>
  <c r="B4" i="115"/>
  <c r="B4" i="69"/>
  <c r="B4" i="114"/>
  <c r="B4" i="74"/>
  <c r="B4" i="63"/>
  <c r="B4" i="113"/>
  <c r="B5" i="74"/>
  <c r="B4" i="66"/>
  <c r="B5" i="71"/>
  <c r="B5" i="80"/>
  <c r="B4" i="116"/>
  <c r="B5" i="77"/>
  <c r="B4" i="71"/>
  <c r="B4" i="80"/>
  <c r="B4" i="117"/>
  <c r="D45" i="7" l="1"/>
  <c r="B23" i="80"/>
  <c r="B22" i="80"/>
  <c r="B19" i="80"/>
  <c r="B18" i="80"/>
  <c r="C39" i="7"/>
  <c r="B31" i="69"/>
  <c r="B8" i="69"/>
  <c r="B13" i="69"/>
  <c r="B18" i="69"/>
  <c r="B12" i="69"/>
  <c r="B17" i="69"/>
  <c r="C20" i="69"/>
  <c r="F20" i="69" s="1"/>
  <c r="D27" i="7"/>
  <c r="B25" i="71"/>
  <c r="B24" i="71"/>
  <c r="B21" i="71"/>
  <c r="B20" i="71"/>
  <c r="B15" i="115"/>
  <c r="C27" i="115"/>
  <c r="F27" i="115" s="1"/>
  <c r="B8" i="115"/>
  <c r="B41" i="115"/>
  <c r="B22" i="115"/>
  <c r="C16" i="7"/>
  <c r="B16" i="115"/>
  <c r="B13" i="115"/>
  <c r="B23" i="115"/>
  <c r="B17" i="115"/>
  <c r="B12" i="115"/>
  <c r="B24" i="115"/>
  <c r="B22" i="117"/>
  <c r="B15" i="117"/>
  <c r="B17" i="117"/>
  <c r="B13" i="117"/>
  <c r="B12" i="117"/>
  <c r="C20" i="7"/>
  <c r="B41" i="117"/>
  <c r="B23" i="117"/>
  <c r="C27" i="117"/>
  <c r="F27" i="117" s="1"/>
  <c r="B24" i="117"/>
  <c r="B16" i="117"/>
  <c r="B8" i="117"/>
  <c r="C42" i="7"/>
  <c r="B33" i="77"/>
  <c r="B7" i="77"/>
  <c r="B9" i="77"/>
  <c r="C45" i="7"/>
  <c r="B31" i="80"/>
  <c r="B7" i="80"/>
  <c r="B9" i="80"/>
  <c r="D30" i="7"/>
  <c r="B20" i="74"/>
  <c r="B25" i="74"/>
  <c r="B24" i="74"/>
  <c r="B21" i="74"/>
  <c r="C27" i="7"/>
  <c r="B7" i="71"/>
  <c r="B33" i="71"/>
  <c r="B9" i="71"/>
  <c r="B22" i="113"/>
  <c r="C8" i="7"/>
  <c r="B13" i="113"/>
  <c r="B16" i="113"/>
  <c r="B41" i="113"/>
  <c r="B17" i="113"/>
  <c r="B15" i="113"/>
  <c r="C27" i="113"/>
  <c r="F27" i="113" s="1"/>
  <c r="B12" i="113"/>
  <c r="B23" i="113"/>
  <c r="B24" i="113"/>
  <c r="B8" i="113"/>
  <c r="C33" i="7"/>
  <c r="B31" i="63"/>
  <c r="B8" i="63"/>
  <c r="C20" i="63"/>
  <c r="F20" i="63" s="1"/>
  <c r="B17" i="63"/>
  <c r="B18" i="63"/>
  <c r="B12" i="63"/>
  <c r="B13" i="63"/>
  <c r="D42" i="7"/>
  <c r="B20" i="77"/>
  <c r="B25" i="77"/>
  <c r="B24" i="77"/>
  <c r="B21" i="77"/>
  <c r="C30" i="7"/>
  <c r="B33" i="74"/>
  <c r="B7" i="74"/>
  <c r="B9" i="74"/>
  <c r="B22" i="116"/>
  <c r="C27" i="116"/>
  <c r="F27" i="116" s="1"/>
  <c r="B8" i="116"/>
  <c r="B24" i="116"/>
  <c r="B16" i="116"/>
  <c r="B12" i="116"/>
  <c r="B17" i="116"/>
  <c r="B13" i="116"/>
  <c r="B15" i="116"/>
  <c r="B41" i="116"/>
  <c r="B23" i="116"/>
  <c r="C24" i="7"/>
  <c r="B16" i="114"/>
  <c r="B41" i="114"/>
  <c r="B23" i="114"/>
  <c r="C12" i="7"/>
  <c r="B24" i="114"/>
  <c r="B13" i="114"/>
  <c r="B17" i="114"/>
  <c r="B8" i="114"/>
  <c r="B12" i="114"/>
  <c r="C27" i="114"/>
  <c r="F27" i="114" s="1"/>
  <c r="B22" i="114"/>
  <c r="B15" i="114"/>
  <c r="C36" i="7"/>
  <c r="B31" i="66"/>
  <c r="C20" i="66"/>
  <c r="F20" i="66" s="1"/>
  <c r="B13" i="66"/>
  <c r="B17" i="66"/>
  <c r="B12" i="66"/>
  <c r="B18" i="66"/>
  <c r="B8" i="66"/>
  <c r="E15" i="116" l="1"/>
  <c r="G15" i="116" s="1"/>
  <c r="D15" i="116"/>
  <c r="D12" i="113"/>
  <c r="E12" i="113"/>
  <c r="G12" i="113" s="1"/>
  <c r="E22" i="113"/>
  <c r="G22" i="113" s="1"/>
  <c r="D22" i="113"/>
  <c r="E24" i="117"/>
  <c r="G24" i="117" s="1"/>
  <c r="D24" i="117"/>
  <c r="D15" i="117"/>
  <c r="E15" i="117"/>
  <c r="G15" i="117" s="1"/>
  <c r="D15" i="114"/>
  <c r="E15" i="114"/>
  <c r="G15" i="114" s="1"/>
  <c r="B22" i="74"/>
  <c r="B30" i="74"/>
  <c r="B28" i="74"/>
  <c r="B29" i="74"/>
  <c r="B13" i="74"/>
  <c r="D20" i="77"/>
  <c r="E20" i="77"/>
  <c r="B26" i="63"/>
  <c r="B28" i="63"/>
  <c r="B22" i="63"/>
  <c r="B20" i="63"/>
  <c r="B27" i="63"/>
  <c r="B23" i="63"/>
  <c r="B22" i="71"/>
  <c r="B28" i="71"/>
  <c r="B13" i="71"/>
  <c r="B29" i="71"/>
  <c r="B30" i="71"/>
  <c r="E20" i="74"/>
  <c r="G20" i="74" s="1"/>
  <c r="D20" i="74"/>
  <c r="E22" i="117"/>
  <c r="G22" i="117" s="1"/>
  <c r="D22" i="117"/>
  <c r="E25" i="71"/>
  <c r="G25" i="71" s="1"/>
  <c r="D25" i="71"/>
  <c r="B22" i="69"/>
  <c r="B28" i="69"/>
  <c r="B20" i="69"/>
  <c r="B27" i="69"/>
  <c r="B23" i="69"/>
  <c r="B26" i="69"/>
  <c r="D12" i="66"/>
  <c r="E12" i="66"/>
  <c r="G12" i="66" s="1"/>
  <c r="E22" i="114"/>
  <c r="G22" i="114" s="1"/>
  <c r="D22" i="114"/>
  <c r="E23" i="114"/>
  <c r="G23" i="114" s="1"/>
  <c r="D23" i="114"/>
  <c r="D31" i="63"/>
  <c r="E31" i="63"/>
  <c r="G31" i="63" s="1"/>
  <c r="E15" i="113"/>
  <c r="G15" i="113" s="1"/>
  <c r="D15" i="113"/>
  <c r="E33" i="71"/>
  <c r="G33" i="71" s="1"/>
  <c r="D33" i="71"/>
  <c r="E23" i="117"/>
  <c r="G23" i="117" s="1"/>
  <c r="D23" i="117"/>
  <c r="E17" i="66"/>
  <c r="G17" i="66" s="1"/>
  <c r="D17" i="66"/>
  <c r="E41" i="114"/>
  <c r="G41" i="114" s="1"/>
  <c r="D41" i="114"/>
  <c r="D12" i="116"/>
  <c r="E12" i="116"/>
  <c r="G12" i="116" s="1"/>
  <c r="D33" i="74"/>
  <c r="E33" i="74"/>
  <c r="G33" i="74" s="1"/>
  <c r="E17" i="113"/>
  <c r="G17" i="113" s="1"/>
  <c r="D17" i="113"/>
  <c r="E33" i="77"/>
  <c r="G33" i="77" s="1"/>
  <c r="D33" i="77"/>
  <c r="D41" i="117"/>
  <c r="E41" i="117"/>
  <c r="G41" i="117" s="1"/>
  <c r="D12" i="115"/>
  <c r="E12" i="115"/>
  <c r="G12" i="115" s="1"/>
  <c r="B36" i="115"/>
  <c r="B37" i="115"/>
  <c r="B31" i="115"/>
  <c r="B28" i="115"/>
  <c r="B38" i="115"/>
  <c r="B32" i="115"/>
  <c r="B27" i="115"/>
  <c r="E13" i="66"/>
  <c r="G13" i="66" s="1"/>
  <c r="D13" i="66"/>
  <c r="E12" i="114"/>
  <c r="G12" i="114" s="1"/>
  <c r="D12" i="114"/>
  <c r="D16" i="114"/>
  <c r="E16" i="114"/>
  <c r="G16" i="114" s="1"/>
  <c r="E16" i="116"/>
  <c r="G16" i="116" s="1"/>
  <c r="D16" i="116"/>
  <c r="D13" i="63"/>
  <c r="E13" i="63"/>
  <c r="G13" i="63" s="1"/>
  <c r="E41" i="113"/>
  <c r="G41" i="113" s="1"/>
  <c r="D41" i="113"/>
  <c r="B28" i="80"/>
  <c r="B27" i="80"/>
  <c r="B20" i="80"/>
  <c r="B26" i="80"/>
  <c r="B13" i="80"/>
  <c r="D17" i="115"/>
  <c r="E17" i="115"/>
  <c r="G17" i="115" s="1"/>
  <c r="B38" i="114"/>
  <c r="B27" i="114"/>
  <c r="B31" i="114"/>
  <c r="B37" i="114"/>
  <c r="B36" i="114"/>
  <c r="B32" i="114"/>
  <c r="B28" i="114"/>
  <c r="E24" i="116"/>
  <c r="G24" i="116" s="1"/>
  <c r="D24" i="116"/>
  <c r="E12" i="63"/>
  <c r="G12" i="63" s="1"/>
  <c r="D12" i="63"/>
  <c r="B31" i="113"/>
  <c r="B38" i="113"/>
  <c r="B36" i="113"/>
  <c r="B27" i="113"/>
  <c r="B37" i="113"/>
  <c r="B28" i="113"/>
  <c r="B32" i="113"/>
  <c r="E16" i="113"/>
  <c r="G16" i="113" s="1"/>
  <c r="D16" i="113"/>
  <c r="E12" i="117"/>
  <c r="G12" i="117" s="1"/>
  <c r="D12" i="117"/>
  <c r="E23" i="115"/>
  <c r="G23" i="115" s="1"/>
  <c r="D23" i="115"/>
  <c r="E15" i="115"/>
  <c r="G15" i="115" s="1"/>
  <c r="D15" i="115"/>
  <c r="E17" i="69"/>
  <c r="G17" i="69" s="1"/>
  <c r="D17" i="69"/>
  <c r="E18" i="80"/>
  <c r="G18" i="80" s="1"/>
  <c r="D18" i="80"/>
  <c r="D31" i="66"/>
  <c r="E31" i="66"/>
  <c r="G31" i="66" s="1"/>
  <c r="D17" i="114"/>
  <c r="E17" i="114"/>
  <c r="G17" i="114" s="1"/>
  <c r="E23" i="116"/>
  <c r="G23" i="116" s="1"/>
  <c r="D23" i="116"/>
  <c r="B32" i="116"/>
  <c r="B36" i="116"/>
  <c r="B27" i="116"/>
  <c r="B38" i="116"/>
  <c r="B28" i="116"/>
  <c r="B31" i="116"/>
  <c r="B37" i="116"/>
  <c r="E21" i="77"/>
  <c r="G21" i="77" s="1"/>
  <c r="D21" i="77"/>
  <c r="E18" i="63"/>
  <c r="G18" i="63" s="1"/>
  <c r="D18" i="63"/>
  <c r="E24" i="113"/>
  <c r="G24" i="113" s="1"/>
  <c r="D24" i="113"/>
  <c r="D13" i="113"/>
  <c r="E13" i="113"/>
  <c r="G13" i="113" s="1"/>
  <c r="E21" i="74"/>
  <c r="G21" i="74" s="1"/>
  <c r="D21" i="74"/>
  <c r="D31" i="80"/>
  <c r="E31" i="80"/>
  <c r="G31" i="80" s="1"/>
  <c r="B37" i="117"/>
  <c r="B31" i="117"/>
  <c r="B27" i="117"/>
  <c r="B28" i="117"/>
  <c r="B36" i="117"/>
  <c r="B32" i="117"/>
  <c r="B38" i="117"/>
  <c r="E13" i="117"/>
  <c r="G13" i="117" s="1"/>
  <c r="D13" i="117"/>
  <c r="E13" i="115"/>
  <c r="G13" i="115" s="1"/>
  <c r="D13" i="115"/>
  <c r="E20" i="71"/>
  <c r="G20" i="71" s="1"/>
  <c r="D20" i="71"/>
  <c r="E12" i="69"/>
  <c r="G12" i="69" s="1"/>
  <c r="D12" i="69"/>
  <c r="E19" i="80"/>
  <c r="G19" i="80" s="1"/>
  <c r="D19" i="80"/>
  <c r="E13" i="114"/>
  <c r="G13" i="114" s="1"/>
  <c r="D13" i="114"/>
  <c r="D41" i="116"/>
  <c r="E41" i="116"/>
  <c r="G41" i="116" s="1"/>
  <c r="E24" i="77"/>
  <c r="G24" i="77" s="1"/>
  <c r="D24" i="77"/>
  <c r="E17" i="63"/>
  <c r="G17" i="63" s="1"/>
  <c r="D17" i="63"/>
  <c r="E23" i="113"/>
  <c r="G23" i="113" s="1"/>
  <c r="D23" i="113"/>
  <c r="E24" i="74"/>
  <c r="G24" i="74" s="1"/>
  <c r="D24" i="74"/>
  <c r="D16" i="117"/>
  <c r="E16" i="117"/>
  <c r="G16" i="117" s="1"/>
  <c r="E17" i="117"/>
  <c r="G17" i="117" s="1"/>
  <c r="D17" i="117"/>
  <c r="D16" i="115"/>
  <c r="E16" i="115"/>
  <c r="G16" i="115" s="1"/>
  <c r="E21" i="71"/>
  <c r="G21" i="71" s="1"/>
  <c r="D21" i="71"/>
  <c r="E18" i="69"/>
  <c r="G18" i="69" s="1"/>
  <c r="D18" i="69"/>
  <c r="E22" i="80"/>
  <c r="G22" i="80" s="1"/>
  <c r="D22" i="80"/>
  <c r="E24" i="71"/>
  <c r="G24" i="71" s="1"/>
  <c r="D24" i="71"/>
  <c r="D26" i="71" s="1"/>
  <c r="E13" i="69"/>
  <c r="G13" i="69" s="1"/>
  <c r="D13" i="69"/>
  <c r="E23" i="80"/>
  <c r="G23" i="80" s="1"/>
  <c r="D23" i="80"/>
  <c r="E13" i="116"/>
  <c r="G13" i="116" s="1"/>
  <c r="D13" i="116"/>
  <c r="E22" i="115"/>
  <c r="G22" i="115" s="1"/>
  <c r="D22" i="115"/>
  <c r="B23" i="66"/>
  <c r="B22" i="66"/>
  <c r="B27" i="66"/>
  <c r="B28" i="66"/>
  <c r="B26" i="66"/>
  <c r="B20" i="66"/>
  <c r="E24" i="114"/>
  <c r="G24" i="114" s="1"/>
  <c r="D24" i="114"/>
  <c r="D22" i="116"/>
  <c r="E22" i="116"/>
  <c r="G22" i="116" s="1"/>
  <c r="E25" i="77"/>
  <c r="G25" i="77" s="1"/>
  <c r="D25" i="77"/>
  <c r="E25" i="74"/>
  <c r="G25" i="74" s="1"/>
  <c r="D25" i="74"/>
  <c r="E18" i="66"/>
  <c r="G18" i="66" s="1"/>
  <c r="D18" i="66"/>
  <c r="B13" i="77"/>
  <c r="B29" i="77"/>
  <c r="B30" i="77"/>
  <c r="B28" i="77"/>
  <c r="B22" i="77"/>
  <c r="E17" i="116"/>
  <c r="G17" i="116" s="1"/>
  <c r="D17" i="116"/>
  <c r="E24" i="115"/>
  <c r="G24" i="115" s="1"/>
  <c r="D24" i="115"/>
  <c r="E41" i="115"/>
  <c r="G41" i="115" s="1"/>
  <c r="D41" i="115"/>
  <c r="D31" i="69"/>
  <c r="E31" i="69"/>
  <c r="G31" i="69" s="1"/>
  <c r="H41" i="115" l="1"/>
  <c r="I41" i="115" s="1"/>
  <c r="H25" i="77"/>
  <c r="I25" i="77" s="1"/>
  <c r="H23" i="80"/>
  <c r="I23" i="80" s="1"/>
  <c r="D14" i="69"/>
  <c r="D14" i="115"/>
  <c r="H13" i="69"/>
  <c r="I13" i="69" s="1"/>
  <c r="D19" i="63"/>
  <c r="H25" i="74"/>
  <c r="I25" i="74" s="1"/>
  <c r="H17" i="113"/>
  <c r="I17" i="113" s="1"/>
  <c r="D14" i="114"/>
  <c r="D14" i="113"/>
  <c r="D24" i="80"/>
  <c r="D18" i="117"/>
  <c r="D19" i="66"/>
  <c r="D20" i="66"/>
  <c r="E20" i="66"/>
  <c r="G20" i="66" s="1"/>
  <c r="E28" i="77"/>
  <c r="G28" i="77" s="1"/>
  <c r="D28" i="77"/>
  <c r="E28" i="66"/>
  <c r="G28" i="66" s="1"/>
  <c r="D28" i="66"/>
  <c r="H18" i="63"/>
  <c r="I18" i="63" s="1"/>
  <c r="D14" i="117"/>
  <c r="D36" i="113"/>
  <c r="E36" i="113"/>
  <c r="G36" i="113" s="1"/>
  <c r="E32" i="114"/>
  <c r="G32" i="114" s="1"/>
  <c r="D32" i="114"/>
  <c r="E13" i="80"/>
  <c r="G13" i="80" s="1"/>
  <c r="D13" i="80"/>
  <c r="D15" i="80" s="1"/>
  <c r="G14" i="115"/>
  <c r="H12" i="115"/>
  <c r="I12" i="115" s="1"/>
  <c r="H33" i="74"/>
  <c r="I33" i="74" s="1"/>
  <c r="D27" i="69"/>
  <c r="E27" i="69"/>
  <c r="G27" i="69" s="1"/>
  <c r="D27" i="63"/>
  <c r="E27" i="63"/>
  <c r="G27" i="63" s="1"/>
  <c r="D29" i="74"/>
  <c r="E29" i="74"/>
  <c r="G29" i="74" s="1"/>
  <c r="D30" i="77"/>
  <c r="E30" i="77"/>
  <c r="G30" i="77" s="1"/>
  <c r="E27" i="66"/>
  <c r="G27" i="66" s="1"/>
  <c r="D27" i="66"/>
  <c r="H18" i="69"/>
  <c r="I18" i="69" s="1"/>
  <c r="G26" i="77"/>
  <c r="H24" i="77"/>
  <c r="I24" i="77" s="1"/>
  <c r="G14" i="69"/>
  <c r="H12" i="69"/>
  <c r="I12" i="69" s="1"/>
  <c r="E32" i="117"/>
  <c r="G32" i="117" s="1"/>
  <c r="D32" i="117"/>
  <c r="E32" i="116"/>
  <c r="G32" i="116" s="1"/>
  <c r="D32" i="116"/>
  <c r="H18" i="80"/>
  <c r="I18" i="80" s="1"/>
  <c r="G14" i="117"/>
  <c r="H12" i="117"/>
  <c r="I12" i="117" s="1"/>
  <c r="D38" i="113"/>
  <c r="E38" i="113"/>
  <c r="G38" i="113" s="1"/>
  <c r="E36" i="114"/>
  <c r="G36" i="114" s="1"/>
  <c r="D36" i="114"/>
  <c r="D26" i="80"/>
  <c r="E26" i="80"/>
  <c r="G26" i="80" s="1"/>
  <c r="D27" i="115"/>
  <c r="E27" i="115"/>
  <c r="G27" i="115" s="1"/>
  <c r="H23" i="117"/>
  <c r="I23" i="117" s="1"/>
  <c r="H23" i="114"/>
  <c r="I23" i="114" s="1"/>
  <c r="E20" i="69"/>
  <c r="G20" i="69" s="1"/>
  <c r="D20" i="69"/>
  <c r="H20" i="74"/>
  <c r="I20" i="74" s="1"/>
  <c r="E20" i="63"/>
  <c r="G20" i="63" s="1"/>
  <c r="D20" i="63"/>
  <c r="E28" i="74"/>
  <c r="G28" i="74" s="1"/>
  <c r="D28" i="74"/>
  <c r="H24" i="117"/>
  <c r="I24" i="117" s="1"/>
  <c r="E29" i="77"/>
  <c r="G29" i="77" s="1"/>
  <c r="D29" i="77"/>
  <c r="H22" i="116"/>
  <c r="I22" i="116" s="1"/>
  <c r="G25" i="116"/>
  <c r="E22" i="66"/>
  <c r="G22" i="66" s="1"/>
  <c r="D22" i="66"/>
  <c r="D26" i="74"/>
  <c r="H41" i="116"/>
  <c r="I41" i="116" s="1"/>
  <c r="E36" i="117"/>
  <c r="G36" i="117" s="1"/>
  <c r="D36" i="117"/>
  <c r="H21" i="74"/>
  <c r="I21" i="74" s="1"/>
  <c r="H21" i="77"/>
  <c r="I21" i="77" s="1"/>
  <c r="D19" i="69"/>
  <c r="E31" i="113"/>
  <c r="G31" i="113" s="1"/>
  <c r="D31" i="113"/>
  <c r="D37" i="114"/>
  <c r="E37" i="114"/>
  <c r="G37" i="114" s="1"/>
  <c r="E20" i="80"/>
  <c r="G20" i="80" s="1"/>
  <c r="G21" i="80" s="1"/>
  <c r="D20" i="80"/>
  <c r="D21" i="80" s="1"/>
  <c r="H16" i="116"/>
  <c r="I16" i="116" s="1"/>
  <c r="E32" i="115"/>
  <c r="G32" i="115" s="1"/>
  <c r="D32" i="115"/>
  <c r="H41" i="117"/>
  <c r="I41" i="117" s="1"/>
  <c r="G14" i="116"/>
  <c r="H12" i="116"/>
  <c r="I12" i="116" s="1"/>
  <c r="D25" i="114"/>
  <c r="E28" i="69"/>
  <c r="G28" i="69" s="1"/>
  <c r="D28" i="69"/>
  <c r="E30" i="71"/>
  <c r="G30" i="71" s="1"/>
  <c r="D30" i="71"/>
  <c r="E22" i="63"/>
  <c r="G22" i="63" s="1"/>
  <c r="D22" i="63"/>
  <c r="E30" i="74"/>
  <c r="G30" i="74" s="1"/>
  <c r="D30" i="74"/>
  <c r="H22" i="113"/>
  <c r="I22" i="113" s="1"/>
  <c r="D25" i="113"/>
  <c r="E13" i="77"/>
  <c r="G13" i="77" s="1"/>
  <c r="D13" i="77"/>
  <c r="D15" i="77" s="1"/>
  <c r="D25" i="116"/>
  <c r="E23" i="66"/>
  <c r="G23" i="66" s="1"/>
  <c r="D23" i="66"/>
  <c r="H21" i="71"/>
  <c r="I21" i="71" s="1"/>
  <c r="G26" i="74"/>
  <c r="H24" i="74"/>
  <c r="I24" i="74" s="1"/>
  <c r="H20" i="71"/>
  <c r="I20" i="71" s="1"/>
  <c r="E28" i="117"/>
  <c r="G28" i="117" s="1"/>
  <c r="D28" i="117"/>
  <c r="H13" i="113"/>
  <c r="I13" i="113" s="1"/>
  <c r="D37" i="116"/>
  <c r="E37" i="116"/>
  <c r="G37" i="116" s="1"/>
  <c r="H23" i="116"/>
  <c r="I23" i="116" s="1"/>
  <c r="H17" i="69"/>
  <c r="I17" i="69" s="1"/>
  <c r="G19" i="69"/>
  <c r="H16" i="113"/>
  <c r="I16" i="113" s="1"/>
  <c r="D14" i="63"/>
  <c r="E31" i="114"/>
  <c r="G31" i="114" s="1"/>
  <c r="D31" i="114"/>
  <c r="D27" i="80"/>
  <c r="E27" i="80"/>
  <c r="G27" i="80" s="1"/>
  <c r="H16" i="114"/>
  <c r="I16" i="114" s="1"/>
  <c r="E38" i="115"/>
  <c r="G38" i="115" s="1"/>
  <c r="D38" i="115"/>
  <c r="D14" i="116"/>
  <c r="H33" i="71"/>
  <c r="I33" i="71" s="1"/>
  <c r="H22" i="114"/>
  <c r="I22" i="114" s="1"/>
  <c r="E22" i="69"/>
  <c r="G22" i="69" s="1"/>
  <c r="D22" i="69"/>
  <c r="D29" i="71"/>
  <c r="E29" i="71"/>
  <c r="G29" i="71" s="1"/>
  <c r="E28" i="63"/>
  <c r="G28" i="63" s="1"/>
  <c r="D28" i="63"/>
  <c r="D22" i="74"/>
  <c r="D23" i="74" s="1"/>
  <c r="E22" i="74"/>
  <c r="G22" i="74" s="1"/>
  <c r="G25" i="113"/>
  <c r="H24" i="115"/>
  <c r="I24" i="115" s="1"/>
  <c r="D25" i="115"/>
  <c r="H16" i="115"/>
  <c r="I16" i="115" s="1"/>
  <c r="D27" i="117"/>
  <c r="E27" i="117"/>
  <c r="G27" i="117" s="1"/>
  <c r="E31" i="116"/>
  <c r="G31" i="116" s="1"/>
  <c r="D31" i="116"/>
  <c r="H17" i="114"/>
  <c r="I17" i="114" s="1"/>
  <c r="H15" i="115"/>
  <c r="I15" i="115" s="1"/>
  <c r="D18" i="115"/>
  <c r="E32" i="113"/>
  <c r="G32" i="113" s="1"/>
  <c r="D32" i="113"/>
  <c r="H12" i="63"/>
  <c r="I12" i="63" s="1"/>
  <c r="G14" i="63"/>
  <c r="D27" i="114"/>
  <c r="E27" i="114"/>
  <c r="G27" i="114" s="1"/>
  <c r="E28" i="80"/>
  <c r="G28" i="80" s="1"/>
  <c r="D28" i="80"/>
  <c r="D18" i="114"/>
  <c r="D28" i="115"/>
  <c r="E28" i="115"/>
  <c r="G28" i="115" s="1"/>
  <c r="H15" i="113"/>
  <c r="I15" i="113" s="1"/>
  <c r="D18" i="113"/>
  <c r="G14" i="66"/>
  <c r="H12" i="66"/>
  <c r="I12" i="66" s="1"/>
  <c r="H25" i="71"/>
  <c r="I25" i="71" s="1"/>
  <c r="D13" i="71"/>
  <c r="D15" i="71" s="1"/>
  <c r="E13" i="71"/>
  <c r="G13" i="71" s="1"/>
  <c r="E26" i="63"/>
  <c r="G26" i="63" s="1"/>
  <c r="D26" i="63"/>
  <c r="H15" i="114"/>
  <c r="I15" i="114" s="1"/>
  <c r="G18" i="114"/>
  <c r="H12" i="113"/>
  <c r="I12" i="113" s="1"/>
  <c r="G14" i="113"/>
  <c r="H16" i="117"/>
  <c r="I16" i="117" s="1"/>
  <c r="D26" i="77"/>
  <c r="E38" i="117"/>
  <c r="G38" i="117" s="1"/>
  <c r="D38" i="117"/>
  <c r="D36" i="116"/>
  <c r="E36" i="116"/>
  <c r="G36" i="116" s="1"/>
  <c r="H18" i="66"/>
  <c r="I18" i="66" s="1"/>
  <c r="H24" i="114"/>
  <c r="I24" i="114" s="1"/>
  <c r="H22" i="115"/>
  <c r="I22" i="115" s="1"/>
  <c r="G25" i="115"/>
  <c r="G26" i="71"/>
  <c r="H24" i="71"/>
  <c r="I24" i="71" s="1"/>
  <c r="H23" i="113"/>
  <c r="I23" i="113" s="1"/>
  <c r="H13" i="114"/>
  <c r="I13" i="114" s="1"/>
  <c r="H13" i="115"/>
  <c r="I13" i="115" s="1"/>
  <c r="E31" i="117"/>
  <c r="G31" i="117" s="1"/>
  <c r="D31" i="117"/>
  <c r="E28" i="116"/>
  <c r="G28" i="116" s="1"/>
  <c r="D28" i="116"/>
  <c r="G18" i="115"/>
  <c r="E28" i="113"/>
  <c r="G28" i="113" s="1"/>
  <c r="D28" i="113"/>
  <c r="E38" i="114"/>
  <c r="G38" i="114" s="1"/>
  <c r="D38" i="114"/>
  <c r="H41" i="113"/>
  <c r="I41" i="113" s="1"/>
  <c r="E31" i="115"/>
  <c r="G31" i="115" s="1"/>
  <c r="D31" i="115"/>
  <c r="H33" i="77"/>
  <c r="I33" i="77" s="1"/>
  <c r="H41" i="114"/>
  <c r="I41" i="114" s="1"/>
  <c r="G18" i="113"/>
  <c r="D14" i="66"/>
  <c r="E28" i="71"/>
  <c r="G28" i="71" s="1"/>
  <c r="D28" i="71"/>
  <c r="H17" i="116"/>
  <c r="I17" i="116" s="1"/>
  <c r="H24" i="113"/>
  <c r="I24" i="113" s="1"/>
  <c r="E38" i="116"/>
  <c r="G38" i="116" s="1"/>
  <c r="D38" i="116"/>
  <c r="D37" i="113"/>
  <c r="E37" i="113"/>
  <c r="G37" i="113" s="1"/>
  <c r="H24" i="116"/>
  <c r="I24" i="116" s="1"/>
  <c r="H12" i="114"/>
  <c r="I12" i="114" s="1"/>
  <c r="G14" i="114"/>
  <c r="D37" i="115"/>
  <c r="E37" i="115"/>
  <c r="G37" i="115" s="1"/>
  <c r="H31" i="63"/>
  <c r="I31" i="63" s="1"/>
  <c r="E26" i="69"/>
  <c r="G26" i="69" s="1"/>
  <c r="D26" i="69"/>
  <c r="H22" i="117"/>
  <c r="I22" i="117" s="1"/>
  <c r="D25" i="117"/>
  <c r="E22" i="71"/>
  <c r="G22" i="71" s="1"/>
  <c r="D22" i="71"/>
  <c r="D23" i="71" s="1"/>
  <c r="D27" i="71" s="1"/>
  <c r="H15" i="117"/>
  <c r="I15" i="117" s="1"/>
  <c r="G18" i="117"/>
  <c r="H15" i="116"/>
  <c r="I15" i="116" s="1"/>
  <c r="D18" i="116"/>
  <c r="E37" i="117"/>
  <c r="G37" i="117" s="1"/>
  <c r="D37" i="117"/>
  <c r="H31" i="66"/>
  <c r="I31" i="66" s="1"/>
  <c r="H17" i="115"/>
  <c r="I17" i="115" s="1"/>
  <c r="H31" i="69"/>
  <c r="I31" i="69" s="1"/>
  <c r="D22" i="77"/>
  <c r="D23" i="77" s="1"/>
  <c r="E22" i="77"/>
  <c r="G22" i="77" s="1"/>
  <c r="D26" i="66"/>
  <c r="E26" i="66"/>
  <c r="G26" i="66" s="1"/>
  <c r="H13" i="116"/>
  <c r="I13" i="116" s="1"/>
  <c r="G24" i="80"/>
  <c r="H22" i="80"/>
  <c r="I22" i="80" s="1"/>
  <c r="H17" i="117"/>
  <c r="I17" i="117" s="1"/>
  <c r="H17" i="63"/>
  <c r="I17" i="63" s="1"/>
  <c r="G19" i="63"/>
  <c r="H19" i="80"/>
  <c r="I19" i="80" s="1"/>
  <c r="H13" i="117"/>
  <c r="I13" i="117" s="1"/>
  <c r="H31" i="80"/>
  <c r="I31" i="80" s="1"/>
  <c r="D27" i="116"/>
  <c r="E27" i="116"/>
  <c r="G27" i="116" s="1"/>
  <c r="H23" i="115"/>
  <c r="I23" i="115" s="1"/>
  <c r="E27" i="113"/>
  <c r="G27" i="113" s="1"/>
  <c r="D27" i="113"/>
  <c r="D28" i="114"/>
  <c r="E28" i="114"/>
  <c r="G28" i="114" s="1"/>
  <c r="H13" i="63"/>
  <c r="I13" i="63" s="1"/>
  <c r="H13" i="66"/>
  <c r="I13" i="66" s="1"/>
  <c r="E36" i="115"/>
  <c r="G36" i="115" s="1"/>
  <c r="D36" i="115"/>
  <c r="H17" i="66"/>
  <c r="I17" i="66" s="1"/>
  <c r="G19" i="66"/>
  <c r="E23" i="69"/>
  <c r="G23" i="69" s="1"/>
  <c r="D23" i="69"/>
  <c r="G25" i="117"/>
  <c r="E23" i="63"/>
  <c r="G23" i="63" s="1"/>
  <c r="D23" i="63"/>
  <c r="E13" i="74"/>
  <c r="G13" i="74" s="1"/>
  <c r="D13" i="74"/>
  <c r="D15" i="74" s="1"/>
  <c r="G18" i="116"/>
  <c r="D21" i="63" l="1"/>
  <c r="H28" i="116"/>
  <c r="I28" i="116" s="1"/>
  <c r="D25" i="80"/>
  <c r="D30" i="63"/>
  <c r="H23" i="66"/>
  <c r="I23" i="66" s="1"/>
  <c r="H32" i="117"/>
  <c r="I32" i="117" s="1"/>
  <c r="D32" i="71"/>
  <c r="D34" i="71" s="1"/>
  <c r="D37" i="71" s="1"/>
  <c r="H23" i="69"/>
  <c r="I23" i="69" s="1"/>
  <c r="H28" i="66"/>
  <c r="I28" i="66" s="1"/>
  <c r="H27" i="113"/>
  <c r="I27" i="113" s="1"/>
  <c r="D24" i="63"/>
  <c r="H38" i="115"/>
  <c r="I38" i="115" s="1"/>
  <c r="D21" i="69"/>
  <c r="D21" i="66"/>
  <c r="D30" i="66"/>
  <c r="D24" i="69"/>
  <c r="D33" i="117"/>
  <c r="H28" i="113"/>
  <c r="I28" i="113" s="1"/>
  <c r="H32" i="116"/>
  <c r="I32" i="116" s="1"/>
  <c r="H32" i="114"/>
  <c r="I32" i="114" s="1"/>
  <c r="H25" i="117"/>
  <c r="G30" i="117"/>
  <c r="G29" i="117"/>
  <c r="H37" i="117"/>
  <c r="I37" i="117" s="1"/>
  <c r="G33" i="114"/>
  <c r="H31" i="114"/>
  <c r="I31" i="114" s="1"/>
  <c r="D29" i="114"/>
  <c r="D30" i="114"/>
  <c r="H24" i="80"/>
  <c r="I24" i="80" s="1"/>
  <c r="H37" i="115"/>
  <c r="I37" i="115" s="1"/>
  <c r="G33" i="117"/>
  <c r="H31" i="117"/>
  <c r="I31" i="117" s="1"/>
  <c r="G24" i="69"/>
  <c r="H22" i="69"/>
  <c r="I22" i="69" s="1"/>
  <c r="H26" i="77"/>
  <c r="I26" i="77" s="1"/>
  <c r="H22" i="74"/>
  <c r="I22" i="74" s="1"/>
  <c r="H37" i="116"/>
  <c r="I37" i="116" s="1"/>
  <c r="D32" i="74"/>
  <c r="D34" i="74" s="1"/>
  <c r="D37" i="74" s="1"/>
  <c r="H20" i="69"/>
  <c r="I20" i="69" s="1"/>
  <c r="H27" i="115"/>
  <c r="I27" i="115" s="1"/>
  <c r="H29" i="74"/>
  <c r="I29" i="74" s="1"/>
  <c r="G15" i="74"/>
  <c r="H13" i="74"/>
  <c r="I13" i="74" s="1"/>
  <c r="H27" i="116"/>
  <c r="I27" i="116" s="1"/>
  <c r="H37" i="113"/>
  <c r="I37" i="113" s="1"/>
  <c r="H26" i="71"/>
  <c r="I26" i="71" s="1"/>
  <c r="G30" i="63"/>
  <c r="H26" i="63"/>
  <c r="I26" i="63" s="1"/>
  <c r="D29" i="115"/>
  <c r="D30" i="115"/>
  <c r="D30" i="116"/>
  <c r="D29" i="116"/>
  <c r="G24" i="63"/>
  <c r="H22" i="63"/>
  <c r="I22" i="63" s="1"/>
  <c r="H14" i="116"/>
  <c r="I14" i="116" s="1"/>
  <c r="G32" i="74"/>
  <c r="H28" i="74"/>
  <c r="I28" i="74" s="1"/>
  <c r="H36" i="113"/>
  <c r="I36" i="113" s="1"/>
  <c r="G40" i="113"/>
  <c r="H23" i="63"/>
  <c r="I23" i="63" s="1"/>
  <c r="G21" i="66"/>
  <c r="H19" i="66"/>
  <c r="H28" i="114"/>
  <c r="I28" i="114" s="1"/>
  <c r="G21" i="63"/>
  <c r="H19" i="63"/>
  <c r="G30" i="66"/>
  <c r="H26" i="66"/>
  <c r="I26" i="66" s="1"/>
  <c r="D30" i="69"/>
  <c r="H14" i="114"/>
  <c r="I14" i="114" s="1"/>
  <c r="D33" i="115"/>
  <c r="H13" i="71"/>
  <c r="I13" i="71" s="1"/>
  <c r="G15" i="71"/>
  <c r="H28" i="115"/>
  <c r="I28" i="115" s="1"/>
  <c r="H14" i="63"/>
  <c r="I14" i="63" s="1"/>
  <c r="D33" i="116"/>
  <c r="H20" i="80"/>
  <c r="I20" i="80" s="1"/>
  <c r="D27" i="74"/>
  <c r="H29" i="77"/>
  <c r="I29" i="77" s="1"/>
  <c r="H26" i="80"/>
  <c r="I26" i="80" s="1"/>
  <c r="G30" i="80"/>
  <c r="H14" i="117"/>
  <c r="I14" i="117" s="1"/>
  <c r="H27" i="63"/>
  <c r="I27" i="63" s="1"/>
  <c r="D40" i="113"/>
  <c r="D32" i="77"/>
  <c r="D34" i="77" s="1"/>
  <c r="D37" i="77" s="1"/>
  <c r="H36" i="115"/>
  <c r="I36" i="115" s="1"/>
  <c r="G40" i="115"/>
  <c r="H18" i="114"/>
  <c r="I18" i="114" s="1"/>
  <c r="G33" i="113"/>
  <c r="H38" i="113"/>
  <c r="I38" i="113" s="1"/>
  <c r="G15" i="80"/>
  <c r="H13" i="80"/>
  <c r="I13" i="80" s="1"/>
  <c r="H18" i="117"/>
  <c r="I18" i="117" s="1"/>
  <c r="H26" i="69"/>
  <c r="I26" i="69" s="1"/>
  <c r="G30" i="69"/>
  <c r="H38" i="116"/>
  <c r="I38" i="116" s="1"/>
  <c r="G33" i="115"/>
  <c r="H31" i="115"/>
  <c r="I31" i="115" s="1"/>
  <c r="H18" i="115"/>
  <c r="I18" i="115" s="1"/>
  <c r="H36" i="116"/>
  <c r="I36" i="116" s="1"/>
  <c r="G40" i="116"/>
  <c r="H14" i="113"/>
  <c r="I14" i="113" s="1"/>
  <c r="G33" i="116"/>
  <c r="H31" i="116"/>
  <c r="I31" i="116" s="1"/>
  <c r="H28" i="63"/>
  <c r="I28" i="63" s="1"/>
  <c r="H27" i="80"/>
  <c r="I27" i="80" s="1"/>
  <c r="H19" i="69"/>
  <c r="G21" i="69"/>
  <c r="H26" i="74"/>
  <c r="I26" i="74" s="1"/>
  <c r="H13" i="77"/>
  <c r="I13" i="77" s="1"/>
  <c r="G15" i="77"/>
  <c r="H30" i="71"/>
  <c r="I30" i="71" s="1"/>
  <c r="H37" i="114"/>
  <c r="I37" i="114" s="1"/>
  <c r="D24" i="66"/>
  <c r="H20" i="63"/>
  <c r="I20" i="63" s="1"/>
  <c r="D30" i="80"/>
  <c r="D32" i="80" s="1"/>
  <c r="D35" i="80" s="1"/>
  <c r="H14" i="115"/>
  <c r="I14" i="115" s="1"/>
  <c r="H28" i="77"/>
  <c r="I28" i="77" s="1"/>
  <c r="G32" i="77"/>
  <c r="H30" i="77"/>
  <c r="I30" i="77" s="1"/>
  <c r="H22" i="71"/>
  <c r="I22" i="71" s="1"/>
  <c r="H38" i="114"/>
  <c r="I38" i="114" s="1"/>
  <c r="H14" i="66"/>
  <c r="I14" i="66" s="1"/>
  <c r="H25" i="113"/>
  <c r="G29" i="113"/>
  <c r="G30" i="113"/>
  <c r="H30" i="74"/>
  <c r="I30" i="74" s="1"/>
  <c r="G29" i="116"/>
  <c r="G30" i="116"/>
  <c r="H25" i="116"/>
  <c r="H18" i="113"/>
  <c r="I18" i="113" s="1"/>
  <c r="G29" i="115"/>
  <c r="G30" i="115"/>
  <c r="H25" i="115"/>
  <c r="D40" i="116"/>
  <c r="H27" i="117"/>
  <c r="I27" i="117" s="1"/>
  <c r="H29" i="71"/>
  <c r="I29" i="71" s="1"/>
  <c r="H28" i="117"/>
  <c r="I28" i="117" s="1"/>
  <c r="D30" i="113"/>
  <c r="D29" i="113"/>
  <c r="H28" i="69"/>
  <c r="I28" i="69" s="1"/>
  <c r="D40" i="117"/>
  <c r="G24" i="66"/>
  <c r="H22" i="66"/>
  <c r="I22" i="66" s="1"/>
  <c r="H36" i="114"/>
  <c r="I36" i="114" s="1"/>
  <c r="D40" i="114"/>
  <c r="G25" i="80"/>
  <c r="H21" i="80"/>
  <c r="H14" i="69"/>
  <c r="I14" i="69" s="1"/>
  <c r="H27" i="66"/>
  <c r="I27" i="66" s="1"/>
  <c r="H20" i="66"/>
  <c r="I20" i="66" s="1"/>
  <c r="H18" i="116"/>
  <c r="I18" i="116" s="1"/>
  <c r="D27" i="77"/>
  <c r="H27" i="114"/>
  <c r="I27" i="114" s="1"/>
  <c r="G23" i="71"/>
  <c r="D29" i="117"/>
  <c r="D30" i="117"/>
  <c r="G32" i="71"/>
  <c r="H28" i="71"/>
  <c r="I28" i="71" s="1"/>
  <c r="D40" i="115"/>
  <c r="H22" i="77"/>
  <c r="I22" i="77" s="1"/>
  <c r="H38" i="117"/>
  <c r="I38" i="117" s="1"/>
  <c r="H28" i="80"/>
  <c r="I28" i="80" s="1"/>
  <c r="H32" i="113"/>
  <c r="I32" i="113" s="1"/>
  <c r="D33" i="114"/>
  <c r="H32" i="115"/>
  <c r="I32" i="115" s="1"/>
  <c r="H31" i="113"/>
  <c r="I31" i="113" s="1"/>
  <c r="D33" i="113"/>
  <c r="G40" i="117"/>
  <c r="H36" i="117"/>
  <c r="I36" i="117" s="1"/>
  <c r="G23" i="74"/>
  <c r="G40" i="114"/>
  <c r="H27" i="69"/>
  <c r="I27" i="69" s="1"/>
  <c r="H24" i="63" l="1"/>
  <c r="I24" i="63" s="1"/>
  <c r="D32" i="63"/>
  <c r="G42" i="116"/>
  <c r="D25" i="69"/>
  <c r="G47" i="115"/>
  <c r="D25" i="63"/>
  <c r="G32" i="63"/>
  <c r="D32" i="66"/>
  <c r="D32" i="69"/>
  <c r="D35" i="113"/>
  <c r="D42" i="114"/>
  <c r="H40" i="117"/>
  <c r="I40" i="117" s="1"/>
  <c r="D34" i="115"/>
  <c r="H24" i="69"/>
  <c r="I24" i="69" s="1"/>
  <c r="D47" i="114"/>
  <c r="D34" i="117"/>
  <c r="G42" i="117"/>
  <c r="D35" i="114"/>
  <c r="D35" i="117"/>
  <c r="D34" i="114"/>
  <c r="D47" i="115"/>
  <c r="G42" i="115"/>
  <c r="G42" i="113"/>
  <c r="D34" i="116"/>
  <c r="D33" i="80"/>
  <c r="D34" i="80" s="1"/>
  <c r="G27" i="71"/>
  <c r="H23" i="71"/>
  <c r="H24" i="66"/>
  <c r="I24" i="66" s="1"/>
  <c r="H15" i="71"/>
  <c r="I15" i="71" s="1"/>
  <c r="G34" i="71"/>
  <c r="G37" i="71" s="1"/>
  <c r="H33" i="117"/>
  <c r="I33" i="117" s="1"/>
  <c r="H40" i="115"/>
  <c r="I40" i="115" s="1"/>
  <c r="F45" i="7"/>
  <c r="I21" i="80"/>
  <c r="H30" i="113"/>
  <c r="I30" i="113" s="1"/>
  <c r="G35" i="113"/>
  <c r="F39" i="7"/>
  <c r="I19" i="69"/>
  <c r="H33" i="116"/>
  <c r="I33" i="116" s="1"/>
  <c r="D42" i="116"/>
  <c r="D35" i="77"/>
  <c r="D36" i="77" s="1"/>
  <c r="D35" i="115"/>
  <c r="D42" i="115"/>
  <c r="H30" i="66"/>
  <c r="I30" i="66" s="1"/>
  <c r="I19" i="66"/>
  <c r="F36" i="7"/>
  <c r="H25" i="80"/>
  <c r="I25" i="80" s="1"/>
  <c r="D34" i="113"/>
  <c r="F24" i="7"/>
  <c r="I25" i="116"/>
  <c r="G24" i="7" s="1"/>
  <c r="H29" i="113"/>
  <c r="I29" i="113" s="1"/>
  <c r="G34" i="113"/>
  <c r="D25" i="66"/>
  <c r="D35" i="71"/>
  <c r="D36" i="71" s="1"/>
  <c r="D42" i="113"/>
  <c r="H15" i="80"/>
  <c r="I15" i="80" s="1"/>
  <c r="G32" i="80"/>
  <c r="G35" i="80" s="1"/>
  <c r="H30" i="80"/>
  <c r="I30" i="80" s="1"/>
  <c r="H21" i="66"/>
  <c r="I21" i="66" s="1"/>
  <c r="G25" i="66"/>
  <c r="H30" i="63"/>
  <c r="I30" i="63" s="1"/>
  <c r="H33" i="114"/>
  <c r="I33" i="114" s="1"/>
  <c r="H32" i="71"/>
  <c r="I32" i="71" s="1"/>
  <c r="H30" i="116"/>
  <c r="I30" i="116" s="1"/>
  <c r="G35" i="116"/>
  <c r="F8" i="7"/>
  <c r="I25" i="113"/>
  <c r="G8" i="7" s="1"/>
  <c r="H15" i="77"/>
  <c r="I15" i="77" s="1"/>
  <c r="F33" i="7"/>
  <c r="I19" i="63"/>
  <c r="D47" i="113"/>
  <c r="H29" i="117"/>
  <c r="I29" i="117" s="1"/>
  <c r="G34" i="117"/>
  <c r="H40" i="114"/>
  <c r="I40" i="114" s="1"/>
  <c r="H40" i="113"/>
  <c r="I40" i="113" s="1"/>
  <c r="H29" i="115"/>
  <c r="I29" i="115" s="1"/>
  <c r="G34" i="115"/>
  <c r="H21" i="69"/>
  <c r="I21" i="69" s="1"/>
  <c r="G25" i="69"/>
  <c r="G47" i="117"/>
  <c r="G50" i="117" s="1"/>
  <c r="G47" i="113"/>
  <c r="G50" i="113" s="1"/>
  <c r="G34" i="116"/>
  <c r="H29" i="116"/>
  <c r="I29" i="116" s="1"/>
  <c r="D47" i="116"/>
  <c r="G25" i="63"/>
  <c r="H21" i="63"/>
  <c r="I21" i="63" s="1"/>
  <c r="G35" i="117"/>
  <c r="H30" i="117"/>
  <c r="I30" i="117" s="1"/>
  <c r="G27" i="74"/>
  <c r="H23" i="74"/>
  <c r="H40" i="116"/>
  <c r="I40" i="116" s="1"/>
  <c r="G32" i="66"/>
  <c r="G35" i="66" s="1"/>
  <c r="D42" i="117"/>
  <c r="H30" i="69"/>
  <c r="I30" i="69" s="1"/>
  <c r="H32" i="74"/>
  <c r="I32" i="74" s="1"/>
  <c r="D35" i="116"/>
  <c r="F20" i="7"/>
  <c r="I25" i="117"/>
  <c r="G20" i="7" s="1"/>
  <c r="G35" i="115"/>
  <c r="H30" i="115"/>
  <c r="I30" i="115" s="1"/>
  <c r="H15" i="74"/>
  <c r="I15" i="74" s="1"/>
  <c r="G34" i="74"/>
  <c r="G37" i="74" s="1"/>
  <c r="H33" i="113"/>
  <c r="I33" i="113" s="1"/>
  <c r="H33" i="115"/>
  <c r="I33" i="115" s="1"/>
  <c r="D35" i="74"/>
  <c r="D36" i="74" s="1"/>
  <c r="G47" i="116"/>
  <c r="G50" i="116" s="1"/>
  <c r="G32" i="69"/>
  <c r="G35" i="69" s="1"/>
  <c r="F16" i="7"/>
  <c r="I25" i="115"/>
  <c r="G16" i="7" s="1"/>
  <c r="H32" i="77"/>
  <c r="I32" i="77" s="1"/>
  <c r="D47" i="117"/>
  <c r="D48" i="117" l="1"/>
  <c r="D49" i="117" s="1"/>
  <c r="D50" i="117"/>
  <c r="D48" i="113"/>
  <c r="D49" i="113" s="1"/>
  <c r="D50" i="113"/>
  <c r="D43" i="113"/>
  <c r="D44" i="113" s="1"/>
  <c r="D45" i="113"/>
  <c r="D43" i="115"/>
  <c r="D44" i="115" s="1"/>
  <c r="D45" i="115"/>
  <c r="G43" i="113"/>
  <c r="G44" i="113" s="1"/>
  <c r="G45" i="113"/>
  <c r="D43" i="114"/>
  <c r="D44" i="114" s="1"/>
  <c r="D45" i="114"/>
  <c r="G43" i="116"/>
  <c r="G44" i="116" s="1"/>
  <c r="G45" i="116"/>
  <c r="D33" i="63"/>
  <c r="D34" i="63" s="1"/>
  <c r="H34" i="63" s="1"/>
  <c r="I34" i="63" s="1"/>
  <c r="D35" i="63"/>
  <c r="D48" i="116"/>
  <c r="D49" i="116" s="1"/>
  <c r="D50" i="116"/>
  <c r="D43" i="116"/>
  <c r="D44" i="116" s="1"/>
  <c r="D45" i="116"/>
  <c r="D33" i="66"/>
  <c r="D34" i="66" s="1"/>
  <c r="D35" i="66"/>
  <c r="D36" i="66" s="1"/>
  <c r="E36" i="7" s="1"/>
  <c r="D48" i="114"/>
  <c r="D49" i="114" s="1"/>
  <c r="D50" i="114"/>
  <c r="G33" i="63"/>
  <c r="G34" i="63" s="1"/>
  <c r="G35" i="63"/>
  <c r="G43" i="115"/>
  <c r="G45" i="115"/>
  <c r="D43" i="117"/>
  <c r="D44" i="117" s="1"/>
  <c r="D45" i="117"/>
  <c r="D48" i="115"/>
  <c r="D49" i="115" s="1"/>
  <c r="D50" i="115"/>
  <c r="G43" i="117"/>
  <c r="G45" i="117"/>
  <c r="D33" i="69"/>
  <c r="D34" i="69" s="1"/>
  <c r="D35" i="69"/>
  <c r="G48" i="115"/>
  <c r="G49" i="115" s="1"/>
  <c r="G50" i="115"/>
  <c r="H32" i="63"/>
  <c r="I32" i="63" s="1"/>
  <c r="H42" i="115"/>
  <c r="I42" i="115" s="1"/>
  <c r="H47" i="115"/>
  <c r="I47" i="115" s="1"/>
  <c r="H42" i="117"/>
  <c r="I42" i="117" s="1"/>
  <c r="H42" i="113"/>
  <c r="I42" i="113" s="1"/>
  <c r="D36" i="80"/>
  <c r="E45" i="7" s="1"/>
  <c r="D38" i="71"/>
  <c r="E27" i="7" s="1"/>
  <c r="H47" i="116"/>
  <c r="I47" i="116" s="1"/>
  <c r="G48" i="116"/>
  <c r="G49" i="116" s="1"/>
  <c r="G45" i="7"/>
  <c r="H32" i="80"/>
  <c r="I32" i="80" s="1"/>
  <c r="G33" i="80"/>
  <c r="G34" i="80" s="1"/>
  <c r="H34" i="113"/>
  <c r="I34" i="113" s="1"/>
  <c r="H34" i="74"/>
  <c r="I34" i="74" s="1"/>
  <c r="G35" i="74"/>
  <c r="H35" i="115"/>
  <c r="I35" i="115" s="1"/>
  <c r="G44" i="115"/>
  <c r="H25" i="69"/>
  <c r="I25" i="69" s="1"/>
  <c r="G36" i="7"/>
  <c r="G39" i="7"/>
  <c r="H42" i="116"/>
  <c r="I42" i="116" s="1"/>
  <c r="I23" i="71"/>
  <c r="F27" i="7"/>
  <c r="D38" i="77"/>
  <c r="E42" i="7" s="1"/>
  <c r="H27" i="71"/>
  <c r="I27" i="71" s="1"/>
  <c r="F30" i="7"/>
  <c r="I23" i="74"/>
  <c r="H34" i="116"/>
  <c r="I34" i="116" s="1"/>
  <c r="H25" i="66"/>
  <c r="I25" i="66" s="1"/>
  <c r="D38" i="74"/>
  <c r="E30" i="7" s="1"/>
  <c r="G44" i="117"/>
  <c r="H27" i="74"/>
  <c r="I27" i="74" s="1"/>
  <c r="H47" i="113"/>
  <c r="I47" i="113" s="1"/>
  <c r="G48" i="113"/>
  <c r="G35" i="71"/>
  <c r="H34" i="71"/>
  <c r="I34" i="71" s="1"/>
  <c r="H34" i="117"/>
  <c r="I34" i="117" s="1"/>
  <c r="H35" i="117"/>
  <c r="I35" i="117" s="1"/>
  <c r="H34" i="115"/>
  <c r="I34" i="115" s="1"/>
  <c r="G33" i="7"/>
  <c r="H35" i="113"/>
  <c r="I35" i="113" s="1"/>
  <c r="G48" i="117"/>
  <c r="H47" i="117"/>
  <c r="I47" i="117" s="1"/>
  <c r="H25" i="63"/>
  <c r="I25" i="63" s="1"/>
  <c r="G33" i="69"/>
  <c r="H32" i="69"/>
  <c r="I32" i="69" s="1"/>
  <c r="G33" i="66"/>
  <c r="H32" i="66"/>
  <c r="I32" i="66" s="1"/>
  <c r="H35" i="116"/>
  <c r="I35" i="116" s="1"/>
  <c r="H43" i="113"/>
  <c r="I43" i="113" s="1"/>
  <c r="D36" i="69" l="1"/>
  <c r="E39" i="7" s="1"/>
  <c r="H45" i="113"/>
  <c r="I45" i="113" s="1"/>
  <c r="D51" i="116"/>
  <c r="E24" i="7" s="1"/>
  <c r="H49" i="115"/>
  <c r="I49" i="115" s="1"/>
  <c r="H48" i="115"/>
  <c r="I48" i="115" s="1"/>
  <c r="D36" i="63"/>
  <c r="E33" i="7" s="1"/>
  <c r="H43" i="115"/>
  <c r="I43" i="115" s="1"/>
  <c r="D46" i="113"/>
  <c r="H43" i="117"/>
  <c r="I43" i="117" s="1"/>
  <c r="H44" i="113"/>
  <c r="I44" i="113" s="1"/>
  <c r="D46" i="117"/>
  <c r="D51" i="115"/>
  <c r="E16" i="7" s="1"/>
  <c r="D51" i="114"/>
  <c r="E12" i="7" s="1"/>
  <c r="D46" i="114"/>
  <c r="D46" i="115"/>
  <c r="D51" i="113"/>
  <c r="E8" i="7" s="1"/>
  <c r="H43" i="116"/>
  <c r="I43" i="116" s="1"/>
  <c r="H33" i="63"/>
  <c r="I33" i="63" s="1"/>
  <c r="D46" i="116"/>
  <c r="D51" i="117"/>
  <c r="E20" i="7" s="1"/>
  <c r="H49" i="116"/>
  <c r="I49" i="116" s="1"/>
  <c r="G51" i="116"/>
  <c r="G46" i="117"/>
  <c r="H44" i="117"/>
  <c r="I44" i="117" s="1"/>
  <c r="H35" i="71"/>
  <c r="I35" i="71" s="1"/>
  <c r="G27" i="7"/>
  <c r="G51" i="115"/>
  <c r="K50" i="115" s="1"/>
  <c r="H50" i="115"/>
  <c r="I50" i="115" s="1"/>
  <c r="H33" i="80"/>
  <c r="I33" i="80" s="1"/>
  <c r="G36" i="71"/>
  <c r="G34" i="66"/>
  <c r="H33" i="66"/>
  <c r="I33" i="66" s="1"/>
  <c r="G49" i="117"/>
  <c r="H48" i="117"/>
  <c r="I48" i="117" s="1"/>
  <c r="G46" i="113"/>
  <c r="G36" i="63"/>
  <c r="H35" i="63"/>
  <c r="I35" i="63" s="1"/>
  <c r="G30" i="7"/>
  <c r="H44" i="116"/>
  <c r="I44" i="116" s="1"/>
  <c r="G36" i="74"/>
  <c r="H35" i="74"/>
  <c r="I35" i="74" s="1"/>
  <c r="H34" i="80"/>
  <c r="I34" i="80" s="1"/>
  <c r="H48" i="116"/>
  <c r="I48" i="116" s="1"/>
  <c r="G34" i="69"/>
  <c r="H33" i="69"/>
  <c r="I33" i="69" s="1"/>
  <c r="G49" i="113"/>
  <c r="H48" i="113"/>
  <c r="I48" i="113" s="1"/>
  <c r="H44" i="115"/>
  <c r="I44" i="115" s="1"/>
  <c r="J34" i="63" l="1"/>
  <c r="J29" i="63"/>
  <c r="H36" i="63"/>
  <c r="J36" i="63"/>
  <c r="J15" i="63"/>
  <c r="J16" i="63"/>
  <c r="J18" i="63"/>
  <c r="J31" i="63"/>
  <c r="J13" i="63"/>
  <c r="J12" i="63"/>
  <c r="J17" i="63"/>
  <c r="J14" i="63"/>
  <c r="J27" i="63"/>
  <c r="J28" i="63"/>
  <c r="J26" i="63"/>
  <c r="J23" i="63"/>
  <c r="J19" i="63"/>
  <c r="J20" i="63"/>
  <c r="J22" i="63"/>
  <c r="J32" i="63"/>
  <c r="J21" i="63"/>
  <c r="J30" i="63"/>
  <c r="J24" i="63"/>
  <c r="J25" i="63"/>
  <c r="J33" i="63"/>
  <c r="J19" i="117"/>
  <c r="J46" i="117"/>
  <c r="J20" i="117"/>
  <c r="H46" i="117"/>
  <c r="I46" i="117" s="1"/>
  <c r="J21" i="117"/>
  <c r="J39" i="117"/>
  <c r="J26" i="117"/>
  <c r="J13" i="117"/>
  <c r="J22" i="117"/>
  <c r="J23" i="117"/>
  <c r="J41" i="117"/>
  <c r="J24" i="117"/>
  <c r="J12" i="117"/>
  <c r="J37" i="117"/>
  <c r="J14" i="117"/>
  <c r="J31" i="117"/>
  <c r="J38" i="117"/>
  <c r="J32" i="117"/>
  <c r="J28" i="117"/>
  <c r="J36" i="117"/>
  <c r="J25" i="117"/>
  <c r="J27" i="117"/>
  <c r="J18" i="117"/>
  <c r="J33" i="117"/>
  <c r="J40" i="117"/>
  <c r="J29" i="117"/>
  <c r="J42" i="117"/>
  <c r="J30" i="117"/>
  <c r="J43" i="117"/>
  <c r="J35" i="117"/>
  <c r="J34" i="117"/>
  <c r="K51" i="116"/>
  <c r="K26" i="116"/>
  <c r="K20" i="116"/>
  <c r="K39" i="116"/>
  <c r="K21" i="116"/>
  <c r="K19" i="116"/>
  <c r="H51" i="116"/>
  <c r="K22" i="116"/>
  <c r="K23" i="116"/>
  <c r="K15" i="116"/>
  <c r="K24" i="116"/>
  <c r="K17" i="116"/>
  <c r="K41" i="116"/>
  <c r="K16" i="116"/>
  <c r="K36" i="116"/>
  <c r="K31" i="116"/>
  <c r="K38" i="116"/>
  <c r="K25" i="116"/>
  <c r="K32" i="116"/>
  <c r="K37" i="116"/>
  <c r="K18" i="116"/>
  <c r="K27" i="116"/>
  <c r="K28" i="116"/>
  <c r="K33" i="116"/>
  <c r="K30" i="116"/>
  <c r="K29" i="116"/>
  <c r="K40" i="116"/>
  <c r="K47" i="116"/>
  <c r="K35" i="116"/>
  <c r="K34" i="116"/>
  <c r="H45" i="116"/>
  <c r="I45" i="116" s="1"/>
  <c r="J45" i="113"/>
  <c r="J26" i="113"/>
  <c r="J20" i="113"/>
  <c r="H46" i="113"/>
  <c r="I46" i="113" s="1"/>
  <c r="J19" i="113"/>
  <c r="J39" i="113"/>
  <c r="J21" i="113"/>
  <c r="J46" i="113"/>
  <c r="J22" i="113"/>
  <c r="J24" i="113"/>
  <c r="J23" i="113"/>
  <c r="J41" i="113"/>
  <c r="J13" i="113"/>
  <c r="J12" i="113"/>
  <c r="J31" i="113"/>
  <c r="J27" i="113"/>
  <c r="J28" i="113"/>
  <c r="J36" i="113"/>
  <c r="J32" i="113"/>
  <c r="J37" i="113"/>
  <c r="J25" i="113"/>
  <c r="J38" i="113"/>
  <c r="J14" i="113"/>
  <c r="J18" i="113"/>
  <c r="J29" i="113"/>
  <c r="J33" i="113"/>
  <c r="J42" i="113"/>
  <c r="J30" i="113"/>
  <c r="J40" i="113"/>
  <c r="J35" i="113"/>
  <c r="J34" i="113"/>
  <c r="J44" i="113"/>
  <c r="J43" i="113"/>
  <c r="H50" i="116"/>
  <c r="I50" i="116" s="1"/>
  <c r="K50" i="116"/>
  <c r="H34" i="69"/>
  <c r="I34" i="69" s="1"/>
  <c r="G36" i="69"/>
  <c r="H51" i="115"/>
  <c r="K19" i="115"/>
  <c r="K20" i="115"/>
  <c r="K26" i="115"/>
  <c r="K51" i="115"/>
  <c r="K21" i="115"/>
  <c r="K39" i="115"/>
  <c r="K23" i="115"/>
  <c r="K41" i="115"/>
  <c r="K24" i="115"/>
  <c r="K22" i="115"/>
  <c r="K15" i="115"/>
  <c r="K17" i="115"/>
  <c r="K16" i="115"/>
  <c r="K36" i="115"/>
  <c r="K31" i="115"/>
  <c r="K27" i="115"/>
  <c r="K25" i="115"/>
  <c r="K38" i="115"/>
  <c r="K32" i="115"/>
  <c r="K28" i="115"/>
  <c r="K18" i="115"/>
  <c r="K37" i="115"/>
  <c r="K30" i="115"/>
  <c r="K47" i="115"/>
  <c r="K29" i="115"/>
  <c r="K40" i="115"/>
  <c r="K33" i="115"/>
  <c r="K49" i="115"/>
  <c r="K48" i="115"/>
  <c r="K35" i="115"/>
  <c r="K34" i="115"/>
  <c r="H45" i="117"/>
  <c r="I45" i="117" s="1"/>
  <c r="J45" i="117"/>
  <c r="G46" i="115"/>
  <c r="J45" i="115" s="1"/>
  <c r="H45" i="115"/>
  <c r="I45" i="115" s="1"/>
  <c r="K48" i="116"/>
  <c r="H49" i="117"/>
  <c r="I49" i="117" s="1"/>
  <c r="G51" i="117"/>
  <c r="K49" i="117" s="1"/>
  <c r="G38" i="74"/>
  <c r="J36" i="74" s="1"/>
  <c r="H36" i="74"/>
  <c r="I36" i="74" s="1"/>
  <c r="H36" i="71"/>
  <c r="I36" i="71" s="1"/>
  <c r="G38" i="71"/>
  <c r="J36" i="71" s="1"/>
  <c r="G51" i="113"/>
  <c r="H49" i="113"/>
  <c r="I49" i="113" s="1"/>
  <c r="G46" i="116"/>
  <c r="J45" i="116" s="1"/>
  <c r="J35" i="63"/>
  <c r="H34" i="66"/>
  <c r="I34" i="66" s="1"/>
  <c r="H35" i="66"/>
  <c r="I35" i="66" s="1"/>
  <c r="J44" i="117"/>
  <c r="K49" i="116"/>
  <c r="G36" i="80"/>
  <c r="J35" i="80" s="1"/>
  <c r="H35" i="80"/>
  <c r="I35" i="80" s="1"/>
  <c r="K26" i="113" l="1"/>
  <c r="K20" i="113"/>
  <c r="H51" i="113"/>
  <c r="K51" i="113"/>
  <c r="K21" i="113"/>
  <c r="K19" i="113"/>
  <c r="K39" i="113"/>
  <c r="K23" i="113"/>
  <c r="K41" i="113"/>
  <c r="K24" i="113"/>
  <c r="K17" i="113"/>
  <c r="K22" i="113"/>
  <c r="K15" i="113"/>
  <c r="K16" i="113"/>
  <c r="K28" i="113"/>
  <c r="K36" i="113"/>
  <c r="K37" i="113"/>
  <c r="K27" i="113"/>
  <c r="K32" i="113"/>
  <c r="K25" i="113"/>
  <c r="K38" i="113"/>
  <c r="K31" i="113"/>
  <c r="K18" i="113"/>
  <c r="K33" i="113"/>
  <c r="K29" i="113"/>
  <c r="K30" i="113"/>
  <c r="K40" i="113"/>
  <c r="K47" i="113"/>
  <c r="K35" i="113"/>
  <c r="K34" i="113"/>
  <c r="K48" i="113"/>
  <c r="K49" i="113"/>
  <c r="J36" i="80"/>
  <c r="J29" i="80"/>
  <c r="J17" i="80"/>
  <c r="J14" i="80"/>
  <c r="H36" i="80"/>
  <c r="J16" i="80"/>
  <c r="J22" i="80"/>
  <c r="J19" i="80"/>
  <c r="J18" i="80"/>
  <c r="J31" i="80"/>
  <c r="J23" i="80"/>
  <c r="J21" i="80"/>
  <c r="J20" i="80"/>
  <c r="J28" i="80"/>
  <c r="J24" i="80"/>
  <c r="J27" i="80"/>
  <c r="J26" i="80"/>
  <c r="J13" i="80"/>
  <c r="J25" i="80"/>
  <c r="J30" i="80"/>
  <c r="J15" i="80"/>
  <c r="J32" i="80"/>
  <c r="J33" i="80"/>
  <c r="J34" i="80"/>
  <c r="J35" i="116"/>
  <c r="J20" i="116"/>
  <c r="J46" i="116"/>
  <c r="J19" i="116"/>
  <c r="J39" i="116"/>
  <c r="J26" i="116"/>
  <c r="J21" i="116"/>
  <c r="H46" i="116"/>
  <c r="I46" i="116" s="1"/>
  <c r="J13" i="116"/>
  <c r="J24" i="116"/>
  <c r="J23" i="116"/>
  <c r="J41" i="116"/>
  <c r="J12" i="116"/>
  <c r="J22" i="116"/>
  <c r="J14" i="116"/>
  <c r="J25" i="116"/>
  <c r="J32" i="116"/>
  <c r="J37" i="116"/>
  <c r="J18" i="116"/>
  <c r="J31" i="116"/>
  <c r="J27" i="116"/>
  <c r="J28" i="116"/>
  <c r="J36" i="116"/>
  <c r="J38" i="116"/>
  <c r="J33" i="116"/>
  <c r="J40" i="116"/>
  <c r="J30" i="116"/>
  <c r="J29" i="116"/>
  <c r="J42" i="116"/>
  <c r="J43" i="116"/>
  <c r="J34" i="116"/>
  <c r="J44" i="116"/>
  <c r="J31" i="71"/>
  <c r="J14" i="71"/>
  <c r="J16" i="71"/>
  <c r="H38" i="71"/>
  <c r="J19" i="71"/>
  <c r="J17" i="71"/>
  <c r="J18" i="71"/>
  <c r="J38" i="71"/>
  <c r="J20" i="71"/>
  <c r="J21" i="71"/>
  <c r="J33" i="71"/>
  <c r="J24" i="71"/>
  <c r="J25" i="71"/>
  <c r="J13" i="71"/>
  <c r="J29" i="71"/>
  <c r="J28" i="71"/>
  <c r="J30" i="71"/>
  <c r="J26" i="71"/>
  <c r="J22" i="71"/>
  <c r="J15" i="71"/>
  <c r="J23" i="71"/>
  <c r="J32" i="71"/>
  <c r="J34" i="71"/>
  <c r="J27" i="71"/>
  <c r="J35" i="71"/>
  <c r="K17" i="117"/>
  <c r="K39" i="117"/>
  <c r="K26" i="117"/>
  <c r="K51" i="117"/>
  <c r="H51" i="117"/>
  <c r="K19" i="117"/>
  <c r="K21" i="117"/>
  <c r="K20" i="117"/>
  <c r="K23" i="117"/>
  <c r="K24" i="117"/>
  <c r="K22" i="117"/>
  <c r="K16" i="117"/>
  <c r="K41" i="117"/>
  <c r="K15" i="117"/>
  <c r="K37" i="117"/>
  <c r="K38" i="117"/>
  <c r="K28" i="117"/>
  <c r="K31" i="117"/>
  <c r="K36" i="117"/>
  <c r="K18" i="117"/>
  <c r="K27" i="117"/>
  <c r="K25" i="117"/>
  <c r="K32" i="117"/>
  <c r="K29" i="117"/>
  <c r="K33" i="117"/>
  <c r="K40" i="117"/>
  <c r="K30" i="117"/>
  <c r="K34" i="117"/>
  <c r="K35" i="117"/>
  <c r="K47" i="117"/>
  <c r="K48" i="117"/>
  <c r="H24" i="7"/>
  <c r="I51" i="116"/>
  <c r="I24" i="7" s="1"/>
  <c r="H37" i="71"/>
  <c r="I37" i="71" s="1"/>
  <c r="J37" i="71"/>
  <c r="H50" i="117"/>
  <c r="I50" i="117" s="1"/>
  <c r="K50" i="117"/>
  <c r="J34" i="69"/>
  <c r="J29" i="69"/>
  <c r="J36" i="69"/>
  <c r="H36" i="69"/>
  <c r="J15" i="69"/>
  <c r="J16" i="69"/>
  <c r="J31" i="69"/>
  <c r="J12" i="69"/>
  <c r="J17" i="69"/>
  <c r="J18" i="69"/>
  <c r="J13" i="69"/>
  <c r="J28" i="69"/>
  <c r="J19" i="69"/>
  <c r="J14" i="69"/>
  <c r="J23" i="69"/>
  <c r="J26" i="69"/>
  <c r="J27" i="69"/>
  <c r="J22" i="69"/>
  <c r="J20" i="69"/>
  <c r="J21" i="69"/>
  <c r="J30" i="69"/>
  <c r="J24" i="69"/>
  <c r="J25" i="69"/>
  <c r="J32" i="69"/>
  <c r="J33" i="69"/>
  <c r="H35" i="69"/>
  <c r="I35" i="69" s="1"/>
  <c r="J35" i="69"/>
  <c r="G36" i="66"/>
  <c r="H50" i="113"/>
  <c r="I50" i="113" s="1"/>
  <c r="K50" i="113"/>
  <c r="J38" i="74"/>
  <c r="J14" i="74"/>
  <c r="J16" i="74"/>
  <c r="J19" i="74"/>
  <c r="H38" i="74"/>
  <c r="J18" i="74"/>
  <c r="J17" i="74"/>
  <c r="J31" i="74"/>
  <c r="J33" i="74"/>
  <c r="J20" i="74"/>
  <c r="J25" i="74"/>
  <c r="J21" i="74"/>
  <c r="J24" i="74"/>
  <c r="J13" i="74"/>
  <c r="J26" i="74"/>
  <c r="J30" i="74"/>
  <c r="J28" i="74"/>
  <c r="J29" i="74"/>
  <c r="J22" i="74"/>
  <c r="J32" i="74"/>
  <c r="J23" i="74"/>
  <c r="J15" i="74"/>
  <c r="J34" i="74"/>
  <c r="J27" i="74"/>
  <c r="J35" i="74"/>
  <c r="I51" i="115"/>
  <c r="I16" i="7" s="1"/>
  <c r="H16" i="7"/>
  <c r="I36" i="63"/>
  <c r="H33" i="7"/>
  <c r="H37" i="74"/>
  <c r="I37" i="74" s="1"/>
  <c r="J37" i="74"/>
  <c r="J35" i="115"/>
  <c r="J21" i="115"/>
  <c r="J26" i="115"/>
  <c r="J20" i="115"/>
  <c r="J46" i="115"/>
  <c r="J19" i="115"/>
  <c r="J39" i="115"/>
  <c r="H46" i="115"/>
  <c r="I46" i="115" s="1"/>
  <c r="J41" i="115"/>
  <c r="J13" i="115"/>
  <c r="J24" i="115"/>
  <c r="J22" i="115"/>
  <c r="J23" i="115"/>
  <c r="J12" i="115"/>
  <c r="J14" i="115"/>
  <c r="J32" i="115"/>
  <c r="J27" i="115"/>
  <c r="J25" i="115"/>
  <c r="J28" i="115"/>
  <c r="J31" i="115"/>
  <c r="J18" i="115"/>
  <c r="J37" i="115"/>
  <c r="J38" i="115"/>
  <c r="J36" i="115"/>
  <c r="J29" i="115"/>
  <c r="J40" i="115"/>
  <c r="J33" i="115"/>
  <c r="J42" i="115"/>
  <c r="J30" i="115"/>
  <c r="J43" i="115"/>
  <c r="J34" i="115"/>
  <c r="J44" i="115"/>
  <c r="H45" i="7" l="1"/>
  <c r="I36" i="80"/>
  <c r="H27" i="7"/>
  <c r="I38" i="71"/>
  <c r="J35" i="66"/>
  <c r="J36" i="66"/>
  <c r="J29" i="66"/>
  <c r="H36" i="66"/>
  <c r="J16" i="66"/>
  <c r="J15" i="66"/>
  <c r="J12" i="66"/>
  <c r="J13" i="66"/>
  <c r="J31" i="66"/>
  <c r="J18" i="66"/>
  <c r="J17" i="66"/>
  <c r="J22" i="66"/>
  <c r="J28" i="66"/>
  <c r="J14" i="66"/>
  <c r="J26" i="66"/>
  <c r="J23" i="66"/>
  <c r="J27" i="66"/>
  <c r="J20" i="66"/>
  <c r="J19" i="66"/>
  <c r="J24" i="66"/>
  <c r="J30" i="66"/>
  <c r="J21" i="66"/>
  <c r="J25" i="66"/>
  <c r="J32" i="66"/>
  <c r="J33" i="66"/>
  <c r="J34" i="66"/>
  <c r="H39" i="7"/>
  <c r="I36" i="69"/>
  <c r="H8" i="7"/>
  <c r="I51" i="113"/>
  <c r="I8" i="7" s="1"/>
  <c r="H20" i="7"/>
  <c r="I51" i="117"/>
  <c r="I20" i="7" s="1"/>
  <c r="H30" i="7"/>
  <c r="I38" i="74"/>
  <c r="I33" i="7"/>
  <c r="I27" i="7" l="1"/>
  <c r="H36" i="7"/>
  <c r="I36" i="66"/>
  <c r="I30" i="7"/>
  <c r="I39" i="7"/>
  <c r="I45" i="7"/>
  <c r="I36" i="7" l="1"/>
  <c r="F20" i="77" l="1"/>
  <c r="G20" i="77" s="1"/>
  <c r="F20" i="78"/>
  <c r="G20" i="78" s="1"/>
  <c r="F20" i="76"/>
  <c r="G20" i="76" s="1"/>
  <c r="H20" i="76" l="1"/>
  <c r="I20" i="76" s="1"/>
  <c r="G23" i="76"/>
  <c r="H20" i="78"/>
  <c r="I20" i="78" s="1"/>
  <c r="G23" i="78"/>
  <c r="H20" i="77"/>
  <c r="I20" i="77" s="1"/>
  <c r="G23" i="77"/>
  <c r="H23" i="78" l="1"/>
  <c r="G27" i="78"/>
  <c r="G34" i="78"/>
  <c r="G37" i="78" s="1"/>
  <c r="G27" i="76"/>
  <c r="H23" i="76"/>
  <c r="G34" i="76"/>
  <c r="G37" i="76" s="1"/>
  <c r="G27" i="77"/>
  <c r="H23" i="77"/>
  <c r="G34" i="77"/>
  <c r="G37" i="77" s="1"/>
  <c r="H34" i="78" l="1"/>
  <c r="I34" i="78" s="1"/>
  <c r="G35" i="78"/>
  <c r="G36" i="78" s="1"/>
  <c r="H27" i="78"/>
  <c r="I27" i="78" s="1"/>
  <c r="F41" i="7"/>
  <c r="I23" i="76"/>
  <c r="I23" i="78"/>
  <c r="F43" i="7"/>
  <c r="G35" i="77"/>
  <c r="H34" i="77"/>
  <c r="I34" i="77" s="1"/>
  <c r="H27" i="76"/>
  <c r="I27" i="76" s="1"/>
  <c r="H34" i="76"/>
  <c r="I34" i="76" s="1"/>
  <c r="G35" i="76"/>
  <c r="G36" i="76" s="1"/>
  <c r="F42" i="7"/>
  <c r="I23" i="77"/>
  <c r="H27" i="77"/>
  <c r="I27" i="77" s="1"/>
  <c r="G43" i="7" l="1"/>
  <c r="H35" i="76"/>
  <c r="I35" i="76" s="1"/>
  <c r="G38" i="78"/>
  <c r="H36" i="78"/>
  <c r="I36" i="78" s="1"/>
  <c r="G36" i="77"/>
  <c r="H35" i="77"/>
  <c r="I35" i="77" s="1"/>
  <c r="H35" i="78"/>
  <c r="I35" i="78" s="1"/>
  <c r="H36" i="76"/>
  <c r="I36" i="76" s="1"/>
  <c r="H37" i="76"/>
  <c r="I37" i="76" s="1"/>
  <c r="G42" i="7"/>
  <c r="G41" i="7"/>
  <c r="G38" i="76" l="1"/>
  <c r="J33" i="76" s="1"/>
  <c r="J36" i="78"/>
  <c r="J35" i="78"/>
  <c r="H37" i="78"/>
  <c r="I37" i="78" s="1"/>
  <c r="J37" i="78"/>
  <c r="J15" i="78"/>
  <c r="J28" i="78"/>
  <c r="J24" i="78"/>
  <c r="H38" i="78"/>
  <c r="J32" i="78"/>
  <c r="J17" i="78"/>
  <c r="J30" i="78"/>
  <c r="J18" i="78"/>
  <c r="J14" i="78"/>
  <c r="J25" i="78"/>
  <c r="J38" i="78"/>
  <c r="J26" i="78"/>
  <c r="J16" i="78"/>
  <c r="J33" i="78"/>
  <c r="J13" i="78"/>
  <c r="J29" i="78"/>
  <c r="J22" i="78"/>
  <c r="J21" i="78"/>
  <c r="J19" i="78"/>
  <c r="J31" i="78"/>
  <c r="J20" i="78"/>
  <c r="J23" i="78"/>
  <c r="J27" i="78"/>
  <c r="J34" i="78"/>
  <c r="H36" i="77"/>
  <c r="I36" i="77" s="1"/>
  <c r="J22" i="76" l="1"/>
  <c r="J38" i="76"/>
  <c r="J24" i="76"/>
  <c r="J15" i="76"/>
  <c r="J29" i="76"/>
  <c r="J14" i="76"/>
  <c r="J23" i="76"/>
  <c r="H38" i="76"/>
  <c r="J32" i="76"/>
  <c r="J20" i="76"/>
  <c r="J16" i="76"/>
  <c r="J35" i="76"/>
  <c r="J36" i="76"/>
  <c r="J27" i="76"/>
  <c r="J19" i="76"/>
  <c r="J31" i="76"/>
  <c r="J17" i="76"/>
  <c r="J25" i="76"/>
  <c r="J28" i="76"/>
  <c r="J37" i="76"/>
  <c r="J34" i="76"/>
  <c r="J30" i="76"/>
  <c r="J18" i="76"/>
  <c r="J21" i="76"/>
  <c r="J13" i="76"/>
  <c r="J26" i="76"/>
  <c r="G38" i="77"/>
  <c r="J37" i="77" s="1"/>
  <c r="H37" i="77"/>
  <c r="I37" i="77" s="1"/>
  <c r="H43" i="7"/>
  <c r="I38" i="78"/>
  <c r="H41" i="7" l="1"/>
  <c r="I38" i="76"/>
  <c r="J16" i="77"/>
  <c r="J13" i="77"/>
  <c r="J31" i="77"/>
  <c r="J28" i="77"/>
  <c r="J14" i="77"/>
  <c r="J21" i="77"/>
  <c r="J15" i="77"/>
  <c r="J17" i="77"/>
  <c r="H38" i="77"/>
  <c r="J18" i="77"/>
  <c r="J38" i="77"/>
  <c r="J33" i="77"/>
  <c r="J26" i="77"/>
  <c r="J32" i="77"/>
  <c r="J22" i="77"/>
  <c r="J24" i="77"/>
  <c r="J19" i="77"/>
  <c r="J29" i="77"/>
  <c r="J30" i="77"/>
  <c r="J25" i="77"/>
  <c r="J20" i="77"/>
  <c r="J23" i="77"/>
  <c r="J34" i="77"/>
  <c r="J27" i="77"/>
  <c r="J35" i="77"/>
  <c r="J36" i="77"/>
  <c r="I43" i="7"/>
  <c r="I41" i="7" l="1"/>
  <c r="H42" i="7"/>
  <c r="I38" i="77"/>
  <c r="I42" i="7" l="1"/>
  <c r="Q5" i="3" l="1"/>
  <c r="F19" i="114" l="1"/>
  <c r="G19" i="114" s="1"/>
  <c r="F19" i="51"/>
  <c r="G19" i="51" s="1"/>
  <c r="F19" i="52"/>
  <c r="G19" i="52" s="1"/>
  <c r="F19" i="53"/>
  <c r="G19" i="53" s="1"/>
  <c r="H19" i="52" l="1"/>
  <c r="I19" i="52" s="1"/>
  <c r="G25" i="52"/>
  <c r="H19" i="51"/>
  <c r="I19" i="51" s="1"/>
  <c r="G25" i="51"/>
  <c r="H19" i="53"/>
  <c r="I19" i="53" s="1"/>
  <c r="G25" i="53"/>
  <c r="H19" i="114"/>
  <c r="I19" i="114" s="1"/>
  <c r="G25" i="114"/>
  <c r="G29" i="114" l="1"/>
  <c r="H25" i="114"/>
  <c r="G30" i="114"/>
  <c r="G47" i="114"/>
  <c r="G50" i="114" s="1"/>
  <c r="G42" i="114"/>
  <c r="G45" i="114" s="1"/>
  <c r="G30" i="53"/>
  <c r="G42" i="53"/>
  <c r="G45" i="53" s="1"/>
  <c r="G29" i="53"/>
  <c r="G47" i="53"/>
  <c r="G50" i="53" s="1"/>
  <c r="H25" i="53"/>
  <c r="G47" i="52"/>
  <c r="G50" i="52" s="1"/>
  <c r="G30" i="52"/>
  <c r="G42" i="52"/>
  <c r="G45" i="52" s="1"/>
  <c r="H25" i="52"/>
  <c r="G29" i="52"/>
  <c r="G29" i="51"/>
  <c r="G42" i="51"/>
  <c r="G45" i="51" s="1"/>
  <c r="G30" i="51"/>
  <c r="G47" i="51"/>
  <c r="G50" i="51" s="1"/>
  <c r="H25" i="51"/>
  <c r="H30" i="53" l="1"/>
  <c r="I30" i="53" s="1"/>
  <c r="G35" i="53"/>
  <c r="H29" i="51"/>
  <c r="I29" i="51" s="1"/>
  <c r="G34" i="51"/>
  <c r="F13" i="7"/>
  <c r="I25" i="53"/>
  <c r="G13" i="7" s="1"/>
  <c r="H47" i="114"/>
  <c r="I47" i="114" s="1"/>
  <c r="G48" i="114"/>
  <c r="G49" i="114" s="1"/>
  <c r="H30" i="51"/>
  <c r="I30" i="51" s="1"/>
  <c r="G35" i="51"/>
  <c r="G43" i="51"/>
  <c r="H42" i="51"/>
  <c r="I42" i="51" s="1"/>
  <c r="G34" i="52"/>
  <c r="H29" i="52"/>
  <c r="I29" i="52" s="1"/>
  <c r="G48" i="53"/>
  <c r="G49" i="53" s="1"/>
  <c r="H47" i="53"/>
  <c r="I47" i="53" s="1"/>
  <c r="H30" i="114"/>
  <c r="I30" i="114" s="1"/>
  <c r="G35" i="114"/>
  <c r="G48" i="52"/>
  <c r="G49" i="52" s="1"/>
  <c r="H47" i="52"/>
  <c r="I47" i="52" s="1"/>
  <c r="I25" i="51"/>
  <c r="G10" i="7" s="1"/>
  <c r="F10" i="7"/>
  <c r="I25" i="52"/>
  <c r="G11" i="7" s="1"/>
  <c r="F11" i="7"/>
  <c r="H29" i="53"/>
  <c r="I29" i="53" s="1"/>
  <c r="G34" i="53"/>
  <c r="F12" i="7"/>
  <c r="I25" i="114"/>
  <c r="G12" i="7" s="1"/>
  <c r="G35" i="52"/>
  <c r="H30" i="52"/>
  <c r="I30" i="52" s="1"/>
  <c r="H42" i="114"/>
  <c r="I42" i="114" s="1"/>
  <c r="G43" i="114"/>
  <c r="G44" i="114" s="1"/>
  <c r="H47" i="51"/>
  <c r="I47" i="51" s="1"/>
  <c r="G48" i="51"/>
  <c r="G43" i="52"/>
  <c r="H42" i="52"/>
  <c r="I42" i="52" s="1"/>
  <c r="H42" i="53"/>
  <c r="I42" i="53" s="1"/>
  <c r="G43" i="53"/>
  <c r="G44" i="53" s="1"/>
  <c r="G34" i="114"/>
  <c r="H29" i="114"/>
  <c r="I29" i="114" s="1"/>
  <c r="H35" i="52" l="1"/>
  <c r="I35" i="52" s="1"/>
  <c r="H35" i="51"/>
  <c r="I35" i="51" s="1"/>
  <c r="H49" i="52"/>
  <c r="I49" i="52" s="1"/>
  <c r="H48" i="114"/>
  <c r="I48" i="114" s="1"/>
  <c r="H44" i="53"/>
  <c r="I44" i="53" s="1"/>
  <c r="G46" i="53"/>
  <c r="J43" i="53" s="1"/>
  <c r="H34" i="52"/>
  <c r="I34" i="52" s="1"/>
  <c r="G44" i="52"/>
  <c r="H43" i="52"/>
  <c r="I43" i="52" s="1"/>
  <c r="H34" i="53"/>
  <c r="I34" i="53" s="1"/>
  <c r="G44" i="51"/>
  <c r="H43" i="51"/>
  <c r="I43" i="51" s="1"/>
  <c r="H35" i="114"/>
  <c r="I35" i="114" s="1"/>
  <c r="G46" i="114"/>
  <c r="H44" i="114"/>
  <c r="I44" i="114" s="1"/>
  <c r="H34" i="51"/>
  <c r="I34" i="51" s="1"/>
  <c r="H50" i="53"/>
  <c r="I50" i="53" s="1"/>
  <c r="H49" i="53"/>
  <c r="I49" i="53" s="1"/>
  <c r="H34" i="114"/>
  <c r="I34" i="114" s="1"/>
  <c r="H48" i="52"/>
  <c r="I48" i="52" s="1"/>
  <c r="H48" i="53"/>
  <c r="I48" i="53" s="1"/>
  <c r="H35" i="53"/>
  <c r="I35" i="53" s="1"/>
  <c r="H43" i="53"/>
  <c r="I43" i="53" s="1"/>
  <c r="H43" i="114"/>
  <c r="I43" i="114" s="1"/>
  <c r="H49" i="114"/>
  <c r="I49" i="114" s="1"/>
  <c r="G49" i="51"/>
  <c r="H48" i="51"/>
  <c r="I48" i="51" s="1"/>
  <c r="J34" i="53" l="1"/>
  <c r="J44" i="53"/>
  <c r="J24" i="114"/>
  <c r="J36" i="114"/>
  <c r="J33" i="114"/>
  <c r="J41" i="114"/>
  <c r="J12" i="114"/>
  <c r="J18" i="114"/>
  <c r="J21" i="114"/>
  <c r="J26" i="114"/>
  <c r="J27" i="114"/>
  <c r="J38" i="114"/>
  <c r="J39" i="114"/>
  <c r="J22" i="114"/>
  <c r="J20" i="114"/>
  <c r="J32" i="114"/>
  <c r="J46" i="114"/>
  <c r="J23" i="114"/>
  <c r="J31" i="114"/>
  <c r="J40" i="114"/>
  <c r="J13" i="114"/>
  <c r="H46" i="114"/>
  <c r="I46" i="114" s="1"/>
  <c r="J37" i="114"/>
  <c r="J14" i="114"/>
  <c r="J28" i="114"/>
  <c r="J19" i="114"/>
  <c r="J25" i="114"/>
  <c r="J30" i="114"/>
  <c r="J42" i="114"/>
  <c r="J29" i="114"/>
  <c r="J44" i="114"/>
  <c r="J34" i="114"/>
  <c r="J43" i="114"/>
  <c r="J35" i="114"/>
  <c r="H50" i="52"/>
  <c r="I50" i="52" s="1"/>
  <c r="J35" i="53"/>
  <c r="H44" i="52"/>
  <c r="I44" i="52" s="1"/>
  <c r="G46" i="52"/>
  <c r="J44" i="52" s="1"/>
  <c r="H45" i="53"/>
  <c r="I45" i="53" s="1"/>
  <c r="J45" i="53"/>
  <c r="G51" i="51"/>
  <c r="K49" i="51" s="1"/>
  <c r="H49" i="51"/>
  <c r="I49" i="51" s="1"/>
  <c r="G51" i="114"/>
  <c r="K50" i="114" s="1"/>
  <c r="H50" i="114"/>
  <c r="I50" i="114" s="1"/>
  <c r="H44" i="51"/>
  <c r="I44" i="51" s="1"/>
  <c r="G46" i="51"/>
  <c r="J44" i="51" s="1"/>
  <c r="H45" i="114"/>
  <c r="I45" i="114" s="1"/>
  <c r="J45" i="114"/>
  <c r="J14" i="53"/>
  <c r="J24" i="53"/>
  <c r="J13" i="53"/>
  <c r="J12" i="53"/>
  <c r="J18" i="53"/>
  <c r="J41" i="53"/>
  <c r="J28" i="53"/>
  <c r="J40" i="53"/>
  <c r="J20" i="53"/>
  <c r="J22" i="53"/>
  <c r="J37" i="53"/>
  <c r="J27" i="53"/>
  <c r="J26" i="53"/>
  <c r="J33" i="53"/>
  <c r="J39" i="53"/>
  <c r="J36" i="53"/>
  <c r="J21" i="53"/>
  <c r="J46" i="53"/>
  <c r="J31" i="53"/>
  <c r="J32" i="53"/>
  <c r="J38" i="53"/>
  <c r="J23" i="53"/>
  <c r="H46" i="53"/>
  <c r="I46" i="53" s="1"/>
  <c r="J19" i="53"/>
  <c r="J25" i="53"/>
  <c r="J42" i="53"/>
  <c r="J29" i="53"/>
  <c r="J30" i="53"/>
  <c r="G51" i="53"/>
  <c r="G51" i="52"/>
  <c r="K50" i="52" s="1"/>
  <c r="J14" i="52" l="1"/>
  <c r="J36" i="52"/>
  <c r="J31" i="52"/>
  <c r="J40" i="52"/>
  <c r="J22" i="52"/>
  <c r="J26" i="52"/>
  <c r="J39" i="52"/>
  <c r="J20" i="52"/>
  <c r="J24" i="52"/>
  <c r="J46" i="52"/>
  <c r="J27" i="52"/>
  <c r="J23" i="52"/>
  <c r="J37" i="52"/>
  <c r="J12" i="52"/>
  <c r="J13" i="52"/>
  <c r="J28" i="52"/>
  <c r="H46" i="52"/>
  <c r="I46" i="52" s="1"/>
  <c r="J18" i="52"/>
  <c r="J33" i="52"/>
  <c r="J41" i="52"/>
  <c r="J32" i="52"/>
  <c r="J38" i="52"/>
  <c r="J21" i="52"/>
  <c r="J19" i="52"/>
  <c r="J25" i="52"/>
  <c r="J30" i="52"/>
  <c r="J29" i="52"/>
  <c r="J42" i="52"/>
  <c r="J35" i="52"/>
  <c r="J34" i="52"/>
  <c r="J43" i="52"/>
  <c r="H45" i="52"/>
  <c r="I45" i="52" s="1"/>
  <c r="J45" i="52"/>
  <c r="J18" i="51"/>
  <c r="J32" i="51"/>
  <c r="J24" i="51"/>
  <c r="J33" i="51"/>
  <c r="J46" i="51"/>
  <c r="J13" i="51"/>
  <c r="J26" i="51"/>
  <c r="H46" i="51"/>
  <c r="I46" i="51" s="1"/>
  <c r="J12" i="51"/>
  <c r="J20" i="51"/>
  <c r="J41" i="51"/>
  <c r="J21" i="51"/>
  <c r="J36" i="51"/>
  <c r="J38" i="51"/>
  <c r="J27" i="51"/>
  <c r="J40" i="51"/>
  <c r="J22" i="51"/>
  <c r="J39" i="51"/>
  <c r="J28" i="51"/>
  <c r="J31" i="51"/>
  <c r="J37" i="51"/>
  <c r="J14" i="51"/>
  <c r="J23" i="51"/>
  <c r="J19" i="51"/>
  <c r="J25" i="51"/>
  <c r="J30" i="51"/>
  <c r="J29" i="51"/>
  <c r="J42" i="51"/>
  <c r="J35" i="51"/>
  <c r="J43" i="51"/>
  <c r="J34" i="51"/>
  <c r="K49" i="114"/>
  <c r="K26" i="114"/>
  <c r="K41" i="114"/>
  <c r="K37" i="114"/>
  <c r="K33" i="114"/>
  <c r="K39" i="114"/>
  <c r="K28" i="114"/>
  <c r="K21" i="114"/>
  <c r="K24" i="114"/>
  <c r="K36" i="114"/>
  <c r="K40" i="114"/>
  <c r="K20" i="114"/>
  <c r="K15" i="114"/>
  <c r="K51" i="114"/>
  <c r="K23" i="114"/>
  <c r="K32" i="114"/>
  <c r="K18" i="114"/>
  <c r="K27" i="114"/>
  <c r="K16" i="114"/>
  <c r="K31" i="114"/>
  <c r="K22" i="114"/>
  <c r="K17" i="114"/>
  <c r="H51" i="114"/>
  <c r="K38" i="114"/>
  <c r="K19" i="114"/>
  <c r="K25" i="114"/>
  <c r="K47" i="114"/>
  <c r="K30" i="114"/>
  <c r="K29" i="114"/>
  <c r="K35" i="114"/>
  <c r="K48" i="114"/>
  <c r="K34" i="114"/>
  <c r="H45" i="51"/>
  <c r="I45" i="51" s="1"/>
  <c r="J45" i="51"/>
  <c r="H50" i="51"/>
  <c r="I50" i="51" s="1"/>
  <c r="K50" i="51"/>
  <c r="K31" i="52"/>
  <c r="K51" i="52"/>
  <c r="H51" i="52"/>
  <c r="K32" i="52"/>
  <c r="K41" i="52"/>
  <c r="K16" i="52"/>
  <c r="K17" i="52"/>
  <c r="K18" i="52"/>
  <c r="K27" i="52"/>
  <c r="K20" i="52"/>
  <c r="K33" i="52"/>
  <c r="K26" i="52"/>
  <c r="K21" i="52"/>
  <c r="K40" i="52"/>
  <c r="K38" i="52"/>
  <c r="K28" i="52"/>
  <c r="K37" i="52"/>
  <c r="K36" i="52"/>
  <c r="K15" i="52"/>
  <c r="K24" i="52"/>
  <c r="K22" i="52"/>
  <c r="K39" i="52"/>
  <c r="K23" i="52"/>
  <c r="K19" i="52"/>
  <c r="K25" i="52"/>
  <c r="K29" i="52"/>
  <c r="K30" i="52"/>
  <c r="K47" i="52"/>
  <c r="K49" i="52"/>
  <c r="K35" i="52"/>
  <c r="K34" i="52"/>
  <c r="K48" i="52"/>
  <c r="K20" i="51"/>
  <c r="K17" i="51"/>
  <c r="K38" i="51"/>
  <c r="K18" i="51"/>
  <c r="K27" i="51"/>
  <c r="K31" i="51"/>
  <c r="K40" i="51"/>
  <c r="K21" i="51"/>
  <c r="K51" i="51"/>
  <c r="K37" i="51"/>
  <c r="K41" i="51"/>
  <c r="H51" i="51"/>
  <c r="K28" i="51"/>
  <c r="K26" i="51"/>
  <c r="K24" i="51"/>
  <c r="K36" i="51"/>
  <c r="K22" i="51"/>
  <c r="K16" i="51"/>
  <c r="K23" i="51"/>
  <c r="K33" i="51"/>
  <c r="K39" i="51"/>
  <c r="K32" i="51"/>
  <c r="K15" i="51"/>
  <c r="K19" i="51"/>
  <c r="K25" i="51"/>
  <c r="K30" i="51"/>
  <c r="K47" i="51"/>
  <c r="K29" i="51"/>
  <c r="K35" i="51"/>
  <c r="K34" i="51"/>
  <c r="K48" i="51"/>
  <c r="K50" i="53"/>
  <c r="K27" i="53"/>
  <c r="K18" i="53"/>
  <c r="K33" i="53"/>
  <c r="K26" i="53"/>
  <c r="K24" i="53"/>
  <c r="K23" i="53"/>
  <c r="K22" i="53"/>
  <c r="H51" i="53"/>
  <c r="K39" i="53"/>
  <c r="K31" i="53"/>
  <c r="K38" i="53"/>
  <c r="K36" i="53"/>
  <c r="K20" i="53"/>
  <c r="K41" i="53"/>
  <c r="K17" i="53"/>
  <c r="K28" i="53"/>
  <c r="K40" i="53"/>
  <c r="K15" i="53"/>
  <c r="K16" i="53"/>
  <c r="K32" i="53"/>
  <c r="K37" i="53"/>
  <c r="K21" i="53"/>
  <c r="K51" i="53"/>
  <c r="K19" i="53"/>
  <c r="K25" i="53"/>
  <c r="K47" i="53"/>
  <c r="K30" i="53"/>
  <c r="K29" i="53"/>
  <c r="K34" i="53"/>
  <c r="K48" i="53"/>
  <c r="K35" i="53"/>
  <c r="K49" i="53"/>
  <c r="H10" i="7" l="1"/>
  <c r="I51" i="51"/>
  <c r="I10" i="7" s="1"/>
  <c r="I51" i="53"/>
  <c r="I13" i="7" s="1"/>
  <c r="H13" i="7"/>
  <c r="I51" i="52"/>
  <c r="I11" i="7" s="1"/>
  <c r="H11" i="7"/>
  <c r="I51" i="114"/>
  <c r="I12" i="7" s="1"/>
  <c r="H12" i="7"/>
</calcChain>
</file>

<file path=xl/comments1.xml><?xml version="1.0" encoding="utf-8"?>
<comments xmlns="http://schemas.openxmlformats.org/spreadsheetml/2006/main">
  <authors>
    <author>SHETH Nikita</author>
    <author>KIM Susan</author>
    <author>AKSELRUD Uri</author>
  </authors>
  <commentList>
    <comment ref="K2" authorId="0">
      <text>
        <r>
          <rPr>
            <sz val="8"/>
            <color indexed="81"/>
            <rFont val="Tahoma"/>
            <family val="2"/>
          </rPr>
          <t>Forgone revenue rider will not be taken into account when comparing bill impacts of 2018 rates over 2017.</t>
        </r>
      </text>
    </comment>
    <comment ref="L2" authorId="0">
      <text>
        <r>
          <rPr>
            <sz val="8"/>
            <color indexed="81"/>
            <rFont val="Tahoma"/>
            <family val="2"/>
          </rPr>
          <t xml:space="preserve">Forgone revenue rider will not be taken into account when comparing bill impacts of 2018 rates over 2017. </t>
        </r>
      </text>
    </comment>
    <comment ref="W2" authorId="1">
      <text>
        <r>
          <rPr>
            <sz val="8"/>
            <color indexed="81"/>
            <rFont val="Tahoma"/>
            <family val="2"/>
          </rPr>
          <t>Includes Rider for WMSC applicable to Class B customers</t>
        </r>
      </text>
    </comment>
    <comment ref="Y12" authorId="2">
      <text>
        <r>
          <rPr>
            <sz val="9"/>
            <color indexed="81"/>
            <rFont val="Tahoma"/>
            <family val="2"/>
          </rPr>
          <t>uplifted for applicable line losses</t>
        </r>
      </text>
    </comment>
    <comment ref="Y13" authorId="2">
      <text>
        <r>
          <rPr>
            <sz val="9"/>
            <color indexed="81"/>
            <rFont val="Tahoma"/>
            <family val="2"/>
          </rPr>
          <t>uplifted for applicable line losses</t>
        </r>
      </text>
    </comment>
    <comment ref="Y14" authorId="2">
      <text>
        <r>
          <rPr>
            <sz val="9"/>
            <color indexed="81"/>
            <rFont val="Tahoma"/>
            <family val="2"/>
          </rPr>
          <t>uplifted for applicable line losses</t>
        </r>
      </text>
    </comment>
    <comment ref="Q15" authorId="1">
      <text>
        <r>
          <rPr>
            <sz val="8"/>
            <color indexed="81"/>
            <rFont val="Tahoma"/>
            <family val="2"/>
          </rPr>
          <t>ST Fixed Service Charge and ST Meter Charge for an ST  delivery point with 1 applicable HONI-owned metering facility</t>
        </r>
      </text>
    </comment>
    <comment ref="S15" authorId="1">
      <text>
        <r>
          <rPr>
            <sz val="8"/>
            <color indexed="81"/>
            <rFont val="Tahoma"/>
            <family val="2"/>
          </rPr>
          <t>ST common line charge determinant</t>
        </r>
      </text>
    </comment>
    <comment ref="Y15" authorId="1">
      <text>
        <r>
          <rPr>
            <sz val="8"/>
            <color indexed="81"/>
            <rFont val="Tahoma"/>
            <family val="2"/>
          </rPr>
          <t>uplifted for applicable line losses</t>
        </r>
      </text>
    </comment>
  </commentList>
</comments>
</file>

<file path=xl/sharedStrings.xml><?xml version="1.0" encoding="utf-8"?>
<sst xmlns="http://schemas.openxmlformats.org/spreadsheetml/2006/main" count="2498" uniqueCount="126">
  <si>
    <t>UR</t>
  </si>
  <si>
    <t>R1</t>
  </si>
  <si>
    <t>R2</t>
  </si>
  <si>
    <t>Seasonal</t>
  </si>
  <si>
    <t>GSe</t>
  </si>
  <si>
    <t>GSd</t>
  </si>
  <si>
    <t>UGe</t>
  </si>
  <si>
    <t>UGd</t>
  </si>
  <si>
    <t>St Lgt</t>
  </si>
  <si>
    <t>Sen Lgt</t>
  </si>
  <si>
    <t>Dgen</t>
  </si>
  <si>
    <t>ST</t>
  </si>
  <si>
    <t>USL</t>
  </si>
  <si>
    <t>Rate Class</t>
  </si>
  <si>
    <t>Loss Factor</t>
  </si>
  <si>
    <t>Commodity Threshold</t>
  </si>
  <si>
    <t>Peak (kW)</t>
  </si>
  <si>
    <t>Charge Determinant</t>
  </si>
  <si>
    <t>kWh</t>
  </si>
  <si>
    <t>kW</t>
  </si>
  <si>
    <t>Loss factor</t>
  </si>
  <si>
    <t>Charge determinant</t>
  </si>
  <si>
    <t>Volume</t>
  </si>
  <si>
    <t>Current Rate ($)</t>
  </si>
  <si>
    <t>Current Charge ($)</t>
  </si>
  <si>
    <t>Proposed Rate ($)</t>
  </si>
  <si>
    <t>Proposed Charge ($)</t>
  </si>
  <si>
    <t>Change ($)</t>
  </si>
  <si>
    <t>Change (%)</t>
  </si>
  <si>
    <t>% of Total Bill on RPP</t>
  </si>
  <si>
    <t>% of Total Bill on TOU</t>
  </si>
  <si>
    <t>Energy First Tier (kWh)</t>
  </si>
  <si>
    <t>Energy Second Tier (kWh)</t>
  </si>
  <si>
    <t>Sub-Total:  Energy (RPP)</t>
  </si>
  <si>
    <t>TOU-Off Peak</t>
  </si>
  <si>
    <t>TOU-Mid Peak</t>
  </si>
  <si>
    <t>TOU-On Peak</t>
  </si>
  <si>
    <t>Sub-Total:  Energy (TOU)</t>
  </si>
  <si>
    <t>Service Charge</t>
  </si>
  <si>
    <t>Distribution Volumetric Rate</t>
  </si>
  <si>
    <t>Retail Transmission Rate – Network Service Rate</t>
  </si>
  <si>
    <t>Retail Transmission Rate – Line and Transformation Connection Service Rate</t>
  </si>
  <si>
    <t xml:space="preserve">Wholesale Market Service Rate </t>
  </si>
  <si>
    <t>Rural Rate Protection Charge</t>
  </si>
  <si>
    <t>Standard Supply Service – Administration Charge (if applicable)</t>
  </si>
  <si>
    <t>Sub-Total:  Regulatory</t>
  </si>
  <si>
    <t>Debt Retirement Charge (DRC)</t>
  </si>
  <si>
    <t>DGen</t>
  </si>
  <si>
    <t>Load factor</t>
  </si>
  <si>
    <t xml:space="preserve">% of Total Bill </t>
  </si>
  <si>
    <t>TOU</t>
  </si>
  <si>
    <t>Current Variable Charge ($/kWh or $/kW))</t>
  </si>
  <si>
    <t>Smart Metering Entity Charge ($/month)</t>
  </si>
  <si>
    <t>Smart Meter Adder ($/month)</t>
  </si>
  <si>
    <t>Current Fixed Charge ($/month)</t>
  </si>
  <si>
    <t>Proposed Fixed Charge ($/month)</t>
  </si>
  <si>
    <t>Proposed RTSR-NW ($/kWh or $/kW)</t>
  </si>
  <si>
    <t>Proposed volumetric Charge ($/kWh or $/kW)</t>
  </si>
  <si>
    <t>Current RTSR-NW ($/kWh or $/kW)</t>
  </si>
  <si>
    <t>Current RTSR-CONN ($/kWh or $/kW)</t>
  </si>
  <si>
    <t>Low</t>
  </si>
  <si>
    <t>High</t>
  </si>
  <si>
    <t>Monthly Consumption (kWh)</t>
  </si>
  <si>
    <t>Change in DX Bill ($)</t>
  </si>
  <si>
    <t>Change in Total Bill ($)</t>
  </si>
  <si>
    <t>Change in DX Bill (%)</t>
  </si>
  <si>
    <t>Change in Total Bill (%)</t>
  </si>
  <si>
    <t>Consumption Level</t>
  </si>
  <si>
    <t>Monthly Peak (kW)</t>
  </si>
  <si>
    <t>Commodity Price Used</t>
  </si>
  <si>
    <t>RPP Tier 1 (assumed RPP Tier 1 price is close to WAHSP)</t>
  </si>
  <si>
    <t>Avg Monthly Peak (kW)</t>
  </si>
  <si>
    <t>Sub-Total:  Distribution (excluding pass through)</t>
  </si>
  <si>
    <t>Smart Metering Entity Charge</t>
  </si>
  <si>
    <t>Line Losses on Cost of Power (based on TOU prices)</t>
  </si>
  <si>
    <t>Line Losses on Cost of Power (based on two-tier RPP prices)</t>
  </si>
  <si>
    <t xml:space="preserve">Sub-Total:  Retail Transmission </t>
  </si>
  <si>
    <t>Sub-Total:  Distribution (based on TOU prices)</t>
  </si>
  <si>
    <t>Sub-Total:  Distribution (based on two-tier RPP prices)</t>
  </si>
  <si>
    <t xml:space="preserve">Sub-Total:  Distribution </t>
  </si>
  <si>
    <t xml:space="preserve">Sub-Total:  Delivery </t>
  </si>
  <si>
    <t xml:space="preserve">Line Losses on Cost of Power </t>
  </si>
  <si>
    <t>Monthly Consumption (kWh) - Uplifted</t>
  </si>
  <si>
    <t>Smart Meter Adder</t>
  </si>
  <si>
    <t>Fixed Smoothing Rider</t>
  </si>
  <si>
    <t>Fixed Deferral/Variance Account Rider</t>
  </si>
  <si>
    <t>Proposed Def/VA rate rider Volumetric($/kWh or $/kW)</t>
  </si>
  <si>
    <t>Proposed Def/VA rate rider Fixed ($/month)</t>
  </si>
  <si>
    <t>Current Def/VA rate rider Fixed ($/month)</t>
  </si>
  <si>
    <t>Current Def/VA rate rider Volumetric ($/kWh or $/kW)</t>
  </si>
  <si>
    <t>Typical</t>
  </si>
  <si>
    <t>Sub-Total:  Delivery (based on two-tier RPP prices)</t>
  </si>
  <si>
    <t>Sub-Total:  Delivery (based on TOU prices)</t>
  </si>
  <si>
    <t>Sub-Total:  Distribution</t>
  </si>
  <si>
    <t>Current Foregone Revenue Riders Fixed ($/month)</t>
  </si>
  <si>
    <t>Two-tier RPP</t>
  </si>
  <si>
    <t>Ontario Electricity Support Program Charge</t>
  </si>
  <si>
    <t>Proposed RTSR-CONN ($/kWh or $/kW)</t>
  </si>
  <si>
    <t>2018 Bill Impacts (Low Consumption Level)</t>
  </si>
  <si>
    <t>2017 Total Bill</t>
  </si>
  <si>
    <t>2018 Bill Impacts (Typical Consumption Level)</t>
  </si>
  <si>
    <t>2018 Bill Impacts (High Consumption Level)</t>
  </si>
  <si>
    <t>Current Rate Rider for Disposition of Global Adjustment Account</t>
  </si>
  <si>
    <t>Proposed Rate Rider for Disposition of Global Adjustment Account</t>
  </si>
  <si>
    <t>Proposed Foregone Revenue Riders Fixed ($/month)</t>
  </si>
  <si>
    <t xml:space="preserve">Total  Electricty Charge on Two-Tier RPP </t>
  </si>
  <si>
    <t xml:space="preserve">     HST</t>
  </si>
  <si>
    <t>Total Electricity Charge on Two-Tier RPP (including HST)</t>
  </si>
  <si>
    <t>Rebate equal to Ontario portion of HST (8%)</t>
  </si>
  <si>
    <t>Total Amount on Two-Tier RPP</t>
  </si>
  <si>
    <t>Total Electricty Charge on TOU (before HST)</t>
  </si>
  <si>
    <t>Total Electricity Charge on TOU (including HST)</t>
  </si>
  <si>
    <t>Volumetric Global Adjustment Account Rider</t>
  </si>
  <si>
    <t>Fixed Foregone Revenue Rider</t>
  </si>
  <si>
    <t>Fixed Foregone Revenue</t>
  </si>
  <si>
    <t>Total Electricity Charge on Two-Tier RPP (before HST)</t>
  </si>
  <si>
    <t>Service Charge (RRRP credit applied)</t>
  </si>
  <si>
    <t>Average</t>
  </si>
  <si>
    <t>kWh (Consumption)</t>
  </si>
  <si>
    <t>kW (Peak)</t>
  </si>
  <si>
    <t>2018 Bill Impacts (Average Consumption Level)</t>
  </si>
  <si>
    <t>Total Amount on TOU</t>
  </si>
  <si>
    <t>Smart Metering Entity Charge ($/month) - effective until Oct 2018</t>
  </si>
  <si>
    <t>Placeholder</t>
  </si>
  <si>
    <t>Volumetric Deferral/Variance Account Rider (including CBR Class B rider)</t>
  </si>
  <si>
    <t>DGEN</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</si>
</sst>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000"/>
    <numFmt numFmtId="166" formatCode="#,##0.000"/>
    <numFmt numFmtId="167" formatCode="#,##0.0000"/>
    <numFmt numFmtId="168" formatCode="0.00000000"/>
    <numFmt numFmtId="169" formatCode="0.000"/>
    <numFmt numFmtId="170" formatCode="_(&quot;$&quot;* #,##0_);_(&quot;$&quot;* \(#,##0\);_(&quot;$&quot;* &quot;-&quot;??_);_(@_)"/>
    <numFmt numFmtId="171" formatCode="#,##0.0_);\(#,##0.0\)"/>
    <numFmt numFmtId="172" formatCode="_(* #,##0.0_);_(* \(#,##0.0\);_(* &quot;-&quot;??_);_(@_)"/>
    <numFmt numFmtId="173" formatCode="#,##0.00000_);\(#,##0.00000\)"/>
    <numFmt numFmtId="174" formatCode="0.0\x"/>
    <numFmt numFmtId="175" formatCode="#,##0.000_);\(#,##0.000\)"/>
    <numFmt numFmtId="176" formatCode="#,##0;&quot;\&quot;&quot;\&quot;&quot;\&quot;&quot;\&quot;\(#,##0&quot;\&quot;&quot;\&quot;&quot;\&quot;&quot;\&quot;\)"/>
    <numFmt numFmtId="177" formatCode="&quot;\&quot;&quot;\&quot;&quot;\&quot;&quot;\&quot;\$#,##0.00;&quot;\&quot;&quot;\&quot;&quot;\&quot;&quot;\&quot;\(&quot;\&quot;&quot;\&quot;&quot;\&quot;&quot;\&quot;\$#,##0.00&quot;\&quot;&quot;\&quot;&quot;\&quot;&quot;\&quot;\)"/>
    <numFmt numFmtId="178" formatCode="&quot;\&quot;&quot;\&quot;&quot;\&quot;&quot;\&quot;\$#,##0;&quot;\&quot;&quot;\&quot;&quot;\&quot;&quot;\&quot;\(&quot;\&quot;&quot;\&quot;&quot;\&quot;&quot;\&quot;\$#,##0&quot;\&quot;&quot;\&quot;&quot;\&quot;&quot;\&quot;\)"/>
    <numFmt numFmtId="179" formatCode="_-&quot;$&quot;* #,##0.00_-;\-&quot;$&quot;* #,##0.00_-;_-&quot;$&quot;* &quot;-&quot;??_-;_-@_-"/>
    <numFmt numFmtId="180" formatCode="0.00\x"/>
  </numFmts>
  <fonts count="15" x14ac:knownFonts="1">
    <font>
      <sz val="10"/>
      <name val="Arial"/>
      <family val="2"/>
    </font>
    <font>
      <sz val="11"/>
      <color theme="1"/>
      <name val="Calibri"/>
      <family val="2"/>
      <scheme val="minor"/>
    </font>
    <font>
      <sz val="10"/>
      <name val="Arial"/>
      <family val="2"/>
    </font>
    <font>
      <b/>
      <sz val="10"/>
      <name val="Arial"/>
      <family val="2"/>
    </font>
    <font>
      <sz val="8"/>
      <color indexed="81"/>
      <name val="Tahoma"/>
      <family val="2"/>
    </font>
    <font>
      <b/>
      <sz val="12"/>
      <name val="Times New Roman"/>
      <family val="1"/>
    </font>
    <font>
      <sz val="9"/>
      <color indexed="81"/>
      <name val="Tahoma"/>
      <family val="2"/>
    </font>
    <font>
      <sz val="10"/>
      <name val="Arial"/>
      <family val="2"/>
    </font>
    <font>
      <sz val="9"/>
      <name val="Arial"/>
      <family val="2"/>
    </font>
    <font>
      <sz val="10"/>
      <name val="Times New Roman"/>
      <family val="1"/>
    </font>
    <font>
      <sz val="8"/>
      <name val="Arial"/>
      <family val="2"/>
    </font>
    <font>
      <b/>
      <sz val="12"/>
      <name val="Arial"/>
      <family val="2"/>
    </font>
    <font>
      <sz val="8"/>
      <name val="Times New Roman"/>
      <family val="1"/>
    </font>
    <font>
      <sz val="10"/>
      <name val="MS Sans Serif"/>
      <family val="2"/>
    </font>
    <font>
      <b/>
      <sz val="10"/>
      <name val="MS Sans Serif"/>
      <family val="2"/>
    </font>
  </fonts>
  <fills count="13">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CCCC"/>
        <bgColor indexed="64"/>
      </patternFill>
    </fill>
    <fill>
      <patternFill patternType="solid">
        <fgColor rgb="FFCCFFCC"/>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6">
    <xf numFmtId="0" fontId="0" fillId="0" borderId="0"/>
    <xf numFmtId="43" fontId="2" fillId="0" borderId="0" applyFont="0" applyFill="0" applyBorder="0" applyAlignment="0" applyProtection="0"/>
    <xf numFmtId="44"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7" fillId="0" borderId="0"/>
    <xf numFmtId="164" fontId="2" fillId="0" borderId="0"/>
    <xf numFmtId="164" fontId="2" fillId="0" borderId="0"/>
    <xf numFmtId="164" fontId="2" fillId="0" borderId="0"/>
    <xf numFmtId="170" fontId="8" fillId="0" borderId="0"/>
    <xf numFmtId="171" fontId="2" fillId="0" borderId="0" applyFont="0" applyFill="0" applyBorder="0" applyAlignment="0" applyProtection="0"/>
    <xf numFmtId="172" fontId="2" fillId="0" borderId="0" applyFont="0" applyFill="0" applyBorder="0" applyAlignment="0" applyProtection="0"/>
    <xf numFmtId="39" fontId="2" fillId="0" borderId="0" applyFont="0" applyFill="0" applyBorder="0" applyAlignment="0" applyProtection="0"/>
    <xf numFmtId="170"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5" fontId="2" fillId="0" borderId="0" applyFont="0" applyFill="0" applyBorder="0" applyAlignment="0" applyProtection="0"/>
    <xf numFmtId="176" fontId="9" fillId="0" borderId="0"/>
    <xf numFmtId="177" fontId="9" fillId="0" borderId="0"/>
    <xf numFmtId="178" fontId="9" fillId="0" borderId="0"/>
    <xf numFmtId="38" fontId="10" fillId="8" borderId="0" applyNumberFormat="0" applyBorder="0" applyAlignment="0" applyProtection="0"/>
    <xf numFmtId="0" fontId="11" fillId="0" borderId="16" applyNumberFormat="0" applyAlignment="0" applyProtection="0">
      <alignment horizontal="left" vertical="center"/>
    </xf>
    <xf numFmtId="0" fontId="11" fillId="0" borderId="15">
      <alignment horizontal="left" vertical="center"/>
    </xf>
    <xf numFmtId="10" fontId="10" fillId="9" borderId="1" applyNumberFormat="0" applyBorder="0" applyAlignment="0" applyProtection="0"/>
    <xf numFmtId="179" fontId="8" fillId="0" borderId="0"/>
    <xf numFmtId="166" fontId="2" fillId="0" borderId="0"/>
    <xf numFmtId="0" fontId="2" fillId="0" borderId="0"/>
    <xf numFmtId="7" fontId="9" fillId="0" borderId="0"/>
    <xf numFmtId="37" fontId="12" fillId="10" borderId="0">
      <alignment horizontal="right"/>
    </xf>
    <xf numFmtId="10" fontId="2" fillId="0" borderId="0" applyFont="0" applyFill="0" applyBorder="0" applyAlignment="0" applyProtection="0"/>
    <xf numFmtId="0" fontId="13" fillId="0" borderId="0" applyNumberFormat="0" applyFont="0" applyFill="0" applyBorder="0" applyAlignment="0" applyProtection="0">
      <alignment horizontal="left"/>
    </xf>
    <xf numFmtId="15" fontId="13" fillId="0" borderId="0" applyFont="0" applyFill="0" applyBorder="0" applyAlignment="0" applyProtection="0"/>
    <xf numFmtId="4" fontId="13" fillId="0" borderId="0" applyFont="0" applyFill="0" applyBorder="0" applyAlignment="0" applyProtection="0"/>
    <xf numFmtId="0" fontId="14" fillId="0" borderId="36">
      <alignment horizontal="center"/>
    </xf>
    <xf numFmtId="3" fontId="13" fillId="0" borderId="0" applyFont="0" applyFill="0" applyBorder="0" applyAlignment="0" applyProtection="0"/>
    <xf numFmtId="0" fontId="13" fillId="11" borderId="0" applyNumberFormat="0" applyFont="0" applyBorder="0" applyAlignment="0" applyProtection="0"/>
    <xf numFmtId="1" fontId="2" fillId="0" borderId="0"/>
    <xf numFmtId="0" fontId="2" fillId="0" borderId="0" applyFont="0" applyFill="0" applyBorder="0" applyAlignment="0" applyProtection="0"/>
    <xf numFmtId="0" fontId="2" fillId="0" borderId="0">
      <alignment vertical="top"/>
    </xf>
    <xf numFmtId="0" fontId="2" fillId="0" borderId="0">
      <alignment vertical="top"/>
    </xf>
    <xf numFmtId="180" fontId="2" fillId="0" borderId="0"/>
    <xf numFmtId="180" fontId="2" fillId="0" borderId="0"/>
    <xf numFmtId="180" fontId="2" fillId="0" borderId="0"/>
  </cellStyleXfs>
  <cellXfs count="194">
    <xf numFmtId="0" fontId="0" fillId="0" borderId="0" xfId="0"/>
    <xf numFmtId="0" fontId="3" fillId="0" borderId="0" xfId="0" applyFont="1"/>
    <xf numFmtId="0" fontId="0" fillId="0" borderId="1" xfId="0" applyBorder="1"/>
    <xf numFmtId="2" fontId="0" fillId="0" borderId="1" xfId="0" applyNumberFormat="1" applyBorder="1"/>
    <xf numFmtId="0" fontId="0" fillId="0" borderId="1" xfId="0" applyBorder="1" applyAlignment="1">
      <alignment horizontal="center"/>
    </xf>
    <xf numFmtId="3" fontId="0" fillId="0" borderId="0" xfId="0" applyNumberFormat="1"/>
    <xf numFmtId="0" fontId="3" fillId="0" borderId="1" xfId="0" applyFont="1" applyBorder="1"/>
    <xf numFmtId="3" fontId="0" fillId="0" borderId="1" xfId="0" applyNumberFormat="1" applyBorder="1"/>
    <xf numFmtId="0" fontId="3" fillId="0" borderId="1" xfId="0" applyFont="1" applyFill="1" applyBorder="1"/>
    <xf numFmtId="0" fontId="3"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vertical="center"/>
    </xf>
    <xf numFmtId="0" fontId="3" fillId="2" borderId="1" xfId="0" applyFont="1" applyFill="1" applyBorder="1" applyAlignment="1">
      <alignment horizontal="center"/>
    </xf>
    <xf numFmtId="10" fontId="2" fillId="0" borderId="0" xfId="4" applyNumberFormat="1" applyFont="1"/>
    <xf numFmtId="0" fontId="0" fillId="2" borderId="1" xfId="0" applyFill="1" applyBorder="1"/>
    <xf numFmtId="0" fontId="0" fillId="2" borderId="1" xfId="0" applyFill="1" applyBorder="1" applyAlignment="1">
      <alignment horizontal="right"/>
    </xf>
    <xf numFmtId="0" fontId="3" fillId="0" borderId="4" xfId="0" applyFont="1" applyBorder="1" applyAlignment="1">
      <alignment horizontal="center" wrapText="1"/>
    </xf>
    <xf numFmtId="0" fontId="3" fillId="0" borderId="5" xfId="0" applyFont="1" applyBorder="1" applyAlignment="1">
      <alignment horizontal="center" wrapText="1"/>
    </xf>
    <xf numFmtId="10" fontId="3" fillId="0" borderId="6" xfId="4" applyNumberFormat="1" applyFont="1" applyBorder="1" applyAlignment="1">
      <alignment horizontal="center" wrapText="1"/>
    </xf>
    <xf numFmtId="0" fontId="3" fillId="0" borderId="0" xfId="0" applyFont="1" applyAlignment="1">
      <alignment horizontal="center" wrapText="1"/>
    </xf>
    <xf numFmtId="166" fontId="0" fillId="0" borderId="1" xfId="0" applyNumberFormat="1" applyBorder="1"/>
    <xf numFmtId="4" fontId="0" fillId="0" borderId="1" xfId="0" applyNumberFormat="1" applyBorder="1"/>
    <xf numFmtId="10" fontId="0" fillId="0" borderId="1" xfId="4" applyNumberFormat="1" applyFont="1" applyBorder="1"/>
    <xf numFmtId="4" fontId="3" fillId="3" borderId="1" xfId="0" applyNumberFormat="1" applyFont="1" applyFill="1" applyBorder="1" applyAlignment="1">
      <alignment horizontal="center"/>
    </xf>
    <xf numFmtId="4" fontId="3" fillId="3" borderId="1" xfId="0" applyNumberFormat="1" applyFont="1" applyFill="1" applyBorder="1"/>
    <xf numFmtId="4" fontId="0" fillId="3" borderId="1" xfId="0" applyNumberFormat="1" applyFill="1" applyBorder="1"/>
    <xf numFmtId="10" fontId="3" fillId="3" borderId="1" xfId="4" applyNumberFormat="1" applyFont="1" applyFill="1" applyBorder="1"/>
    <xf numFmtId="166" fontId="2" fillId="0" borderId="1" xfId="0" applyNumberFormat="1" applyFont="1" applyBorder="1"/>
    <xf numFmtId="4" fontId="3" fillId="4" borderId="1" xfId="0" applyNumberFormat="1" applyFont="1" applyFill="1" applyBorder="1" applyAlignment="1">
      <alignment horizontal="center"/>
    </xf>
    <xf numFmtId="4" fontId="3" fillId="4" borderId="1" xfId="0" applyNumberFormat="1" applyFont="1" applyFill="1" applyBorder="1"/>
    <xf numFmtId="4" fontId="0" fillId="4" borderId="1" xfId="0" applyNumberFormat="1" applyFill="1" applyBorder="1"/>
    <xf numFmtId="10" fontId="2" fillId="4" borderId="1" xfId="4" applyNumberFormat="1" applyFont="1" applyFill="1" applyBorder="1"/>
    <xf numFmtId="10" fontId="3" fillId="4" borderId="1" xfId="4" applyNumberFormat="1" applyFont="1" applyFill="1" applyBorder="1"/>
    <xf numFmtId="167" fontId="0" fillId="0" borderId="1" xfId="0" applyNumberFormat="1" applyBorder="1"/>
    <xf numFmtId="4" fontId="3" fillId="0" borderId="1" xfId="0" applyNumberFormat="1" applyFont="1" applyBorder="1"/>
    <xf numFmtId="10" fontId="3" fillId="0" borderId="1" xfId="4" applyNumberFormat="1" applyFont="1" applyBorder="1"/>
    <xf numFmtId="0" fontId="3" fillId="3" borderId="7" xfId="0" applyFont="1" applyFill="1" applyBorder="1"/>
    <xf numFmtId="4" fontId="3" fillId="3" borderId="8" xfId="0" applyNumberFormat="1" applyFont="1" applyFill="1" applyBorder="1" applyAlignment="1">
      <alignment horizontal="center"/>
    </xf>
    <xf numFmtId="4" fontId="3" fillId="3" borderId="8" xfId="0" applyNumberFormat="1" applyFont="1" applyFill="1" applyBorder="1"/>
    <xf numFmtId="10" fontId="3" fillId="3" borderId="8" xfId="4" applyNumberFormat="1" applyFont="1" applyFill="1" applyBorder="1"/>
    <xf numFmtId="10" fontId="3" fillId="3" borderId="9" xfId="4" applyNumberFormat="1" applyFont="1" applyFill="1" applyBorder="1"/>
    <xf numFmtId="0" fontId="2" fillId="3" borderId="10" xfId="0" applyFont="1" applyFill="1" applyBorder="1"/>
    <xf numFmtId="4" fontId="0" fillId="3" borderId="1" xfId="0" applyNumberFormat="1" applyFill="1" applyBorder="1" applyAlignment="1">
      <alignment horizontal="center"/>
    </xf>
    <xf numFmtId="10" fontId="2" fillId="3" borderId="1" xfId="4" applyNumberFormat="1" applyFont="1" applyFill="1" applyBorder="1"/>
    <xf numFmtId="10" fontId="2" fillId="3" borderId="11" xfId="4" applyNumberFormat="1" applyFont="1" applyFill="1" applyBorder="1"/>
    <xf numFmtId="0" fontId="3" fillId="3" borderId="10" xfId="0" applyFont="1" applyFill="1" applyBorder="1"/>
    <xf numFmtId="10" fontId="3" fillId="3" borderId="11" xfId="4" applyNumberFormat="1" applyFont="1" applyFill="1" applyBorder="1"/>
    <xf numFmtId="0" fontId="3" fillId="3" borderId="12" xfId="0" applyFont="1" applyFill="1" applyBorder="1"/>
    <xf numFmtId="4" fontId="3" fillId="3" borderId="13" xfId="0" applyNumberFormat="1" applyFont="1" applyFill="1" applyBorder="1" applyAlignment="1">
      <alignment horizontal="center"/>
    </xf>
    <xf numFmtId="4" fontId="3" fillId="3" borderId="13" xfId="0" applyNumberFormat="1" applyFont="1" applyFill="1" applyBorder="1"/>
    <xf numFmtId="10" fontId="3" fillId="3" borderId="13" xfId="4" applyNumberFormat="1" applyFont="1" applyFill="1" applyBorder="1"/>
    <xf numFmtId="10" fontId="3" fillId="3" borderId="14" xfId="4" applyNumberFormat="1" applyFont="1" applyFill="1" applyBorder="1"/>
    <xf numFmtId="0" fontId="3" fillId="4" borderId="7" xfId="0" applyFont="1" applyFill="1" applyBorder="1"/>
    <xf numFmtId="4" fontId="3" fillId="4" borderId="8" xfId="0" applyNumberFormat="1" applyFont="1" applyFill="1" applyBorder="1" applyAlignment="1">
      <alignment horizontal="center"/>
    </xf>
    <xf numFmtId="4" fontId="3" fillId="4" borderId="8" xfId="0" applyNumberFormat="1" applyFont="1" applyFill="1" applyBorder="1"/>
    <xf numFmtId="10" fontId="3" fillId="4" borderId="8" xfId="4" applyNumberFormat="1" applyFont="1" applyFill="1" applyBorder="1"/>
    <xf numFmtId="10" fontId="3" fillId="4" borderId="9" xfId="4" applyNumberFormat="1" applyFont="1" applyFill="1" applyBorder="1"/>
    <xf numFmtId="0" fontId="2" fillId="4" borderId="10" xfId="0" applyFont="1" applyFill="1" applyBorder="1"/>
    <xf numFmtId="4" fontId="0" fillId="4" borderId="1" xfId="0" applyNumberFormat="1" applyFill="1" applyBorder="1" applyAlignment="1">
      <alignment horizontal="center"/>
    </xf>
    <xf numFmtId="10" fontId="2" fillId="4" borderId="11" xfId="4" applyNumberFormat="1" applyFont="1" applyFill="1" applyBorder="1"/>
    <xf numFmtId="0" fontId="3" fillId="4" borderId="10" xfId="0" applyFont="1" applyFill="1" applyBorder="1"/>
    <xf numFmtId="10" fontId="3" fillId="4" borderId="11" xfId="4" applyNumberFormat="1" applyFont="1" applyFill="1" applyBorder="1"/>
    <xf numFmtId="0" fontId="3" fillId="4" borderId="12" xfId="0" applyFont="1" applyFill="1" applyBorder="1"/>
    <xf numFmtId="4" fontId="3" fillId="4" borderId="13" xfId="0" applyNumberFormat="1" applyFont="1" applyFill="1" applyBorder="1" applyAlignment="1">
      <alignment horizontal="center"/>
    </xf>
    <xf numFmtId="4" fontId="3" fillId="4" borderId="13" xfId="0" applyNumberFormat="1" applyFont="1" applyFill="1" applyBorder="1"/>
    <xf numFmtId="10" fontId="3" fillId="4" borderId="13" xfId="4" applyNumberFormat="1" applyFont="1" applyFill="1" applyBorder="1"/>
    <xf numFmtId="10" fontId="3" fillId="4" borderId="14" xfId="4" applyNumberFormat="1" applyFont="1" applyFill="1" applyBorder="1"/>
    <xf numFmtId="165" fontId="0" fillId="0" borderId="0" xfId="0" applyNumberFormat="1"/>
    <xf numFmtId="10" fontId="0" fillId="0" borderId="0" xfId="4" applyNumberFormat="1" applyFont="1"/>
    <xf numFmtId="6" fontId="0" fillId="0" borderId="0" xfId="0" applyNumberFormat="1"/>
    <xf numFmtId="164" fontId="0" fillId="0" borderId="0" xfId="1" applyNumberFormat="1" applyFont="1"/>
    <xf numFmtId="168" fontId="0" fillId="0" borderId="0" xfId="0" applyNumberFormat="1"/>
    <xf numFmtId="3" fontId="0" fillId="0" borderId="1" xfId="0" applyNumberFormat="1" applyBorder="1" applyAlignment="1">
      <alignment horizontal="center"/>
    </xf>
    <xf numFmtId="3" fontId="3" fillId="0" borderId="1" xfId="0" applyNumberFormat="1" applyFont="1" applyBorder="1" applyAlignment="1">
      <alignment horizontal="center"/>
    </xf>
    <xf numFmtId="3" fontId="2" fillId="0" borderId="1" xfId="0" applyNumberFormat="1" applyFont="1" applyBorder="1" applyAlignment="1">
      <alignment horizontal="center"/>
    </xf>
    <xf numFmtId="3" fontId="0" fillId="3" borderId="1" xfId="0" applyNumberFormat="1" applyFill="1" applyBorder="1" applyAlignment="1">
      <alignment horizontal="center"/>
    </xf>
    <xf numFmtId="3" fontId="0" fillId="4" borderId="1" xfId="0" applyNumberFormat="1" applyFill="1" applyBorder="1" applyAlignment="1">
      <alignment horizontal="center"/>
    </xf>
    <xf numFmtId="0" fontId="0" fillId="5" borderId="1" xfId="0" applyFill="1" applyBorder="1"/>
    <xf numFmtId="3" fontId="0" fillId="2" borderId="1" xfId="0" applyNumberFormat="1" applyFill="1" applyBorder="1"/>
    <xf numFmtId="166" fontId="0" fillId="2" borderId="1" xfId="0" applyNumberFormat="1" applyFill="1" applyBorder="1"/>
    <xf numFmtId="0" fontId="2" fillId="2" borderId="1" xfId="0" applyFont="1" applyFill="1" applyBorder="1"/>
    <xf numFmtId="9" fontId="2" fillId="2" borderId="1" xfId="4" applyFont="1" applyFill="1" applyBorder="1"/>
    <xf numFmtId="3" fontId="3" fillId="0" borderId="9" xfId="0" applyNumberFormat="1" applyFont="1" applyBorder="1" applyAlignment="1">
      <alignment horizontal="center"/>
    </xf>
    <xf numFmtId="3" fontId="3" fillId="0" borderId="11" xfId="0" applyNumberFormat="1" applyFont="1" applyBorder="1" applyAlignment="1">
      <alignment horizontal="center"/>
    </xf>
    <xf numFmtId="3" fontId="3" fillId="0" borderId="14" xfId="0" applyNumberFormat="1" applyFont="1" applyBorder="1" applyAlignment="1">
      <alignment horizontal="center"/>
    </xf>
    <xf numFmtId="0" fontId="3" fillId="6" borderId="4"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30" xfId="0" applyFont="1" applyBorder="1" applyAlignment="1">
      <alignment horizontal="center"/>
    </xf>
    <xf numFmtId="0" fontId="3" fillId="0" borderId="15" xfId="0" applyFont="1" applyBorder="1" applyAlignment="1">
      <alignment horizontal="center"/>
    </xf>
    <xf numFmtId="0" fontId="3" fillId="0" borderId="31" xfId="0" applyFont="1" applyBorder="1" applyAlignment="1">
      <alignment horizontal="center"/>
    </xf>
    <xf numFmtId="3" fontId="3" fillId="0" borderId="10" xfId="0" applyNumberFormat="1" applyFont="1" applyBorder="1" applyAlignment="1">
      <alignment horizontal="center"/>
    </xf>
    <xf numFmtId="3" fontId="3" fillId="0" borderId="12" xfId="0" applyNumberFormat="1" applyFont="1" applyBorder="1" applyAlignment="1">
      <alignment horizontal="center"/>
    </xf>
    <xf numFmtId="0" fontId="3" fillId="0" borderId="23" xfId="0" applyFont="1" applyBorder="1" applyAlignment="1">
      <alignment horizontal="center" vertical="center" wrapText="1"/>
    </xf>
    <xf numFmtId="0" fontId="3" fillId="0" borderId="32" xfId="0" applyFont="1" applyBorder="1" applyAlignment="1">
      <alignment horizontal="center" wrapText="1"/>
    </xf>
    <xf numFmtId="0" fontId="3" fillId="0" borderId="33" xfId="0" applyFont="1" applyBorder="1" applyAlignment="1">
      <alignment horizontal="center" vertical="center" wrapText="1"/>
    </xf>
    <xf numFmtId="3" fontId="3" fillId="0" borderId="7" xfId="0" applyNumberFormat="1" applyFont="1" applyBorder="1" applyAlignment="1">
      <alignment horizontal="center"/>
    </xf>
    <xf numFmtId="0" fontId="3" fillId="0" borderId="24" xfId="0" applyFont="1" applyBorder="1" applyAlignment="1">
      <alignment horizontal="center" vertical="center" wrapText="1"/>
    </xf>
    <xf numFmtId="165" fontId="0" fillId="0" borderId="1" xfId="0" applyNumberFormat="1" applyBorder="1"/>
    <xf numFmtId="0" fontId="0" fillId="0" borderId="7" xfId="0" applyBorder="1"/>
    <xf numFmtId="3" fontId="0" fillId="0" borderId="8" xfId="0" applyNumberFormat="1" applyBorder="1" applyAlignment="1">
      <alignment horizontal="center"/>
    </xf>
    <xf numFmtId="166" fontId="0" fillId="0" borderId="8" xfId="0" applyNumberFormat="1" applyBorder="1"/>
    <xf numFmtId="4" fontId="0" fillId="0" borderId="8" xfId="0" applyNumberFormat="1" applyBorder="1"/>
    <xf numFmtId="10" fontId="0" fillId="0" borderId="8" xfId="4" applyNumberFormat="1" applyFont="1" applyBorder="1"/>
    <xf numFmtId="10" fontId="2" fillId="0" borderId="9" xfId="4" applyNumberFormat="1" applyFont="1" applyBorder="1"/>
    <xf numFmtId="0" fontId="0" fillId="0" borderId="10" xfId="0" applyBorder="1"/>
    <xf numFmtId="10" fontId="2" fillId="0" borderId="11" xfId="4" applyNumberFormat="1" applyFont="1" applyBorder="1"/>
    <xf numFmtId="0" fontId="2" fillId="0" borderId="10" xfId="0" applyFont="1" applyBorder="1"/>
    <xf numFmtId="0" fontId="3" fillId="0" borderId="10" xfId="0" applyFont="1" applyBorder="1"/>
    <xf numFmtId="10" fontId="3" fillId="0" borderId="11" xfId="4" applyNumberFormat="1" applyFont="1" applyBorder="1"/>
    <xf numFmtId="0" fontId="3" fillId="0" borderId="12" xfId="0" applyFont="1" applyBorder="1"/>
    <xf numFmtId="3" fontId="2" fillId="0" borderId="13" xfId="0" applyNumberFormat="1" applyFont="1" applyBorder="1" applyAlignment="1">
      <alignment horizontal="center"/>
    </xf>
    <xf numFmtId="166" fontId="2" fillId="0" borderId="13" xfId="0" applyNumberFormat="1" applyFont="1" applyBorder="1"/>
    <xf numFmtId="4" fontId="3" fillId="0" borderId="13" xfId="0" applyNumberFormat="1" applyFont="1" applyBorder="1"/>
    <xf numFmtId="3" fontId="0" fillId="0" borderId="13" xfId="0" applyNumberFormat="1" applyBorder="1" applyAlignment="1">
      <alignment horizontal="center"/>
    </xf>
    <xf numFmtId="10" fontId="3" fillId="0" borderId="13" xfId="4" applyNumberFormat="1" applyFont="1" applyBorder="1"/>
    <xf numFmtId="10" fontId="3" fillId="0" borderId="14" xfId="4" applyNumberFormat="1" applyFont="1" applyBorder="1"/>
    <xf numFmtId="0" fontId="0" fillId="0" borderId="10" xfId="0" applyFont="1" applyBorder="1"/>
    <xf numFmtId="3" fontId="0" fillId="0" borderId="1" xfId="0" applyNumberFormat="1" applyFont="1" applyBorder="1" applyAlignment="1">
      <alignment horizontal="center"/>
    </xf>
    <xf numFmtId="4" fontId="0" fillId="0" borderId="1" xfId="0" applyNumberFormat="1" applyFont="1" applyBorder="1"/>
    <xf numFmtId="2" fontId="0" fillId="5" borderId="1" xfId="0" applyNumberFormat="1" applyFill="1" applyBorder="1"/>
    <xf numFmtId="0" fontId="3" fillId="0" borderId="6" xfId="0" applyFont="1" applyBorder="1" applyAlignment="1">
      <alignment horizontal="center" wrapText="1"/>
    </xf>
    <xf numFmtId="10" fontId="0" fillId="0" borderId="9" xfId="4" applyNumberFormat="1" applyFont="1" applyBorder="1"/>
    <xf numFmtId="10" fontId="0" fillId="0" borderId="11" xfId="4" applyNumberFormat="1" applyFont="1" applyBorder="1"/>
    <xf numFmtId="165" fontId="0" fillId="5" borderId="1" xfId="0" applyNumberFormat="1" applyFill="1" applyBorder="1"/>
    <xf numFmtId="169" fontId="0" fillId="0" borderId="1" xfId="0" applyNumberFormat="1" applyBorder="1"/>
    <xf numFmtId="0" fontId="5" fillId="0" borderId="0" xfId="0" applyFont="1" applyBorder="1" applyAlignment="1"/>
    <xf numFmtId="4" fontId="0" fillId="0" borderId="0" xfId="0" applyNumberFormat="1"/>
    <xf numFmtId="0" fontId="0" fillId="0" borderId="0" xfId="0" applyAlignment="1">
      <alignment horizontal="right"/>
    </xf>
    <xf numFmtId="0" fontId="0" fillId="0" borderId="0" xfId="0" quotePrefix="1" applyAlignment="1">
      <alignment horizontal="right"/>
    </xf>
    <xf numFmtId="10" fontId="0" fillId="0" borderId="0" xfId="4" applyNumberFormat="1" applyFont="1" applyAlignment="1">
      <alignment horizontal="right"/>
    </xf>
    <xf numFmtId="7" fontId="9" fillId="7" borderId="19" xfId="2" applyNumberFormat="1" applyFont="1" applyFill="1" applyBorder="1" applyAlignment="1">
      <alignment horizontal="center"/>
    </xf>
    <xf numFmtId="10" fontId="9" fillId="7" borderId="21" xfId="3" applyNumberFormat="1" applyFont="1" applyFill="1" applyBorder="1" applyAlignment="1">
      <alignment horizontal="center"/>
    </xf>
    <xf numFmtId="7" fontId="9" fillId="6" borderId="7" xfId="0" applyNumberFormat="1" applyFont="1" applyFill="1" applyBorder="1" applyAlignment="1">
      <alignment horizontal="center"/>
    </xf>
    <xf numFmtId="7" fontId="9" fillId="7" borderId="3" xfId="2" applyNumberFormat="1" applyFont="1" applyFill="1" applyBorder="1" applyAlignment="1">
      <alignment horizontal="center"/>
    </xf>
    <xf numFmtId="10" fontId="9" fillId="7" borderId="3" xfId="3" applyNumberFormat="1" applyFont="1" applyFill="1" applyBorder="1" applyAlignment="1">
      <alignment horizontal="center"/>
    </xf>
    <xf numFmtId="7" fontId="9" fillId="6" borderId="10" xfId="0" applyNumberFormat="1" applyFont="1" applyFill="1" applyBorder="1" applyAlignment="1">
      <alignment horizontal="center"/>
    </xf>
    <xf numFmtId="7" fontId="9" fillId="7" borderId="20" xfId="2" applyNumberFormat="1" applyFont="1" applyFill="1" applyBorder="1" applyAlignment="1">
      <alignment horizontal="center"/>
    </xf>
    <xf numFmtId="10" fontId="9" fillId="7" borderId="22" xfId="3" applyNumberFormat="1" applyFont="1" applyFill="1" applyBorder="1" applyAlignment="1">
      <alignment horizontal="center"/>
    </xf>
    <xf numFmtId="7" fontId="9" fillId="6" borderId="12" xfId="0" applyNumberFormat="1" applyFont="1" applyFill="1" applyBorder="1" applyAlignment="1">
      <alignment horizontal="center"/>
    </xf>
    <xf numFmtId="10" fontId="9" fillId="7" borderId="2" xfId="3" applyNumberFormat="1" applyFont="1" applyFill="1" applyBorder="1" applyAlignment="1">
      <alignment horizontal="center"/>
    </xf>
    <xf numFmtId="0" fontId="3" fillId="6" borderId="6" xfId="0" applyFont="1" applyFill="1" applyBorder="1" applyAlignment="1">
      <alignment horizontal="center" vertical="center" wrapText="1"/>
    </xf>
    <xf numFmtId="10" fontId="9" fillId="6" borderId="9" xfId="3" applyNumberFormat="1" applyFont="1" applyFill="1" applyBorder="1" applyAlignment="1">
      <alignment horizontal="center"/>
    </xf>
    <xf numFmtId="10" fontId="9" fillId="6" borderId="11" xfId="3" applyNumberFormat="1" applyFont="1" applyFill="1" applyBorder="1" applyAlignment="1">
      <alignment horizontal="center"/>
    </xf>
    <xf numFmtId="10" fontId="9" fillId="6" borderId="14" xfId="3" applyNumberFormat="1" applyFont="1" applyFill="1" applyBorder="1" applyAlignment="1">
      <alignment horizontal="center"/>
    </xf>
    <xf numFmtId="7" fontId="0" fillId="0" borderId="27" xfId="0" applyNumberFormat="1" applyFont="1" applyBorder="1" applyAlignment="1">
      <alignment horizontal="center"/>
    </xf>
    <xf numFmtId="7" fontId="0" fillId="0" borderId="28" xfId="0" applyNumberFormat="1" applyFont="1" applyBorder="1" applyAlignment="1">
      <alignment horizontal="center"/>
    </xf>
    <xf numFmtId="7" fontId="0" fillId="0" borderId="29" xfId="0" applyNumberFormat="1" applyFont="1" applyBorder="1" applyAlignment="1">
      <alignment horizontal="center"/>
    </xf>
    <xf numFmtId="0" fontId="3" fillId="4" borderId="10" xfId="0" applyFont="1" applyFill="1" applyBorder="1" applyAlignment="1">
      <alignment horizontal="left"/>
    </xf>
    <xf numFmtId="0" fontId="3" fillId="7" borderId="1" xfId="0" applyFont="1" applyFill="1" applyBorder="1" applyAlignment="1">
      <alignment horizontal="center" vertical="center" wrapText="1"/>
    </xf>
    <xf numFmtId="0" fontId="3" fillId="5" borderId="1" xfId="0" applyFont="1" applyFill="1" applyBorder="1" applyAlignment="1">
      <alignment horizontal="center"/>
    </xf>
    <xf numFmtId="0" fontId="0" fillId="5" borderId="0" xfId="0" applyFill="1"/>
    <xf numFmtId="0" fontId="0" fillId="3" borderId="10" xfId="0" applyFont="1" applyFill="1" applyBorder="1"/>
    <xf numFmtId="0" fontId="0" fillId="4" borderId="10" xfId="0" applyFont="1" applyFill="1" applyBorder="1"/>
    <xf numFmtId="2" fontId="0" fillId="0" borderId="1" xfId="0" applyNumberFormat="1" applyBorder="1" applyAlignment="1">
      <alignment horizontal="center"/>
    </xf>
    <xf numFmtId="0" fontId="3" fillId="5" borderId="1" xfId="0" applyFont="1" applyFill="1" applyBorder="1" applyAlignment="1">
      <alignment horizontal="center" vertical="center" wrapText="1"/>
    </xf>
    <xf numFmtId="165" fontId="0" fillId="12" borderId="1" xfId="0" applyNumberFormat="1" applyFill="1" applyBorder="1"/>
    <xf numFmtId="0" fontId="3" fillId="0" borderId="38" xfId="0" applyFont="1" applyBorder="1" applyAlignment="1">
      <alignment horizontal="center"/>
    </xf>
    <xf numFmtId="3" fontId="3" fillId="0" borderId="39" xfId="0" applyNumberFormat="1" applyFont="1" applyBorder="1" applyAlignment="1">
      <alignment horizontal="center"/>
    </xf>
    <xf numFmtId="3" fontId="3" fillId="0" borderId="40" xfId="0" applyNumberFormat="1" applyFont="1" applyBorder="1" applyAlignment="1">
      <alignment horizontal="center"/>
    </xf>
    <xf numFmtId="7" fontId="0" fillId="0" borderId="37" xfId="0" applyNumberFormat="1" applyFont="1" applyBorder="1" applyAlignment="1">
      <alignment horizontal="center"/>
    </xf>
    <xf numFmtId="7" fontId="9" fillId="7" borderId="41" xfId="2" applyNumberFormat="1" applyFont="1" applyFill="1" applyBorder="1" applyAlignment="1">
      <alignment horizontal="center"/>
    </xf>
    <xf numFmtId="10" fontId="9" fillId="7" borderId="38" xfId="3" applyNumberFormat="1" applyFont="1" applyFill="1" applyBorder="1" applyAlignment="1">
      <alignment horizontal="center"/>
    </xf>
    <xf numFmtId="7" fontId="9" fillId="6" borderId="39" xfId="0" applyNumberFormat="1" applyFont="1" applyFill="1" applyBorder="1" applyAlignment="1">
      <alignment horizontal="center"/>
    </xf>
    <xf numFmtId="10" fontId="9" fillId="6" borderId="40" xfId="3" applyNumberFormat="1" applyFont="1" applyFill="1" applyBorder="1" applyAlignment="1">
      <alignment horizontal="center"/>
    </xf>
    <xf numFmtId="164" fontId="0" fillId="0" borderId="1" xfId="1" applyNumberFormat="1" applyFont="1" applyBorder="1"/>
    <xf numFmtId="0" fontId="3" fillId="0" borderId="1" xfId="0" applyFont="1" applyBorder="1" applyAlignment="1">
      <alignment wrapText="1"/>
    </xf>
    <xf numFmtId="1" fontId="0" fillId="2" borderId="1" xfId="0" applyNumberFormat="1" applyFill="1" applyBorder="1"/>
    <xf numFmtId="0" fontId="3" fillId="0" borderId="39" xfId="0" applyFont="1" applyBorder="1"/>
    <xf numFmtId="3" fontId="2" fillId="0" borderId="42" xfId="0" applyNumberFormat="1" applyFont="1" applyBorder="1" applyAlignment="1">
      <alignment horizontal="center"/>
    </xf>
    <xf numFmtId="166" fontId="2" fillId="0" borderId="42" xfId="0" applyNumberFormat="1" applyFont="1" applyBorder="1"/>
    <xf numFmtId="4" fontId="3" fillId="0" borderId="42" xfId="0" applyNumberFormat="1" applyFont="1" applyBorder="1"/>
    <xf numFmtId="3" fontId="0" fillId="0" borderId="42" xfId="0" applyNumberFormat="1" applyBorder="1" applyAlignment="1">
      <alignment horizontal="center"/>
    </xf>
    <xf numFmtId="10" fontId="3" fillId="0" borderId="42" xfId="4" applyNumberFormat="1" applyFont="1" applyBorder="1"/>
    <xf numFmtId="10" fontId="3" fillId="0" borderId="40" xfId="4" applyNumberFormat="1" applyFont="1" applyBorder="1"/>
    <xf numFmtId="165" fontId="0" fillId="0" borderId="1" xfId="0" applyNumberFormat="1" applyFont="1" applyBorder="1"/>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3" fillId="0" borderId="24"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7" xfId="0" applyFont="1" applyBorder="1" applyAlignment="1">
      <alignment horizontal="center" vertical="center"/>
    </xf>
    <xf numFmtId="0" fontId="3" fillId="0" borderId="29" xfId="0" applyFont="1" applyBorder="1" applyAlignment="1">
      <alignment horizontal="center" vertical="center"/>
    </xf>
    <xf numFmtId="0" fontId="5" fillId="0" borderId="34" xfId="0" applyFont="1" applyBorder="1" applyAlignment="1">
      <alignment horizontal="center"/>
    </xf>
    <xf numFmtId="0" fontId="5" fillId="0" borderId="16" xfId="0" applyFont="1" applyBorder="1" applyAlignment="1">
      <alignment horizontal="center"/>
    </xf>
    <xf numFmtId="0" fontId="5" fillId="0" borderId="35" xfId="0" applyFont="1" applyBorder="1" applyAlignment="1">
      <alignment horizontal="center"/>
    </xf>
  </cellXfs>
  <cellStyles count="46">
    <cellStyle name="$" xfId="7"/>
    <cellStyle name="$_CCA-Request_H11bps" xfId="8"/>
    <cellStyle name="$_CCA-Request_H11bps July 9" xfId="9"/>
    <cellStyle name="$comma" xfId="10"/>
    <cellStyle name="_Comma" xfId="11"/>
    <cellStyle name="_Currency" xfId="12"/>
    <cellStyle name="_CurrencySpace" xfId="13"/>
    <cellStyle name="_Multiple" xfId="14"/>
    <cellStyle name="_MultipleSpace" xfId="15"/>
    <cellStyle name="_Percent" xfId="16"/>
    <cellStyle name="_PercentSpace" xfId="17"/>
    <cellStyle name="_PercentSpace_AR Analysis 061207" xfId="18"/>
    <cellStyle name="_PercentSpace_RMDx BP050513a 051212a" xfId="19"/>
    <cellStyle name="Comma" xfId="1" builtinId="3"/>
    <cellStyle name="comma zerodec" xfId="20"/>
    <cellStyle name="Currency" xfId="2" builtinId="4"/>
    <cellStyle name="Currency1" xfId="21"/>
    <cellStyle name="Dollar (zero dec)" xfId="22"/>
    <cellStyle name="Grey" xfId="23"/>
    <cellStyle name="Header1" xfId="24"/>
    <cellStyle name="Header2" xfId="25"/>
    <cellStyle name="Input [yellow]" xfId="26"/>
    <cellStyle name="multiple" xfId="27"/>
    <cellStyle name="Normal" xfId="0" builtinId="0"/>
    <cellStyle name="Normal - Style1" xfId="28"/>
    <cellStyle name="Normal 2" xfId="5"/>
    <cellStyle name="Normal 3" xfId="6"/>
    <cellStyle name="Number" xfId="29"/>
    <cellStyle name="OH01" xfId="30"/>
    <cellStyle name="OHnplode" xfId="31"/>
    <cellStyle name="Percent" xfId="3" builtinId="5"/>
    <cellStyle name="Percent [2]" xfId="32"/>
    <cellStyle name="Percent 2" xfId="4"/>
    <cellStyle name="PSChar" xfId="33"/>
    <cellStyle name="PSDate" xfId="34"/>
    <cellStyle name="PSDec" xfId="35"/>
    <cellStyle name="PSHeading" xfId="36"/>
    <cellStyle name="PSInt" xfId="37"/>
    <cellStyle name="PSSpacer" xfId="38"/>
    <cellStyle name="ShOut" xfId="39"/>
    <cellStyle name="Style 1" xfId="40"/>
    <cellStyle name="Style 2" xfId="41"/>
    <cellStyle name="Style 3" xfId="42"/>
    <cellStyle name="x" xfId="43"/>
    <cellStyle name="x_CCA-Request_H11bps" xfId="44"/>
    <cellStyle name="x_CCA-Request_H11bps July 9" xfId="45"/>
  </cellStyles>
  <dxfs count="0"/>
  <tableStyles count="0" defaultTableStyle="TableStyleMedium2" defaultPivotStyle="PivotStyleLight16"/>
  <colors>
    <mruColors>
      <color rgb="FFCCFFCC"/>
      <color rgb="FFFFCCCC"/>
      <color rgb="FFFFFFFF"/>
      <color rgb="FFFFCCFF"/>
      <color rgb="FFCCFFFF"/>
      <color rgb="FFCCCCFF"/>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externalLink" Target="externalLinks/externalLink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7.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styles" Target="styles.xml"/><Relationship Id="rId61"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st%20Pric/EB-2013-0416_UPDATE/2017/Post%20Decision/Seasonal_Status%20Quo/Bill%20Impacts_2017_Seas%20Status%20Quo_Nov2016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st%20Pric/2018-2022%20DX%20Rates/2018/Rate%20Design_2018_v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st%20Pric/EB-2013-0416_UPDATE/2017/Post%20Decision/Seasonal_Status%20Quo/VA%20Rider_2017_Seas%20Status%20Quo_Nov2016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st%20Pric/2018-2022%20DX%20Rates/2018/VA%20Rider_2018_v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ist%20Pric/2018-2022%20DX%20Rates/2018/RTSR%20Calculation_2018_v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ist%20Pric/2018-2022%20DX%20Rates/2018/RRRPCreditCalc_2018t202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ist%20Pric/2018-2022%20DX%20Rates/2018/ST_Rate_Model_2018_v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ist%20Pric/2018-2022%20DX%20Rates/2018/Bill%20Impacts_Averages_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Bill Impacts"/>
      <sheetName val="Bill Impact Summary"/>
      <sheetName val="Bill Impact Summary (2)"/>
      <sheetName val="DNP_Bill Impact Summary_FIONA"/>
      <sheetName val="DNP_Data_LoadFrcst"/>
      <sheetName val="DNP_Bill Impact SummaryLF"/>
      <sheetName val="BI_UR_Low"/>
      <sheetName val="BI_UR_Avg"/>
      <sheetName val="DNP_BI_UR_AvgLF"/>
      <sheetName val="BI_UR_High"/>
      <sheetName val="BI_R1_Low"/>
      <sheetName val="BI_R1_Avg"/>
      <sheetName val="DNP_BI_R1_AvgLF"/>
      <sheetName val="BI_R1_High"/>
      <sheetName val="BI_R2_Low"/>
      <sheetName val="BI_R2_Avg"/>
      <sheetName val="DNP_BI_R2_AvgLF"/>
      <sheetName val="BI_R2_High"/>
      <sheetName val="BI_Seas_Low"/>
      <sheetName val="BI_Seas_Low (All Fixed)"/>
      <sheetName val="BI_Seas_Avg (All Fixed)"/>
      <sheetName val="DNP_BI_Seas_AvgLF"/>
      <sheetName val="BI_Seas_Low_AllFixed"/>
      <sheetName val="BI_Seas_Avg"/>
      <sheetName val="BI_Seas_Avg_AllFixed"/>
      <sheetName val="BI_Seas_High"/>
      <sheetName val="BI_Seas_High (All Fixed)"/>
      <sheetName val="BI_Seas_High_AllFixed"/>
      <sheetName val="BI_UGe_Low"/>
      <sheetName val="BI_UGe_Avg"/>
      <sheetName val="DNP_BI_UGe_AvgLF"/>
      <sheetName val="BI_UGe_High"/>
      <sheetName val="DNP_BI_UGe_High OCEB CALC"/>
      <sheetName val="BI_GSe_Low"/>
      <sheetName val="BI_GSe_Avg"/>
      <sheetName val="DNP_BI_GSe_AvgLF"/>
      <sheetName val="BI_GSe_High"/>
      <sheetName val="DNP_BI_GSe_High_OCEB CALC"/>
      <sheetName val="BI_UGd_Low"/>
      <sheetName val="BI_UGd_Avg"/>
      <sheetName val="DNP_BI_UGd_AvgLF"/>
      <sheetName val="BI_UGd_High"/>
      <sheetName val="BI_GSd_Low"/>
      <sheetName val="BI_GSd_Avg"/>
      <sheetName val="DNP_BI_GSd_AvgLF"/>
      <sheetName val="BI_GSd_High"/>
      <sheetName val="BI_DGen_Low"/>
      <sheetName val="BI_DGen_Avg"/>
      <sheetName val="DNP_BI_DGen_AvgLF"/>
      <sheetName val="BI_DGen_High"/>
      <sheetName val="BI_ST_Low"/>
      <sheetName val="BI_ST_Avg"/>
      <sheetName val="DNP_BI_ST_AvgLF"/>
      <sheetName val="BI_ST_High"/>
      <sheetName val="BI_USL_Low"/>
      <sheetName val="BI_USL_Avg"/>
      <sheetName val="DNP_BI_USL_AvgLF"/>
      <sheetName val="BI_USL_High"/>
      <sheetName val="BI_SenLgt_Low"/>
      <sheetName val="BI_SenLgt_Avg"/>
      <sheetName val="DNP_BI_SenLgt_AvgLF"/>
      <sheetName val="BI_SenLgt_High"/>
      <sheetName val="BI_StLgt_Low"/>
      <sheetName val="BI_StLgt_Avg"/>
      <sheetName val="DNP_BI_StLgt_AvgLF"/>
      <sheetName val="BI_StLgt_High"/>
    </sheetNames>
    <sheetDataSet>
      <sheetData sheetId="0">
        <row r="2">
          <cell r="A2" t="str">
            <v>Rate Class</v>
          </cell>
          <cell r="B2" t="str">
            <v>Loss Factor</v>
          </cell>
          <cell r="C2" t="str">
            <v>Avg Monthly Consumption (kWh)</v>
          </cell>
          <cell r="D2" t="str">
            <v>Commodity Threshold</v>
          </cell>
          <cell r="E2" t="str">
            <v>Avg Monthly Peak (kW)</v>
          </cell>
          <cell r="F2" t="str">
            <v>Charge Determinant</v>
          </cell>
          <cell r="G2" t="str">
            <v>Current Fixed Charge ($/month)</v>
          </cell>
          <cell r="H2" t="str">
            <v>Smart Meter Adder ($/month)</v>
          </cell>
          <cell r="I2" t="str">
            <v>Smart Metering Entity Charge ($/month)</v>
          </cell>
          <cell r="J2" t="str">
            <v>Current Variable Charge ($/kWh or $/kW))</v>
          </cell>
          <cell r="K2" t="str">
            <v>Current Foregone Revenue Riders Fixed ($/month)</v>
          </cell>
          <cell r="L2">
            <v>0</v>
          </cell>
          <cell r="M2" t="str">
            <v>Current Def/VA rate rider Fixed ($/month)</v>
          </cell>
          <cell r="N2" t="str">
            <v>Current Def/VA rate rider Volumetric ($/kWh or $/kW)</v>
          </cell>
          <cell r="O2" t="str">
            <v>Current RTSR-NW ($/kWh or $/kW)</v>
          </cell>
          <cell r="P2" t="str">
            <v>Current RTSR-CONN ($/kWh or $/kW)</v>
          </cell>
          <cell r="Q2" t="str">
            <v>Proposed Fixed Charge ($/month)</v>
          </cell>
          <cell r="R2" t="str">
            <v>Smart Metering Entity Charge ($/month)</v>
          </cell>
          <cell r="S2" t="str">
            <v>Proposed volumetric Charge ($/kWh or $/kW)</v>
          </cell>
          <cell r="T2">
            <v>0</v>
          </cell>
          <cell r="U2">
            <v>0</v>
          </cell>
          <cell r="V2" t="str">
            <v>Proposed Def/VA rate rider Fixed ($/month)</v>
          </cell>
          <cell r="W2" t="str">
            <v>Proposed Def/VA rate rider Volumetric($/kWh or $/kW)</v>
          </cell>
          <cell r="X2" t="str">
            <v>Proposed RTSR-NW ($/kWh or $/kW)</v>
          </cell>
          <cell r="Y2" t="str">
            <v>Proposed RTSR-CONN ($/kWh or $/kW)</v>
          </cell>
        </row>
        <row r="3">
          <cell r="A3" t="str">
            <v>UR</v>
          </cell>
          <cell r="B3">
            <v>1.0569999999999999</v>
          </cell>
          <cell r="C3">
            <v>750</v>
          </cell>
          <cell r="D3">
            <v>600</v>
          </cell>
          <cell r="E3">
            <v>0</v>
          </cell>
          <cell r="F3" t="str">
            <v>kWh</v>
          </cell>
          <cell r="G3">
            <v>22.29</v>
          </cell>
          <cell r="H3">
            <v>0</v>
          </cell>
          <cell r="I3">
            <v>0.79</v>
          </cell>
          <cell r="J3">
            <v>1.6199999999999999E-2</v>
          </cell>
          <cell r="K3">
            <v>0</v>
          </cell>
          <cell r="L3">
            <v>0</v>
          </cell>
          <cell r="M3">
            <v>0.69</v>
          </cell>
          <cell r="N3">
            <v>-2.0000000000000001E-4</v>
          </cell>
          <cell r="O3">
            <v>6.8999999999999999E-3</v>
          </cell>
          <cell r="P3">
            <v>4.8999999999999998E-3</v>
          </cell>
          <cell r="Q3">
            <v>24.78</v>
          </cell>
          <cell r="R3">
            <v>0.79</v>
          </cell>
          <cell r="S3">
            <v>9.4000000000000004E-3</v>
          </cell>
          <cell r="T3">
            <v>0</v>
          </cell>
          <cell r="U3">
            <v>0</v>
          </cell>
          <cell r="V3">
            <v>0.72</v>
          </cell>
          <cell r="W3">
            <v>-2.9999999999999997E-4</v>
          </cell>
          <cell r="X3">
            <v>6.7000000000000002E-3</v>
          </cell>
          <cell r="Y3">
            <v>4.7000000000000002E-3</v>
          </cell>
        </row>
        <row r="4">
          <cell r="A4" t="str">
            <v>R1</v>
          </cell>
          <cell r="B4">
            <v>1.0760000000000001</v>
          </cell>
          <cell r="C4">
            <v>750</v>
          </cell>
          <cell r="D4">
            <v>600</v>
          </cell>
          <cell r="E4">
            <v>0</v>
          </cell>
          <cell r="F4" t="str">
            <v>kWh</v>
          </cell>
          <cell r="G4">
            <v>30.11</v>
          </cell>
          <cell r="H4">
            <v>0</v>
          </cell>
          <cell r="I4">
            <v>0.79</v>
          </cell>
          <cell r="J4">
            <v>2.9899999999999999E-2</v>
          </cell>
          <cell r="K4">
            <v>0</v>
          </cell>
          <cell r="L4">
            <v>0</v>
          </cell>
          <cell r="M4">
            <v>0.78</v>
          </cell>
          <cell r="N4">
            <v>-1E-4</v>
          </cell>
          <cell r="O4">
            <v>6.7999999999999996E-3</v>
          </cell>
          <cell r="P4">
            <v>4.7999999999999996E-3</v>
          </cell>
          <cell r="Q4">
            <v>33.770000000000003</v>
          </cell>
          <cell r="R4">
            <v>0.79</v>
          </cell>
          <cell r="S4">
            <v>2.3E-2</v>
          </cell>
          <cell r="T4">
            <v>0</v>
          </cell>
          <cell r="U4">
            <v>0</v>
          </cell>
          <cell r="V4">
            <v>0.82</v>
          </cell>
          <cell r="W4">
            <v>-2.0000000000000001E-4</v>
          </cell>
          <cell r="X4">
            <v>6.4000000000000003E-3</v>
          </cell>
          <cell r="Y4">
            <v>4.7000000000000002E-3</v>
          </cell>
        </row>
        <row r="5">
          <cell r="A5" t="str">
            <v>R2</v>
          </cell>
          <cell r="B5">
            <v>1.105</v>
          </cell>
          <cell r="C5">
            <v>750</v>
          </cell>
          <cell r="D5">
            <v>600</v>
          </cell>
          <cell r="E5">
            <v>0</v>
          </cell>
          <cell r="F5" t="str">
            <v>kWh</v>
          </cell>
          <cell r="G5">
            <v>41.36</v>
          </cell>
          <cell r="H5">
            <v>0</v>
          </cell>
          <cell r="I5">
            <v>0.79</v>
          </cell>
          <cell r="J5">
            <v>4.2599999999999999E-2</v>
          </cell>
          <cell r="K5">
            <v>0</v>
          </cell>
          <cell r="L5">
            <v>0</v>
          </cell>
          <cell r="M5">
            <v>1.27</v>
          </cell>
          <cell r="N5">
            <v>1E-4</v>
          </cell>
          <cell r="O5">
            <v>6.4999999999999997E-3</v>
          </cell>
          <cell r="P5">
            <v>4.5999999999999999E-3</v>
          </cell>
          <cell r="Q5">
            <v>19.829999999999998</v>
          </cell>
          <cell r="R5">
            <v>0.79</v>
          </cell>
          <cell r="S5">
            <v>3.7400000000000003E-2</v>
          </cell>
          <cell r="T5">
            <v>0</v>
          </cell>
          <cell r="U5">
            <v>0</v>
          </cell>
          <cell r="V5">
            <v>1.36</v>
          </cell>
          <cell r="W5">
            <v>0</v>
          </cell>
          <cell r="X5">
            <v>6.1999999999999998E-3</v>
          </cell>
          <cell r="Y5">
            <v>4.4000000000000003E-3</v>
          </cell>
        </row>
        <row r="6">
          <cell r="A6" t="str">
            <v>Seasonal</v>
          </cell>
          <cell r="B6">
            <v>1.1040000000000001</v>
          </cell>
          <cell r="C6">
            <v>500</v>
          </cell>
          <cell r="D6">
            <v>600</v>
          </cell>
          <cell r="E6">
            <v>0</v>
          </cell>
          <cell r="F6" t="str">
            <v>kWh</v>
          </cell>
          <cell r="G6">
            <v>32.47</v>
          </cell>
          <cell r="H6">
            <v>0</v>
          </cell>
          <cell r="I6">
            <v>0.79</v>
          </cell>
          <cell r="J6">
            <v>7.4800000000000005E-2</v>
          </cell>
          <cell r="K6">
            <v>0</v>
          </cell>
          <cell r="L6">
            <v>0</v>
          </cell>
          <cell r="M6">
            <v>0.8</v>
          </cell>
          <cell r="N6">
            <v>5.0000000000000001E-4</v>
          </cell>
          <cell r="O6">
            <v>5.5999999999999999E-3</v>
          </cell>
          <cell r="P6">
            <v>4.1999999999999997E-3</v>
          </cell>
          <cell r="Q6">
            <v>36.28</v>
          </cell>
          <cell r="R6">
            <v>0.79</v>
          </cell>
          <cell r="S6">
            <v>6.3500000000000001E-2</v>
          </cell>
          <cell r="T6">
            <v>0</v>
          </cell>
          <cell r="U6">
            <v>0</v>
          </cell>
          <cell r="V6">
            <v>0.84</v>
          </cell>
          <cell r="W6">
            <v>2.9999999999999997E-4</v>
          </cell>
          <cell r="X6">
            <v>5.1000000000000004E-3</v>
          </cell>
          <cell r="Y6">
            <v>4.1999999999999997E-3</v>
          </cell>
        </row>
        <row r="7">
          <cell r="A7" t="str">
            <v>GSe</v>
          </cell>
          <cell r="B7">
            <v>1.0960000000000001</v>
          </cell>
          <cell r="C7">
            <v>2000</v>
          </cell>
          <cell r="D7">
            <v>750</v>
          </cell>
          <cell r="E7">
            <v>0</v>
          </cell>
          <cell r="F7" t="str">
            <v>kWh</v>
          </cell>
          <cell r="G7">
            <v>27.94</v>
          </cell>
          <cell r="H7">
            <v>0</v>
          </cell>
          <cell r="I7">
            <v>0.79</v>
          </cell>
          <cell r="J7">
            <v>5.6300000000000003E-2</v>
          </cell>
          <cell r="K7">
            <v>0</v>
          </cell>
          <cell r="L7">
            <v>0</v>
          </cell>
          <cell r="M7">
            <v>0.73</v>
          </cell>
          <cell r="N7">
            <v>2.0000000000000001E-4</v>
          </cell>
          <cell r="O7">
            <v>5.7000000000000002E-3</v>
          </cell>
          <cell r="P7">
            <v>3.5999999999999999E-3</v>
          </cell>
          <cell r="Q7">
            <v>27.87</v>
          </cell>
          <cell r="R7">
            <v>0.79</v>
          </cell>
          <cell r="S7">
            <v>5.6000000000000001E-2</v>
          </cell>
          <cell r="T7">
            <v>0</v>
          </cell>
          <cell r="U7">
            <v>0</v>
          </cell>
          <cell r="V7">
            <v>0.73</v>
          </cell>
          <cell r="W7">
            <v>2.0000000000000001E-4</v>
          </cell>
          <cell r="X7">
            <v>5.8999999999999999E-3</v>
          </cell>
          <cell r="Y7">
            <v>3.8E-3</v>
          </cell>
        </row>
        <row r="8">
          <cell r="A8" t="str">
            <v>UGe</v>
          </cell>
          <cell r="B8">
            <v>1.0669999999999999</v>
          </cell>
          <cell r="C8">
            <v>2000</v>
          </cell>
          <cell r="D8">
            <v>750</v>
          </cell>
          <cell r="E8">
            <v>0</v>
          </cell>
          <cell r="F8" t="str">
            <v>kWh</v>
          </cell>
          <cell r="G8">
            <v>22.28</v>
          </cell>
          <cell r="H8">
            <v>0</v>
          </cell>
          <cell r="I8">
            <v>0.79</v>
          </cell>
          <cell r="J8">
            <v>2.52E-2</v>
          </cell>
          <cell r="K8">
            <v>0</v>
          </cell>
          <cell r="L8">
            <v>0</v>
          </cell>
          <cell r="M8">
            <v>0.66</v>
          </cell>
          <cell r="N8">
            <v>-2.0000000000000001E-4</v>
          </cell>
          <cell r="O8">
            <v>6.1000000000000004E-3</v>
          </cell>
          <cell r="P8">
            <v>3.8E-3</v>
          </cell>
          <cell r="Q8">
            <v>23.3</v>
          </cell>
          <cell r="R8">
            <v>0.79</v>
          </cell>
          <cell r="S8">
            <v>2.6200000000000001E-2</v>
          </cell>
          <cell r="T8">
            <v>0</v>
          </cell>
          <cell r="U8">
            <v>0</v>
          </cell>
          <cell r="V8">
            <v>0.67</v>
          </cell>
          <cell r="W8">
            <v>-1E-4</v>
          </cell>
          <cell r="X8">
            <v>6.4000000000000003E-3</v>
          </cell>
          <cell r="Y8">
            <v>4.0000000000000001E-3</v>
          </cell>
        </row>
        <row r="9">
          <cell r="A9" t="str">
            <v>St Lgt</v>
          </cell>
          <cell r="B9">
            <v>1.0920000000000001</v>
          </cell>
          <cell r="C9">
            <v>1440</v>
          </cell>
          <cell r="D9">
            <v>750</v>
          </cell>
          <cell r="E9">
            <v>0</v>
          </cell>
          <cell r="F9" t="str">
            <v>kWh</v>
          </cell>
          <cell r="G9">
            <v>4.2300000000000004</v>
          </cell>
          <cell r="H9">
            <v>0</v>
          </cell>
          <cell r="I9">
            <v>0</v>
          </cell>
          <cell r="J9">
            <v>9.11E-2</v>
          </cell>
          <cell r="K9">
            <v>0</v>
          </cell>
          <cell r="L9">
            <v>0</v>
          </cell>
          <cell r="M9">
            <v>0.08</v>
          </cell>
          <cell r="N9">
            <v>6.9999999999999999E-4</v>
          </cell>
          <cell r="O9">
            <v>3.8999999999999998E-3</v>
          </cell>
          <cell r="P9">
            <v>3.3E-3</v>
          </cell>
          <cell r="Q9">
            <v>4.25</v>
          </cell>
          <cell r="R9">
            <v>0</v>
          </cell>
          <cell r="S9">
            <v>9.2399999999999996E-2</v>
          </cell>
          <cell r="T9">
            <v>0</v>
          </cell>
          <cell r="U9">
            <v>0</v>
          </cell>
          <cell r="V9">
            <v>0.08</v>
          </cell>
          <cell r="W9">
            <v>6.9999999999999999E-4</v>
          </cell>
          <cell r="X9">
            <v>4.4999999999999997E-3</v>
          </cell>
          <cell r="Y9">
            <v>2.7000000000000001E-3</v>
          </cell>
        </row>
        <row r="10">
          <cell r="A10" t="str">
            <v>Sen Lgt</v>
          </cell>
          <cell r="B10">
            <v>1.0920000000000001</v>
          </cell>
          <cell r="C10">
            <v>62</v>
          </cell>
          <cell r="D10">
            <v>750</v>
          </cell>
          <cell r="E10">
            <v>0</v>
          </cell>
          <cell r="F10" t="str">
            <v>kWh</v>
          </cell>
          <cell r="G10">
            <v>2.64</v>
          </cell>
          <cell r="H10">
            <v>0</v>
          </cell>
          <cell r="I10">
            <v>0</v>
          </cell>
          <cell r="J10">
            <v>0.1153</v>
          </cell>
          <cell r="K10">
            <v>0</v>
          </cell>
          <cell r="L10">
            <v>0</v>
          </cell>
          <cell r="M10">
            <v>0.05</v>
          </cell>
          <cell r="N10">
            <v>8.9999999999999998E-4</v>
          </cell>
          <cell r="O10">
            <v>3.8999999999999998E-3</v>
          </cell>
          <cell r="P10">
            <v>3.3E-3</v>
          </cell>
          <cell r="Q10">
            <v>2.71</v>
          </cell>
          <cell r="R10">
            <v>0</v>
          </cell>
          <cell r="S10">
            <v>0.1178</v>
          </cell>
          <cell r="T10">
            <v>0</v>
          </cell>
          <cell r="U10">
            <v>0</v>
          </cell>
          <cell r="V10">
            <v>0.05</v>
          </cell>
          <cell r="W10">
            <v>8.9999999999999998E-4</v>
          </cell>
          <cell r="X10">
            <v>4.4999999999999997E-3</v>
          </cell>
          <cell r="Y10">
            <v>2.7000000000000001E-3</v>
          </cell>
        </row>
        <row r="11">
          <cell r="A11" t="str">
            <v>USL</v>
          </cell>
          <cell r="B11">
            <v>1.0920000000000001</v>
          </cell>
          <cell r="C11">
            <v>500</v>
          </cell>
          <cell r="D11">
            <v>750</v>
          </cell>
          <cell r="E11">
            <v>0</v>
          </cell>
          <cell r="F11" t="str">
            <v>kWh</v>
          </cell>
          <cell r="G11">
            <v>37.07</v>
          </cell>
          <cell r="H11">
            <v>0</v>
          </cell>
          <cell r="I11">
            <v>0</v>
          </cell>
          <cell r="J11">
            <v>3.0499999999999999E-2</v>
          </cell>
          <cell r="K11">
            <v>0</v>
          </cell>
          <cell r="L11">
            <v>0</v>
          </cell>
          <cell r="M11">
            <v>0.54</v>
          </cell>
          <cell r="N11">
            <v>0</v>
          </cell>
          <cell r="O11">
            <v>4.5999999999999999E-3</v>
          </cell>
          <cell r="P11">
            <v>3.0999999999999999E-3</v>
          </cell>
          <cell r="Q11">
            <v>35.18</v>
          </cell>
          <cell r="R11">
            <v>0</v>
          </cell>
          <cell r="S11">
            <v>2.8500000000000001E-2</v>
          </cell>
          <cell r="T11">
            <v>0</v>
          </cell>
          <cell r="U11">
            <v>0</v>
          </cell>
          <cell r="V11">
            <v>0.51</v>
          </cell>
          <cell r="W11">
            <v>-1E-4</v>
          </cell>
          <cell r="X11">
            <v>4.7000000000000002E-3</v>
          </cell>
          <cell r="Y11">
            <v>3.0999999999999999E-3</v>
          </cell>
        </row>
        <row r="12">
          <cell r="A12" t="str">
            <v>GSd</v>
          </cell>
          <cell r="B12">
            <v>1.0609999999999999</v>
          </cell>
          <cell r="C12">
            <v>36000</v>
          </cell>
          <cell r="D12">
            <v>0</v>
          </cell>
          <cell r="E12">
            <v>117</v>
          </cell>
          <cell r="F12" t="str">
            <v>kW</v>
          </cell>
          <cell r="G12">
            <v>84.35</v>
          </cell>
          <cell r="H12">
            <v>0</v>
          </cell>
          <cell r="I12">
            <v>0</v>
          </cell>
          <cell r="J12">
            <v>14.8802</v>
          </cell>
          <cell r="K12">
            <v>0</v>
          </cell>
          <cell r="L12">
            <v>0</v>
          </cell>
          <cell r="M12">
            <v>1.32</v>
          </cell>
          <cell r="N12">
            <v>3.09E-2</v>
          </cell>
          <cell r="O12">
            <v>1.6583000000000001</v>
          </cell>
          <cell r="P12">
            <v>1.0911999999999999</v>
          </cell>
          <cell r="Q12">
            <v>89.48</v>
          </cell>
          <cell r="R12">
            <v>0</v>
          </cell>
          <cell r="S12">
            <v>15.912100000000001</v>
          </cell>
          <cell r="T12">
            <v>0</v>
          </cell>
          <cell r="U12">
            <v>0</v>
          </cell>
          <cell r="V12">
            <v>1.37</v>
          </cell>
          <cell r="W12">
            <v>4.2799999999999998E-2</v>
          </cell>
          <cell r="X12">
            <v>1.7027000000000001</v>
          </cell>
          <cell r="Y12">
            <v>1.1397999999999999</v>
          </cell>
        </row>
        <row r="13">
          <cell r="A13" t="str">
            <v>UGd</v>
          </cell>
          <cell r="B13">
            <v>1.05</v>
          </cell>
          <cell r="C13">
            <v>36000</v>
          </cell>
          <cell r="D13">
            <v>0</v>
          </cell>
          <cell r="E13">
            <v>117</v>
          </cell>
          <cell r="F13" t="str">
            <v>kW</v>
          </cell>
          <cell r="G13">
            <v>88.26</v>
          </cell>
          <cell r="H13">
            <v>0</v>
          </cell>
          <cell r="I13">
            <v>0</v>
          </cell>
          <cell r="J13">
            <v>8.5145999999999997</v>
          </cell>
          <cell r="K13">
            <v>0</v>
          </cell>
          <cell r="L13">
            <v>0</v>
          </cell>
          <cell r="M13">
            <v>1.36</v>
          </cell>
          <cell r="N13">
            <v>-6.9099999999999995E-2</v>
          </cell>
          <cell r="O13">
            <v>2.0449999999999999</v>
          </cell>
          <cell r="P13">
            <v>1.3278000000000001</v>
          </cell>
          <cell r="Q13">
            <v>93.97</v>
          </cell>
          <cell r="R13">
            <v>0</v>
          </cell>
          <cell r="S13">
            <v>9.0851000000000006</v>
          </cell>
          <cell r="T13">
            <v>0</v>
          </cell>
          <cell r="U13">
            <v>0</v>
          </cell>
          <cell r="V13">
            <v>1.42</v>
          </cell>
          <cell r="W13">
            <v>-6.2300000000000001E-2</v>
          </cell>
          <cell r="X13">
            <v>2.1128999999999998</v>
          </cell>
          <cell r="Y13">
            <v>1.3900999999999999</v>
          </cell>
        </row>
        <row r="14">
          <cell r="A14" t="str">
            <v>Dgen</v>
          </cell>
          <cell r="B14">
            <v>1.0609999999999999</v>
          </cell>
          <cell r="C14">
            <v>2000</v>
          </cell>
          <cell r="D14">
            <v>0</v>
          </cell>
          <cell r="E14">
            <v>15</v>
          </cell>
          <cell r="F14" t="str">
            <v>kW</v>
          </cell>
          <cell r="G14">
            <v>120.38</v>
          </cell>
          <cell r="H14">
            <v>0</v>
          </cell>
          <cell r="I14">
            <v>0</v>
          </cell>
          <cell r="J14">
            <v>5.9509999999999996</v>
          </cell>
          <cell r="K14">
            <v>0</v>
          </cell>
          <cell r="L14">
            <v>0</v>
          </cell>
          <cell r="M14">
            <v>2.2799999999999998</v>
          </cell>
          <cell r="N14">
            <v>4.8099999999999997E-2</v>
          </cell>
          <cell r="O14">
            <v>0.56720000000000004</v>
          </cell>
          <cell r="P14">
            <v>0.36630000000000001</v>
          </cell>
          <cell r="Q14">
            <v>149.34</v>
          </cell>
          <cell r="R14">
            <v>0</v>
          </cell>
          <cell r="S14">
            <v>6.9518000000000004</v>
          </cell>
          <cell r="T14">
            <v>0</v>
          </cell>
          <cell r="U14">
            <v>0</v>
          </cell>
          <cell r="V14">
            <v>2.72</v>
          </cell>
          <cell r="W14">
            <v>6.3299999999999995E-2</v>
          </cell>
          <cell r="X14">
            <v>0.55489999999999995</v>
          </cell>
          <cell r="Y14">
            <v>0.3553</v>
          </cell>
        </row>
        <row r="15">
          <cell r="A15" t="str">
            <v>ST</v>
          </cell>
          <cell r="B15">
            <v>1.034</v>
          </cell>
          <cell r="C15">
            <v>36000</v>
          </cell>
          <cell r="D15">
            <v>0</v>
          </cell>
          <cell r="E15">
            <v>117</v>
          </cell>
          <cell r="F15" t="str">
            <v>kW</v>
          </cell>
          <cell r="G15">
            <v>1222.6200000000001</v>
          </cell>
          <cell r="H15">
            <v>0</v>
          </cell>
          <cell r="I15">
            <v>0</v>
          </cell>
          <cell r="J15">
            <v>1.1739999999999999</v>
          </cell>
          <cell r="K15">
            <v>0</v>
          </cell>
          <cell r="L15">
            <v>0</v>
          </cell>
          <cell r="M15">
            <v>11.62</v>
          </cell>
          <cell r="N15">
            <v>0.31509999999999999</v>
          </cell>
          <cell r="O15">
            <v>3.4531000000000001</v>
          </cell>
          <cell r="P15">
            <v>2.6371000000000002</v>
          </cell>
          <cell r="Q15">
            <v>1256.56</v>
          </cell>
          <cell r="R15">
            <v>0</v>
          </cell>
          <cell r="S15">
            <v>1.2052</v>
          </cell>
          <cell r="T15">
            <v>0</v>
          </cell>
          <cell r="U15">
            <v>0</v>
          </cell>
          <cell r="V15">
            <v>11.86</v>
          </cell>
          <cell r="W15">
            <v>0.31259999999999999</v>
          </cell>
          <cell r="X15">
            <v>3.3028</v>
          </cell>
          <cell r="Y15">
            <v>2.6059999999999999</v>
          </cell>
        </row>
        <row r="16">
          <cell r="A16" t="str">
            <v>Seasonal All Fixed</v>
          </cell>
          <cell r="B16">
            <v>1.1040000000000001</v>
          </cell>
          <cell r="C16">
            <v>500</v>
          </cell>
          <cell r="D16">
            <v>600</v>
          </cell>
          <cell r="E16">
            <v>0</v>
          </cell>
          <cell r="F16" t="str">
            <v>kWh</v>
          </cell>
          <cell r="G16">
            <v>32.47</v>
          </cell>
          <cell r="H16">
            <v>0</v>
          </cell>
          <cell r="I16">
            <v>0.79</v>
          </cell>
          <cell r="J16">
            <v>7.4800000000000005E-2</v>
          </cell>
          <cell r="K16">
            <v>0</v>
          </cell>
          <cell r="L16">
            <v>0</v>
          </cell>
          <cell r="M16">
            <v>0.8</v>
          </cell>
          <cell r="N16">
            <v>5.0000000000000001E-4</v>
          </cell>
          <cell r="O16">
            <v>5.5999999999999999E-3</v>
          </cell>
          <cell r="P16">
            <v>4.1999999999999997E-3</v>
          </cell>
          <cell r="Q16">
            <v>59.117708819146507</v>
          </cell>
          <cell r="R16">
            <v>0.79</v>
          </cell>
          <cell r="S16">
            <v>0</v>
          </cell>
          <cell r="T16">
            <v>0</v>
          </cell>
          <cell r="U16">
            <v>0</v>
          </cell>
          <cell r="V16">
            <v>0.84</v>
          </cell>
          <cell r="W16">
            <v>2.9999999999999997E-4</v>
          </cell>
          <cell r="X16">
            <v>5.1000000000000004E-3</v>
          </cell>
          <cell r="Y16">
            <v>4.1999999999999997E-3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Design"/>
      <sheetName val="Rate Design_ModelOutput_REFonly"/>
      <sheetName val="Rate Design_2018_v6"/>
    </sheetNames>
    <sheetDataSet>
      <sheetData sheetId="0">
        <row r="8">
          <cell r="R8" t="str">
            <v>UR</v>
          </cell>
          <cell r="S8">
            <v>27.76036220972626</v>
          </cell>
          <cell r="T8">
            <v>75267509.474296629</v>
          </cell>
          <cell r="U8">
            <v>16161492.358252525</v>
          </cell>
          <cell r="V8">
            <v>0.78941949496263653</v>
          </cell>
          <cell r="W8">
            <v>0</v>
          </cell>
        </row>
        <row r="9">
          <cell r="R9" t="str">
            <v>R1</v>
          </cell>
          <cell r="S9">
            <v>37.825388391181541</v>
          </cell>
          <cell r="T9">
            <v>202487555.80575907</v>
          </cell>
          <cell r="U9">
            <v>108546893.77952862</v>
          </cell>
          <cell r="V9">
            <v>2.2044148681432447</v>
          </cell>
          <cell r="W9">
            <v>0</v>
          </cell>
        </row>
        <row r="10">
          <cell r="R10" t="str">
            <v>R2</v>
          </cell>
          <cell r="S10">
            <v>88.699266117229513</v>
          </cell>
          <cell r="T10">
            <v>349557087.65246546</v>
          </cell>
          <cell r="U10">
            <v>164913218.43974814</v>
          </cell>
          <cell r="V10">
            <v>3.6329560339263955</v>
          </cell>
          <cell r="W10">
            <v>0</v>
          </cell>
        </row>
        <row r="11">
          <cell r="R11" t="str">
            <v>Seasonal</v>
          </cell>
          <cell r="S11">
            <v>40.566927410526787</v>
          </cell>
          <cell r="T11">
            <v>72769594.569543153</v>
          </cell>
          <cell r="U11">
            <v>38449790.201777153</v>
          </cell>
          <cell r="V11">
            <v>6.0845860570423387</v>
          </cell>
          <cell r="W11">
            <v>0</v>
          </cell>
        </row>
        <row r="12">
          <cell r="R12" t="str">
            <v>GSe</v>
          </cell>
          <cell r="S12">
            <v>29.68335897951275</v>
          </cell>
          <cell r="T12">
            <v>31517992.34235511</v>
          </cell>
          <cell r="U12">
            <v>124425155.87653731</v>
          </cell>
          <cell r="V12">
            <v>5.9136448333317269</v>
          </cell>
          <cell r="W12">
            <v>0</v>
          </cell>
        </row>
        <row r="13">
          <cell r="R13" t="str">
            <v>GSd</v>
          </cell>
          <cell r="S13">
            <v>102.93436329708373</v>
          </cell>
          <cell r="T13">
            <v>6677125.2157383813</v>
          </cell>
          <cell r="U13">
            <v>134557021.64813638</v>
          </cell>
          <cell r="V13">
            <v>0</v>
          </cell>
          <cell r="W13">
            <v>16.765312213576408</v>
          </cell>
        </row>
        <row r="14">
          <cell r="R14" t="str">
            <v>UGe</v>
          </cell>
          <cell r="S14">
            <v>23.974167158951136</v>
          </cell>
          <cell r="T14">
            <v>5199672.9703823328</v>
          </cell>
          <cell r="U14">
            <v>16729764.438609727</v>
          </cell>
          <cell r="V14">
            <v>2.7959046870517374</v>
          </cell>
          <cell r="W14">
            <v>0</v>
          </cell>
        </row>
        <row r="15">
          <cell r="R15" t="str">
            <v>UGd</v>
          </cell>
          <cell r="S15">
            <v>101.13338074312655</v>
          </cell>
          <cell r="T15">
            <v>2116806.366024564</v>
          </cell>
          <cell r="U15">
            <v>27183710.131038968</v>
          </cell>
          <cell r="V15">
            <v>0</v>
          </cell>
          <cell r="W15">
            <v>9.5976749357532061</v>
          </cell>
        </row>
        <row r="16">
          <cell r="R16" t="str">
            <v>St Lgt</v>
          </cell>
          <cell r="S16">
            <v>4.084540775598362</v>
          </cell>
          <cell r="T16">
            <v>260915.00647733704</v>
          </cell>
          <cell r="U16">
            <v>11889141.406646384</v>
          </cell>
          <cell r="V16">
            <v>9.7959563700271861</v>
          </cell>
          <cell r="W16">
            <v>0</v>
          </cell>
        </row>
        <row r="17">
          <cell r="R17" t="str">
            <v>Sen Lgt</v>
          </cell>
          <cell r="S17">
            <v>3.1040345534747433</v>
          </cell>
          <cell r="T17">
            <v>893471.89104810404</v>
          </cell>
          <cell r="U17">
            <v>2406041.5181022384</v>
          </cell>
          <cell r="V17">
            <v>11.80266509826675</v>
          </cell>
          <cell r="W17">
            <v>0</v>
          </cell>
        </row>
        <row r="18">
          <cell r="R18" t="str">
            <v>USL</v>
          </cell>
          <cell r="S18">
            <v>35.096828170899016</v>
          </cell>
          <cell r="T18">
            <v>2357352.3360712393</v>
          </cell>
          <cell r="U18">
            <v>701044.33838974603</v>
          </cell>
          <cell r="V18">
            <v>2.8687600732695246</v>
          </cell>
          <cell r="W18">
            <v>0</v>
          </cell>
        </row>
        <row r="19">
          <cell r="R19" t="str">
            <v>Dgen</v>
          </cell>
          <cell r="S19">
            <v>198.03</v>
          </cell>
          <cell r="T19">
            <v>2738713.4680628213</v>
          </cell>
          <cell r="U19">
            <v>1119366.1823655681</v>
          </cell>
          <cell r="V19">
            <v>0</v>
          </cell>
          <cell r="W19">
            <v>6.0591699569230721</v>
          </cell>
        </row>
        <row r="20">
          <cell r="R20" t="str">
            <v>ST</v>
          </cell>
          <cell r="S20">
            <v>1026.2242060510348</v>
          </cell>
          <cell r="T20">
            <v>9953308.2174849715</v>
          </cell>
          <cell r="U20">
            <v>43243852.630885839</v>
          </cell>
          <cell r="V20">
            <v>0</v>
          </cell>
          <cell r="W20">
            <v>1.4425221829083439</v>
          </cell>
        </row>
      </sheetData>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 Rider"/>
      <sheetName val="Reverse Calc"/>
      <sheetName val="VA Rider_2017_Seas Status Quo_N"/>
    </sheetNames>
    <sheetDataSet>
      <sheetData sheetId="0">
        <row r="59">
          <cell r="F59" t="str">
            <v>UR</v>
          </cell>
          <cell r="G59" t="str">
            <v>R1</v>
          </cell>
          <cell r="H59" t="str">
            <v>R2</v>
          </cell>
          <cell r="I59" t="str">
            <v>Seasonal</v>
          </cell>
          <cell r="J59" t="str">
            <v>GSe</v>
          </cell>
          <cell r="K59" t="str">
            <v>GSd</v>
          </cell>
          <cell r="L59" t="str">
            <v>UGe</v>
          </cell>
          <cell r="M59" t="str">
            <v>UGd</v>
          </cell>
          <cell r="N59" t="str">
            <v>St Lgt</v>
          </cell>
          <cell r="O59" t="str">
            <v>Sen Lgt</v>
          </cell>
          <cell r="P59" t="str">
            <v>USL</v>
          </cell>
          <cell r="Q59" t="str">
            <v>Dgen</v>
          </cell>
          <cell r="R59" t="str">
            <v>ST</v>
          </cell>
        </row>
        <row r="60">
          <cell r="F60">
            <v>0.72</v>
          </cell>
          <cell r="G60">
            <v>0.82</v>
          </cell>
          <cell r="H60">
            <v>1.36</v>
          </cell>
          <cell r="I60">
            <v>0.84</v>
          </cell>
          <cell r="J60">
            <v>0.73</v>
          </cell>
          <cell r="K60">
            <v>1.37</v>
          </cell>
          <cell r="L60">
            <v>0.67</v>
          </cell>
          <cell r="M60">
            <v>1.42</v>
          </cell>
          <cell r="N60">
            <v>0.08</v>
          </cell>
          <cell r="O60">
            <v>0.05</v>
          </cell>
          <cell r="P60">
            <v>0.51</v>
          </cell>
          <cell r="Q60">
            <v>2.72</v>
          </cell>
          <cell r="R60">
            <v>11.86</v>
          </cell>
        </row>
        <row r="61">
          <cell r="F61">
            <v>-2.9999999999999997E-4</v>
          </cell>
          <cell r="G61">
            <v>-2.0000000000000001E-4</v>
          </cell>
          <cell r="H61">
            <v>0</v>
          </cell>
          <cell r="I61">
            <v>2.9999999999999997E-4</v>
          </cell>
          <cell r="J61">
            <v>2.0000000000000001E-4</v>
          </cell>
          <cell r="K61">
            <v>0</v>
          </cell>
          <cell r="L61">
            <v>-1E-4</v>
          </cell>
          <cell r="M61">
            <v>0</v>
          </cell>
          <cell r="N61">
            <v>6.9999999999999999E-4</v>
          </cell>
          <cell r="O61">
            <v>8.9999999999999998E-4</v>
          </cell>
          <cell r="P61">
            <v>-1E-4</v>
          </cell>
          <cell r="Q61">
            <v>0</v>
          </cell>
          <cell r="R61">
            <v>0</v>
          </cell>
        </row>
        <row r="62">
          <cell r="F62">
            <v>0</v>
          </cell>
          <cell r="G62">
            <v>0</v>
          </cell>
          <cell r="H62">
            <v>0</v>
          </cell>
          <cell r="I62">
            <v>0</v>
          </cell>
          <cell r="J62">
            <v>0</v>
          </cell>
          <cell r="K62">
            <v>4.2799999999999998E-2</v>
          </cell>
          <cell r="L62">
            <v>0</v>
          </cell>
          <cell r="M62">
            <v>-6.2300000000000001E-2</v>
          </cell>
          <cell r="N62">
            <v>0</v>
          </cell>
          <cell r="O62">
            <v>0</v>
          </cell>
          <cell r="P62">
            <v>0</v>
          </cell>
          <cell r="Q62">
            <v>6.3299999999999995E-2</v>
          </cell>
          <cell r="R62" t="str">
            <v>*see ST rider derivation below</v>
          </cell>
        </row>
        <row r="63">
          <cell r="F63">
            <v>-1E-3</v>
          </cell>
          <cell r="G63">
            <v>-1E-3</v>
          </cell>
          <cell r="H63">
            <v>-1E-3</v>
          </cell>
          <cell r="I63">
            <v>-1E-3</v>
          </cell>
          <cell r="J63">
            <v>-1E-3</v>
          </cell>
          <cell r="K63">
            <v>-1E-3</v>
          </cell>
          <cell r="L63">
            <v>-1E-3</v>
          </cell>
          <cell r="M63">
            <v>-1E-3</v>
          </cell>
          <cell r="N63">
            <v>-1E-3</v>
          </cell>
          <cell r="O63">
            <v>-1E-3</v>
          </cell>
          <cell r="P63">
            <v>-1E-3</v>
          </cell>
          <cell r="Q63">
            <v>-1E-3</v>
          </cell>
          <cell r="R63">
            <v>-1E-3</v>
          </cell>
        </row>
      </sheetData>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 Rider"/>
      <sheetName val="Reverse Calc"/>
      <sheetName val="Reverse Calc_2018"/>
    </sheetNames>
    <sheetDataSet>
      <sheetData sheetId="0">
        <row r="61">
          <cell r="F61" t="str">
            <v>UR</v>
          </cell>
          <cell r="G61" t="str">
            <v>R1</v>
          </cell>
          <cell r="H61" t="str">
            <v>R2</v>
          </cell>
          <cell r="I61" t="str">
            <v>Seasonal</v>
          </cell>
          <cell r="J61" t="str">
            <v>GSe</v>
          </cell>
          <cell r="K61" t="str">
            <v>GSd</v>
          </cell>
          <cell r="L61" t="str">
            <v>UGe</v>
          </cell>
          <cell r="M61" t="str">
            <v>UGd</v>
          </cell>
          <cell r="N61" t="str">
            <v>St Lgt</v>
          </cell>
          <cell r="O61" t="str">
            <v>Sen Lgt</v>
          </cell>
          <cell r="P61" t="str">
            <v>USL</v>
          </cell>
          <cell r="Q61" t="str">
            <v>Dgen</v>
          </cell>
          <cell r="R61" t="str">
            <v>ST</v>
          </cell>
        </row>
        <row r="62">
          <cell r="F62">
            <v>0.01</v>
          </cell>
          <cell r="G62">
            <v>0</v>
          </cell>
          <cell r="H62">
            <v>-0.02</v>
          </cell>
          <cell r="I62">
            <v>0</v>
          </cell>
          <cell r="J62">
            <v>0</v>
          </cell>
          <cell r="K62">
            <v>-0.02</v>
          </cell>
          <cell r="L62">
            <v>0.01</v>
          </cell>
          <cell r="M62">
            <v>0.01</v>
          </cell>
          <cell r="N62">
            <v>0</v>
          </cell>
          <cell r="O62">
            <v>0</v>
          </cell>
          <cell r="P62">
            <v>-0.01</v>
          </cell>
          <cell r="Q62">
            <v>0.01</v>
          </cell>
          <cell r="R62">
            <v>3.83</v>
          </cell>
        </row>
        <row r="63">
          <cell r="F63">
            <v>1E-4</v>
          </cell>
          <cell r="G63">
            <v>1E-4</v>
          </cell>
          <cell r="H63">
            <v>1E-4</v>
          </cell>
          <cell r="I63">
            <v>1E-4</v>
          </cell>
          <cell r="J63">
            <v>1E-4</v>
          </cell>
          <cell r="K63">
            <v>0</v>
          </cell>
          <cell r="L63">
            <v>1E-4</v>
          </cell>
          <cell r="M63">
            <v>0</v>
          </cell>
          <cell r="N63">
            <v>1E-4</v>
          </cell>
          <cell r="O63">
            <v>0</v>
          </cell>
          <cell r="P63">
            <v>1E-4</v>
          </cell>
          <cell r="Q63">
            <v>0</v>
          </cell>
          <cell r="R63">
            <v>0</v>
          </cell>
        </row>
        <row r="64">
          <cell r="F64">
            <v>0</v>
          </cell>
          <cell r="G64">
            <v>0</v>
          </cell>
          <cell r="H64">
            <v>0</v>
          </cell>
          <cell r="I64">
            <v>0</v>
          </cell>
          <cell r="J64">
            <v>0</v>
          </cell>
          <cell r="K64">
            <v>2.9700000000000001E-2</v>
          </cell>
          <cell r="L64">
            <v>0</v>
          </cell>
          <cell r="M64">
            <v>4.2500000000000003E-2</v>
          </cell>
          <cell r="N64">
            <v>0</v>
          </cell>
          <cell r="O64">
            <v>0</v>
          </cell>
          <cell r="P64">
            <v>0</v>
          </cell>
          <cell r="Q64">
            <v>1.1299999999999999E-2</v>
          </cell>
          <cell r="R64" t="str">
            <v>*see ST rider derivation below</v>
          </cell>
        </row>
        <row r="65">
          <cell r="F65">
            <v>1.9E-3</v>
          </cell>
          <cell r="G65">
            <v>1.9E-3</v>
          </cell>
          <cell r="H65">
            <v>1.9E-3</v>
          </cell>
          <cell r="I65">
            <v>1.9E-3</v>
          </cell>
          <cell r="J65">
            <v>1.9E-3</v>
          </cell>
          <cell r="K65">
            <v>1.9E-3</v>
          </cell>
          <cell r="L65">
            <v>1.9E-3</v>
          </cell>
          <cell r="M65">
            <v>1.9E-3</v>
          </cell>
          <cell r="N65">
            <v>1.9E-3</v>
          </cell>
          <cell r="O65">
            <v>1.9E-3</v>
          </cell>
          <cell r="P65">
            <v>1.9E-3</v>
          </cell>
          <cell r="Q65">
            <v>1.9E-3</v>
          </cell>
          <cell r="R65">
            <v>1.9E-3</v>
          </cell>
        </row>
        <row r="66">
          <cell r="F66">
            <v>1E-4</v>
          </cell>
          <cell r="G66">
            <v>1E-4</v>
          </cell>
          <cell r="H66">
            <v>1E-4</v>
          </cell>
          <cell r="I66">
            <v>1E-4</v>
          </cell>
          <cell r="J66">
            <v>1E-4</v>
          </cell>
          <cell r="K66">
            <v>1.7299999999999999E-2</v>
          </cell>
          <cell r="L66">
            <v>1E-4</v>
          </cell>
          <cell r="M66">
            <v>2.2100000000000002E-2</v>
          </cell>
          <cell r="N66">
            <v>1E-4</v>
          </cell>
          <cell r="O66">
            <v>1E-4</v>
          </cell>
          <cell r="P66">
            <v>1E-4</v>
          </cell>
          <cell r="Q66">
            <v>5.8999999999999999E-3</v>
          </cell>
          <cell r="R66">
            <v>1.5800000000000002E-2</v>
          </cell>
        </row>
        <row r="67">
          <cell r="F67">
            <v>0</v>
          </cell>
          <cell r="G67">
            <v>0</v>
          </cell>
          <cell r="H67">
            <v>0</v>
          </cell>
          <cell r="I67">
            <v>0</v>
          </cell>
          <cell r="J67">
            <v>0</v>
          </cell>
          <cell r="K67">
            <v>0</v>
          </cell>
          <cell r="L67">
            <v>0</v>
          </cell>
          <cell r="M67">
            <v>0</v>
          </cell>
          <cell r="N67">
            <v>0</v>
          </cell>
          <cell r="O67">
            <v>0</v>
          </cell>
          <cell r="P67">
            <v>0</v>
          </cell>
          <cell r="Q67">
            <v>0</v>
          </cell>
          <cell r="R67">
            <v>0</v>
          </cell>
        </row>
        <row r="71">
          <cell r="H71">
            <v>0.2341</v>
          </cell>
        </row>
        <row r="72">
          <cell r="H72">
            <v>2.3E-2</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x_peak"/>
      <sheetName val="tx_peak"/>
      <sheetName val="TotTXPk"/>
      <sheetName val="TotST"/>
      <sheetName val="Hourly load shapes by class"/>
      <sheetName val="st_cdet"/>
      <sheetName val="Line Loss Factors"/>
      <sheetName val="Summary"/>
      <sheetName val="Evidence-Table1"/>
      <sheetName val="Evidence-Table2"/>
      <sheetName val="Sheet1"/>
      <sheetName val="DRO Exhibit 3.4"/>
      <sheetName val="RTSR Calculation_2018_v6"/>
    </sheetNames>
    <sheetDataSet>
      <sheetData sheetId="0"/>
      <sheetData sheetId="1"/>
      <sheetData sheetId="2"/>
      <sheetData sheetId="3"/>
      <sheetData sheetId="4"/>
      <sheetData sheetId="5"/>
      <sheetData sheetId="6"/>
      <sheetData sheetId="7">
        <row r="18">
          <cell r="O18">
            <v>0.73219999999999996</v>
          </cell>
          <cell r="P18">
            <v>1.7844</v>
          </cell>
        </row>
      </sheetData>
      <sheetData sheetId="8"/>
      <sheetData sheetId="9"/>
      <sheetData sheetId="10"/>
      <sheetData sheetId="11">
        <row r="9">
          <cell r="A9" t="str">
            <v>ST</v>
          </cell>
          <cell r="B9">
            <v>100375646.84941244</v>
          </cell>
          <cell r="C9">
            <v>17963029.017927352</v>
          </cell>
          <cell r="D9">
            <v>52778276.406090297</v>
          </cell>
          <cell r="E9">
            <v>171116952.27343008</v>
          </cell>
          <cell r="F9">
            <v>0.41893636415706714</v>
          </cell>
          <cell r="G9">
            <v>0</v>
          </cell>
          <cell r="H9">
            <v>3.1941999999999999</v>
          </cell>
          <cell r="I9" t="str">
            <v>0.771 Line</v>
          </cell>
          <cell r="J9">
            <v>3.3719999999999999</v>
          </cell>
          <cell r="K9" t="str">
            <v>0.7322 Line</v>
          </cell>
        </row>
        <row r="10">
          <cell r="A10">
            <v>0</v>
          </cell>
          <cell r="B10">
            <v>0</v>
          </cell>
          <cell r="C10">
            <v>0</v>
          </cell>
          <cell r="D10">
            <v>0</v>
          </cell>
          <cell r="E10">
            <v>0</v>
          </cell>
          <cell r="F10">
            <v>0</v>
          </cell>
          <cell r="G10">
            <v>0</v>
          </cell>
          <cell r="H10">
            <v>0</v>
          </cell>
          <cell r="I10" t="str">
            <v>1.7493 Transf.</v>
          </cell>
          <cell r="J10">
            <v>0</v>
          </cell>
          <cell r="K10" t="str">
            <v>1.7844 Transf.</v>
          </cell>
        </row>
        <row r="11">
          <cell r="A11" t="str">
            <v>Retail</v>
          </cell>
          <cell r="B11">
            <v>130615971.39163724</v>
          </cell>
          <cell r="C11">
            <v>30390413.377428468</v>
          </cell>
          <cell r="D11">
            <v>76332378.225217551</v>
          </cell>
          <cell r="E11">
            <v>237338762.99428326</v>
          </cell>
          <cell r="F11">
            <v>0.58106363584293286</v>
          </cell>
          <cell r="G11">
            <v>0</v>
          </cell>
          <cell r="H11">
            <v>0</v>
          </cell>
          <cell r="I11">
            <v>0</v>
          </cell>
          <cell r="J11">
            <v>0</v>
          </cell>
          <cell r="K11">
            <v>0</v>
          </cell>
        </row>
        <row r="12">
          <cell r="A12" t="str">
            <v>UR</v>
          </cell>
          <cell r="B12">
            <v>16939280.824647889</v>
          </cell>
          <cell r="C12">
            <v>3967202.0553140501</v>
          </cell>
          <cell r="D12">
            <v>9964522.8257081583</v>
          </cell>
          <cell r="E12">
            <v>30871005.705670096</v>
          </cell>
          <cell r="F12">
            <v>0</v>
          </cell>
          <cell r="G12" t="str">
            <v>$/kWh</v>
          </cell>
          <cell r="H12">
            <v>6.6949999999999996E-3</v>
          </cell>
          <cell r="I12">
            <v>4.7489999999999997E-3</v>
          </cell>
          <cell r="J12">
            <v>7.8279999999999999E-3</v>
          </cell>
          <cell r="K12">
            <v>6.4380000000000001E-3</v>
          </cell>
        </row>
        <row r="13">
          <cell r="A13" t="str">
            <v>R1</v>
          </cell>
          <cell r="B13">
            <v>38186988.8079018</v>
          </cell>
          <cell r="C13">
            <v>9100459.6963985916</v>
          </cell>
          <cell r="D13">
            <v>22857857.276952431</v>
          </cell>
          <cell r="E13">
            <v>70145305.781252831</v>
          </cell>
          <cell r="F13">
            <v>0</v>
          </cell>
          <cell r="G13" t="str">
            <v>$/kWh</v>
          </cell>
          <cell r="H13">
            <v>6.4440000000000001E-3</v>
          </cell>
          <cell r="I13">
            <v>4.7239999999999999E-3</v>
          </cell>
          <cell r="J13">
            <v>7.2069999999999999E-3</v>
          </cell>
          <cell r="K13">
            <v>6.0319999999999992E-3</v>
          </cell>
        </row>
        <row r="14">
          <cell r="A14" t="str">
            <v>R2</v>
          </cell>
          <cell r="B14">
            <v>33809580.547051169</v>
          </cell>
          <cell r="C14">
            <v>8041507.9812442353</v>
          </cell>
          <cell r="D14">
            <v>20198061.181403402</v>
          </cell>
          <cell r="E14">
            <v>62049149.709698811</v>
          </cell>
          <cell r="F14">
            <v>0</v>
          </cell>
          <cell r="G14" t="str">
            <v>$/kWh</v>
          </cell>
          <cell r="H14">
            <v>6.1980000000000004E-3</v>
          </cell>
          <cell r="I14">
            <v>4.3940000000000003E-3</v>
          </cell>
          <cell r="J14">
            <v>6.7400000000000003E-3</v>
          </cell>
          <cell r="K14">
            <v>5.6299999999999996E-3</v>
          </cell>
        </row>
        <row r="15">
          <cell r="A15" t="str">
            <v>Seasonal</v>
          </cell>
          <cell r="B15">
            <v>3945797.5131651834</v>
          </cell>
          <cell r="C15">
            <v>957693.37458573433</v>
          </cell>
          <cell r="D15">
            <v>2405462.9328259882</v>
          </cell>
          <cell r="E15">
            <v>7308953.8205769062</v>
          </cell>
          <cell r="F15">
            <v>0</v>
          </cell>
          <cell r="G15" t="str">
            <v>$/kWh</v>
          </cell>
          <cell r="H15">
            <v>5.1190000000000003E-3</v>
          </cell>
          <cell r="I15">
            <v>4.1960000000000001E-3</v>
          </cell>
          <cell r="J15">
            <v>5.6559999999999996E-3</v>
          </cell>
          <cell r="K15">
            <v>4.8209999999999998E-3</v>
          </cell>
        </row>
        <row r="16">
          <cell r="A16" t="str">
            <v>UGe</v>
          </cell>
          <cell r="B16">
            <v>3898173.7424655021</v>
          </cell>
          <cell r="C16">
            <v>845693.03336475522</v>
          </cell>
          <cell r="D16">
            <v>2124148.8124401532</v>
          </cell>
          <cell r="E16">
            <v>6868015.5882704109</v>
          </cell>
          <cell r="F16">
            <v>0</v>
          </cell>
          <cell r="G16" t="str">
            <v>$/kWh</v>
          </cell>
          <cell r="H16">
            <v>6.3649999999999991E-3</v>
          </cell>
          <cell r="I16">
            <v>3.9810000000000002E-3</v>
          </cell>
          <cell r="J16">
            <v>6.1060000000000003E-3</v>
          </cell>
          <cell r="K16">
            <v>4.6519999999999999E-3</v>
          </cell>
        </row>
        <row r="17">
          <cell r="A17" t="str">
            <v>UGd</v>
          </cell>
          <cell r="B17">
            <v>6318987.1203868259</v>
          </cell>
          <cell r="C17">
            <v>1374863.2417443302</v>
          </cell>
          <cell r="D17">
            <v>3453279.153310982</v>
          </cell>
          <cell r="E17">
            <v>11147129.515442139</v>
          </cell>
          <cell r="F17">
            <v>0</v>
          </cell>
          <cell r="G17" t="str">
            <v>$/kW</v>
          </cell>
          <cell r="H17">
            <v>2.0123000000000002</v>
          </cell>
          <cell r="I17">
            <v>1.3239000000000001</v>
          </cell>
          <cell r="J17">
            <v>2.1248</v>
          </cell>
          <cell r="K17">
            <v>1.6234999999999999</v>
          </cell>
        </row>
        <row r="18">
          <cell r="A18" t="str">
            <v>GSe</v>
          </cell>
          <cell r="B18">
            <v>13127463.097446248</v>
          </cell>
          <cell r="C18">
            <v>2937609.2015352175</v>
          </cell>
          <cell r="D18">
            <v>7378468.1328490544</v>
          </cell>
          <cell r="E18">
            <v>23443540.431830518</v>
          </cell>
          <cell r="F18">
            <v>0</v>
          </cell>
          <cell r="G18" t="str">
            <v>$/kWh</v>
          </cell>
          <cell r="H18">
            <v>5.8530000000000006E-3</v>
          </cell>
          <cell r="I18">
            <v>3.7830000000000003E-3</v>
          </cell>
          <cell r="J18">
            <v>5.6930000000000001E-3</v>
          </cell>
          <cell r="K18">
            <v>4.4740000000000005E-3</v>
          </cell>
        </row>
        <row r="19">
          <cell r="A19" t="str">
            <v>GSd</v>
          </cell>
          <cell r="B19">
            <v>13417664.776011612</v>
          </cell>
          <cell r="C19">
            <v>2918296.1506628534</v>
          </cell>
          <cell r="D19">
            <v>7329959.0492257597</v>
          </cell>
          <cell r="E19">
            <v>23665919.975900225</v>
          </cell>
          <cell r="F19">
            <v>0</v>
          </cell>
          <cell r="G19" t="str">
            <v>$/kW</v>
          </cell>
          <cell r="H19">
            <v>1.6048</v>
          </cell>
          <cell r="I19">
            <v>1.0743</v>
          </cell>
          <cell r="J19">
            <v>1.5757000000000001</v>
          </cell>
          <cell r="K19">
            <v>1.2035</v>
          </cell>
        </row>
        <row r="20">
          <cell r="A20" t="str">
            <v>DGen</v>
          </cell>
          <cell r="B20">
            <v>116580.35480171075</v>
          </cell>
          <cell r="C20">
            <v>28800.042140412239</v>
          </cell>
          <cell r="D20">
            <v>72337.802130619457</v>
          </cell>
          <cell r="E20">
            <v>217718.19907274243</v>
          </cell>
          <cell r="F20">
            <v>0</v>
          </cell>
          <cell r="G20" t="str">
            <v>$/kW</v>
          </cell>
          <cell r="H20">
            <v>0.52300000000000002</v>
          </cell>
          <cell r="I20">
            <v>0.33489999999999998</v>
          </cell>
          <cell r="J20">
            <v>0.5948</v>
          </cell>
          <cell r="K20">
            <v>0.51600000000000001</v>
          </cell>
        </row>
        <row r="21">
          <cell r="A21" t="str">
            <v>USL</v>
          </cell>
          <cell r="B21">
            <v>127277.33413559599</v>
          </cell>
          <cell r="C21">
            <v>28837.389973334208</v>
          </cell>
          <cell r="D21">
            <v>72431.609637384376</v>
          </cell>
          <cell r="E21">
            <v>228546.33374631457</v>
          </cell>
          <cell r="F21">
            <v>0</v>
          </cell>
          <cell r="G21" t="str">
            <v>$/kWh</v>
          </cell>
          <cell r="H21">
            <v>4.6589999999999999E-3</v>
          </cell>
          <cell r="I21">
            <v>3.0969999999999999E-3</v>
          </cell>
          <cell r="J21">
            <v>4.7699999999999999E-3</v>
          </cell>
          <cell r="K21">
            <v>3.7950000000000002E-3</v>
          </cell>
        </row>
        <row r="22">
          <cell r="A22" t="str">
            <v>Lighting</v>
          </cell>
          <cell r="B22">
            <v>622651.15937365731</v>
          </cell>
          <cell r="C22">
            <v>161900.71838154842</v>
          </cell>
          <cell r="D22">
            <v>406650.1734265156</v>
          </cell>
          <cell r="E22">
            <v>1191202.0511817213</v>
          </cell>
          <cell r="F22">
            <v>0</v>
          </cell>
          <cell r="G22" t="str">
            <v>$/kWh</v>
          </cell>
          <cell r="H22">
            <v>4.5019999999999999E-3</v>
          </cell>
          <cell r="I22">
            <v>2.7360000000000002E-3</v>
          </cell>
          <cell r="J22">
            <v>4.6979999999999999E-3</v>
          </cell>
          <cell r="K22">
            <v>4.2899999999999995E-3</v>
          </cell>
        </row>
      </sheetData>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5">
          <cell r="B5">
            <v>250.60464000000002</v>
          </cell>
        </row>
        <row r="7">
          <cell r="B7">
            <v>63.590321692096069</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CA_Extract"/>
      <sheetName val="ActualInputs_ScaleUp"/>
      <sheetName val="Charge_dets_SUMMARY"/>
      <sheetName val="Fixed"/>
      <sheetName val="HVDS High"/>
      <sheetName val="LVDS Low"/>
      <sheetName val="Specific Line"/>
      <sheetName val="Rate Calc"/>
      <sheetName val="Exhibit G1-4-4"/>
      <sheetName val="Exhibit G-7-1"/>
      <sheetName val="Sheet1"/>
      <sheetName val="DRO_EXHIBIT3.1.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6">
          <cell r="G16">
            <v>533.12</v>
          </cell>
          <cell r="H16">
            <v>670.96</v>
          </cell>
        </row>
        <row r="36">
          <cell r="D36">
            <v>1.3153070071616677</v>
          </cell>
        </row>
      </sheetData>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9">
          <cell r="A9" t="str">
            <v>UR</v>
          </cell>
          <cell r="B9">
            <v>0</v>
          </cell>
          <cell r="C9">
            <v>225944.18649169474</v>
          </cell>
          <cell r="D9">
            <v>2047.2628889178184</v>
          </cell>
          <cell r="E9">
            <v>0</v>
          </cell>
          <cell r="F9">
            <v>1.0569999999999999</v>
          </cell>
          <cell r="G9">
            <v>170605240.74315152</v>
          </cell>
          <cell r="H9">
            <v>755</v>
          </cell>
          <cell r="I9">
            <v>0</v>
          </cell>
        </row>
        <row r="10">
          <cell r="A10" t="str">
            <v>R1</v>
          </cell>
          <cell r="B10">
            <v>0</v>
          </cell>
          <cell r="C10">
            <v>446101.51280686347</v>
          </cell>
          <cell r="D10">
            <v>4924.0683025766612</v>
          </cell>
          <cell r="E10">
            <v>0</v>
          </cell>
          <cell r="F10">
            <v>1.0760000000000001</v>
          </cell>
          <cell r="G10">
            <v>410339025.21472174</v>
          </cell>
          <cell r="H10">
            <v>920</v>
          </cell>
          <cell r="I10">
            <v>0</v>
          </cell>
        </row>
        <row r="11">
          <cell r="A11" t="str">
            <v>R2</v>
          </cell>
          <cell r="B11">
            <v>0</v>
          </cell>
          <cell r="C11">
            <v>328410.3530898749</v>
          </cell>
          <cell r="D11">
            <v>4539.3673058441782</v>
          </cell>
          <cell r="E11">
            <v>0</v>
          </cell>
          <cell r="F11">
            <v>1.105</v>
          </cell>
          <cell r="G11">
            <v>378280608.8203482</v>
          </cell>
          <cell r="H11">
            <v>1152</v>
          </cell>
          <cell r="I11">
            <v>0</v>
          </cell>
        </row>
        <row r="12">
          <cell r="A12" t="str">
            <v>Seasonal</v>
          </cell>
          <cell r="B12">
            <v>0</v>
          </cell>
          <cell r="C12">
            <v>149484.64840405117</v>
          </cell>
          <cell r="D12">
            <v>631.92121602545365</v>
          </cell>
          <cell r="E12">
            <v>0</v>
          </cell>
          <cell r="F12">
            <v>1.1040000000000001</v>
          </cell>
          <cell r="G12">
            <v>52660101.335454471</v>
          </cell>
          <cell r="H12">
            <v>352</v>
          </cell>
          <cell r="I12">
            <v>0</v>
          </cell>
        </row>
        <row r="13">
          <cell r="A13" t="str">
            <v>GSe</v>
          </cell>
          <cell r="B13">
            <v>0</v>
          </cell>
          <cell r="C13">
            <v>88483.899806478017</v>
          </cell>
          <cell r="D13">
            <v>2104.034979835551</v>
          </cell>
          <cell r="E13">
            <v>0</v>
          </cell>
          <cell r="F13">
            <v>1.0960000000000001</v>
          </cell>
          <cell r="G13">
            <v>175336248.31962925</v>
          </cell>
          <cell r="H13">
            <v>1982</v>
          </cell>
          <cell r="I13">
            <v>0</v>
          </cell>
        </row>
        <row r="14">
          <cell r="A14" t="str">
            <v>GSd</v>
          </cell>
          <cell r="B14">
            <v>0</v>
          </cell>
          <cell r="C14">
            <v>5405.649614848262</v>
          </cell>
          <cell r="D14">
            <v>2341.9790377935678</v>
          </cell>
          <cell r="E14">
            <v>8025918.0344505152</v>
          </cell>
          <cell r="F14">
            <v>1.0669999999999999</v>
          </cell>
          <cell r="G14">
            <v>195164919.81613064</v>
          </cell>
          <cell r="H14">
            <v>36104</v>
          </cell>
          <cell r="I14">
            <v>124</v>
          </cell>
        </row>
        <row r="15">
          <cell r="A15" t="str">
            <v>UGe</v>
          </cell>
          <cell r="B15">
            <v>0</v>
          </cell>
          <cell r="C15">
            <v>18073.874182670519</v>
          </cell>
          <cell r="D15">
            <v>598.36676536535117</v>
          </cell>
          <cell r="E15">
            <v>0</v>
          </cell>
          <cell r="F15">
            <v>1.0920000000000001</v>
          </cell>
          <cell r="G15">
            <v>49863897.113779269</v>
          </cell>
          <cell r="H15">
            <v>2759</v>
          </cell>
          <cell r="I15">
            <v>0</v>
          </cell>
        </row>
        <row r="16">
          <cell r="A16" t="str">
            <v>UGd</v>
          </cell>
          <cell r="B16">
            <v>0</v>
          </cell>
          <cell r="C16">
            <v>1744.2364648136806</v>
          </cell>
          <cell r="D16">
            <v>1057.5260278163953</v>
          </cell>
          <cell r="E16">
            <v>2832322.4440301014</v>
          </cell>
          <cell r="F16">
            <v>1.0920000000000001</v>
          </cell>
          <cell r="G16">
            <v>88127168.984699607</v>
          </cell>
          <cell r="H16">
            <v>50525</v>
          </cell>
          <cell r="I16">
            <v>135</v>
          </cell>
        </row>
        <row r="17">
          <cell r="A17" t="str">
            <v>St Lgt</v>
          </cell>
          <cell r="B17">
            <v>0</v>
          </cell>
          <cell r="C17">
            <v>19544.852415994977</v>
          </cell>
          <cell r="D17">
            <v>121.36784768686539</v>
          </cell>
          <cell r="E17">
            <v>0</v>
          </cell>
          <cell r="F17">
            <v>1.0920000000000001</v>
          </cell>
          <cell r="G17">
            <v>10113987.307238782</v>
          </cell>
          <cell r="H17">
            <v>517</v>
          </cell>
          <cell r="I17">
            <v>0</v>
          </cell>
        </row>
        <row r="18">
          <cell r="A18" t="str">
            <v>Sen Lgt</v>
          </cell>
          <cell r="B18">
            <v>0</v>
          </cell>
          <cell r="C18">
            <v>23986.843457437422</v>
          </cell>
          <cell r="D18">
            <v>20.385578156035042</v>
          </cell>
          <cell r="E18">
            <v>0</v>
          </cell>
          <cell r="F18">
            <v>1.0609999999999999</v>
          </cell>
          <cell r="G18">
            <v>1698798.1796695869</v>
          </cell>
          <cell r="H18">
            <v>71</v>
          </cell>
          <cell r="I18">
            <v>0</v>
          </cell>
        </row>
        <row r="19">
          <cell r="A19" t="str">
            <v>USL</v>
          </cell>
          <cell r="B19">
            <v>0</v>
          </cell>
          <cell r="C19">
            <v>5597.258733734303</v>
          </cell>
          <cell r="D19">
            <v>24.437189604035659</v>
          </cell>
          <cell r="E19">
            <v>0</v>
          </cell>
          <cell r="F19">
            <v>1.05</v>
          </cell>
          <cell r="G19">
            <v>2036432.4670029718</v>
          </cell>
          <cell r="H19">
            <v>364</v>
          </cell>
          <cell r="I19">
            <v>0</v>
          </cell>
        </row>
        <row r="20">
          <cell r="A20" t="str">
            <v>DGen</v>
          </cell>
          <cell r="B20">
            <v>0</v>
          </cell>
          <cell r="C20">
            <v>1152.4825649576753</v>
          </cell>
          <cell r="D20">
            <v>18.36807032833428</v>
          </cell>
          <cell r="E20">
            <v>184739.19535572777</v>
          </cell>
          <cell r="F20">
            <v>1.0609999999999999</v>
          </cell>
          <cell r="G20">
            <v>1530672.5273611899</v>
          </cell>
          <cell r="H20">
            <v>1328</v>
          </cell>
          <cell r="I20">
            <v>13</v>
          </cell>
        </row>
        <row r="21">
          <cell r="A21" t="str">
            <v>ST</v>
          </cell>
          <cell r="B21">
            <v>0</v>
          </cell>
          <cell r="C21">
            <v>808.24672285681027</v>
          </cell>
          <cell r="D21">
            <v>15528.383150724745</v>
          </cell>
          <cell r="E21">
            <v>29977946.365926702</v>
          </cell>
          <cell r="F21">
            <v>1.034</v>
          </cell>
          <cell r="G21">
            <v>1294031929.227062</v>
          </cell>
          <cell r="H21">
            <v>1601036</v>
          </cell>
          <cell r="I21">
            <v>3091</v>
          </cell>
        </row>
        <row r="22">
          <cell r="A22" t="str">
            <v>AUR</v>
          </cell>
          <cell r="B22">
            <v>0</v>
          </cell>
          <cell r="C22">
            <v>15311.903572352236</v>
          </cell>
          <cell r="D22">
            <v>92.804244895154866</v>
          </cell>
          <cell r="E22">
            <v>0</v>
          </cell>
          <cell r="F22">
            <v>0</v>
          </cell>
          <cell r="G22">
            <v>7733687.0745962383</v>
          </cell>
          <cell r="H22">
            <v>505</v>
          </cell>
          <cell r="I22">
            <v>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tint="0.499984740745262"/>
    <pageSetUpPr fitToPage="1"/>
  </sheetPr>
  <dimension ref="A1:Y89"/>
  <sheetViews>
    <sheetView tabSelected="1" workbookViewId="0">
      <pane xSplit="2" ySplit="2" topLeftCell="D3" activePane="bottomRight" state="frozen"/>
      <selection activeCell="Q6" sqref="Q6"/>
      <selection pane="topRight" activeCell="Q6" sqref="Q6"/>
      <selection pane="bottomLeft" activeCell="Q6" sqref="Q6"/>
      <selection pane="bottomRight" activeCell="N25" sqref="N25"/>
    </sheetView>
  </sheetViews>
  <sheetFormatPr defaultRowHeight="12.75" x14ac:dyDescent="0.2"/>
  <cols>
    <col min="1" max="1" width="18.42578125" bestFit="1" customWidth="1"/>
    <col min="2" max="2" width="13" customWidth="1"/>
    <col min="3" max="3" width="12.5703125" customWidth="1"/>
    <col min="4" max="4" width="11.140625" customWidth="1"/>
    <col min="6" max="6" width="12.140625" customWidth="1"/>
    <col min="7" max="7" width="9.42578125" style="153" bestFit="1" customWidth="1"/>
    <col min="8" max="8" width="8.85546875" style="153" bestFit="1" customWidth="1"/>
    <col min="9" max="9" width="9.42578125" style="153" bestFit="1" customWidth="1"/>
    <col min="10" max="10" width="9.5703125" style="153" customWidth="1"/>
    <col min="11" max="11" width="9.7109375" style="153" bestFit="1" customWidth="1"/>
    <col min="12" max="12" width="9.85546875" style="153" customWidth="1"/>
    <col min="13" max="13" width="9.42578125" style="153" bestFit="1" customWidth="1"/>
    <col min="14" max="14" width="9.85546875" style="153" bestFit="1" customWidth="1"/>
    <col min="15" max="15" width="8.42578125" style="153" bestFit="1" customWidth="1"/>
    <col min="16" max="16" width="9.5703125" style="153" bestFit="1" customWidth="1"/>
    <col min="17" max="18" width="10" customWidth="1"/>
    <col min="19" max="20" width="11" customWidth="1"/>
    <col min="21" max="21" width="11.140625" bestFit="1" customWidth="1"/>
    <col min="22" max="22" width="9.5703125" bestFit="1" customWidth="1"/>
    <col min="23" max="23" width="10.5703125" bestFit="1" customWidth="1"/>
    <col min="24" max="24" width="9.5703125" customWidth="1"/>
    <col min="25" max="25" width="9.5703125" bestFit="1" customWidth="1"/>
    <col min="26" max="26" width="11" customWidth="1"/>
    <col min="27" max="27" width="10.28515625" customWidth="1"/>
    <col min="28" max="28" width="10.7109375" customWidth="1"/>
  </cols>
  <sheetData>
    <row r="1" spans="1:25" x14ac:dyDescent="0.2">
      <c r="A1" s="9">
        <v>1</v>
      </c>
      <c r="B1" s="9">
        <v>2</v>
      </c>
      <c r="C1" s="9">
        <v>3</v>
      </c>
      <c r="D1" s="9">
        <v>4</v>
      </c>
      <c r="E1" s="9">
        <v>5</v>
      </c>
      <c r="F1" s="9">
        <v>6</v>
      </c>
      <c r="G1" s="152">
        <v>7</v>
      </c>
      <c r="H1" s="152">
        <v>8</v>
      </c>
      <c r="I1" s="152">
        <v>9</v>
      </c>
      <c r="J1" s="152">
        <v>10</v>
      </c>
      <c r="K1" s="152">
        <v>11</v>
      </c>
      <c r="L1" s="152">
        <v>12</v>
      </c>
      <c r="M1" s="152">
        <v>13</v>
      </c>
      <c r="N1" s="152">
        <v>14</v>
      </c>
      <c r="O1" s="152">
        <v>15</v>
      </c>
      <c r="P1" s="152">
        <v>16</v>
      </c>
      <c r="Q1" s="9">
        <v>17</v>
      </c>
      <c r="R1" s="9">
        <v>18</v>
      </c>
      <c r="S1" s="9">
        <v>19</v>
      </c>
      <c r="T1" s="9">
        <v>20</v>
      </c>
      <c r="U1" s="9">
        <v>21</v>
      </c>
      <c r="V1" s="9">
        <v>22</v>
      </c>
      <c r="W1" s="9">
        <v>23</v>
      </c>
      <c r="X1" s="9">
        <v>24</v>
      </c>
      <c r="Y1" s="9">
        <v>25</v>
      </c>
    </row>
    <row r="2" spans="1:25" s="12" customFormat="1" ht="102" x14ac:dyDescent="0.2">
      <c r="A2" s="10" t="s">
        <v>13</v>
      </c>
      <c r="B2" s="10" t="s">
        <v>14</v>
      </c>
      <c r="C2" s="10" t="s">
        <v>62</v>
      </c>
      <c r="D2" s="10" t="s">
        <v>15</v>
      </c>
      <c r="E2" s="10" t="s">
        <v>71</v>
      </c>
      <c r="F2" s="11" t="s">
        <v>17</v>
      </c>
      <c r="G2" s="11" t="s">
        <v>54</v>
      </c>
      <c r="H2" s="11" t="s">
        <v>53</v>
      </c>
      <c r="I2" s="11" t="s">
        <v>52</v>
      </c>
      <c r="J2" s="11" t="s">
        <v>51</v>
      </c>
      <c r="K2" s="11" t="s">
        <v>94</v>
      </c>
      <c r="L2" s="11" t="s">
        <v>104</v>
      </c>
      <c r="M2" s="11" t="s">
        <v>88</v>
      </c>
      <c r="N2" s="11" t="s">
        <v>89</v>
      </c>
      <c r="O2" s="11" t="s">
        <v>58</v>
      </c>
      <c r="P2" s="11" t="s">
        <v>59</v>
      </c>
      <c r="Q2" s="151" t="s">
        <v>55</v>
      </c>
      <c r="R2" s="11" t="s">
        <v>122</v>
      </c>
      <c r="S2" s="151" t="s">
        <v>57</v>
      </c>
      <c r="T2" s="157" t="s">
        <v>102</v>
      </c>
      <c r="U2" s="151" t="s">
        <v>103</v>
      </c>
      <c r="V2" s="151" t="s">
        <v>87</v>
      </c>
      <c r="W2" s="151" t="s">
        <v>86</v>
      </c>
      <c r="X2" s="151" t="s">
        <v>56</v>
      </c>
      <c r="Y2" s="151" t="s">
        <v>97</v>
      </c>
    </row>
    <row r="3" spans="1:25" x14ac:dyDescent="0.2">
      <c r="A3" s="6" t="s">
        <v>0</v>
      </c>
      <c r="B3" s="127">
        <v>1.0569999999999999</v>
      </c>
      <c r="C3" s="7">
        <v>750</v>
      </c>
      <c r="D3" s="7">
        <v>600</v>
      </c>
      <c r="E3" s="2"/>
      <c r="F3" s="4" t="s">
        <v>18</v>
      </c>
      <c r="G3" s="122">
        <f>VLOOKUP(A3,'[1]Data for Bill Impacts'!$A$3:$Y$16,17,0)</f>
        <v>24.78</v>
      </c>
      <c r="H3" s="78">
        <v>0</v>
      </c>
      <c r="I3" s="78">
        <v>0.79</v>
      </c>
      <c r="J3" s="126">
        <f>VLOOKUP(A3,'[1]Data for Bill Impacts'!$A$2:$Y$16,19,0)</f>
        <v>9.4000000000000004E-3</v>
      </c>
      <c r="K3" s="122"/>
      <c r="L3" s="126"/>
      <c r="M3" s="122">
        <f>VLOOKUP(A3,'[1]Data for Bill Impacts'!$A$3:$Y$16,22,0)</f>
        <v>0.72</v>
      </c>
      <c r="N3" s="126">
        <f>VLOOKUP(A3,'[1]Data for Bill Impacts'!$A$3:$Y$16,23,0)</f>
        <v>-2.9999999999999997E-4</v>
      </c>
      <c r="O3" s="126">
        <f>VLOOKUP(A3,'[1]Data for Bill Impacts'!$A$3:$Y$16,24,0)</f>
        <v>6.7000000000000002E-3</v>
      </c>
      <c r="P3" s="126">
        <f>VLOOKUP(A3,'[1]Data for Bill Impacts'!$A$3:$Y$16,25,0)</f>
        <v>4.7000000000000002E-3</v>
      </c>
      <c r="Q3" s="3">
        <f>ROUND(VLOOKUP(A3,'[2]Rate Design'!$R$8:$W$20,2,0),2)</f>
        <v>27.76</v>
      </c>
      <c r="R3" s="2">
        <v>0.79</v>
      </c>
      <c r="S3" s="100">
        <f>ROUND(VLOOKUP(A3,'[2]Rate Design'!$R$8:$W$20,5,0)/100,4)</f>
        <v>7.9000000000000008E-3</v>
      </c>
      <c r="T3" s="126">
        <f>HLOOKUP(A3,'[3]VA Rider'!$F$59:$R$63,5,FALSE)</f>
        <v>-1E-3</v>
      </c>
      <c r="U3" s="158"/>
      <c r="V3" s="156">
        <f>HLOOKUP(A3,'[4]VA Rider'!$F$61:$R$67,2,0)</f>
        <v>0.01</v>
      </c>
      <c r="W3" s="100">
        <f>HLOOKUP(A3,'[4]VA Rider'!$F$61:$R$67,3,0)+HLOOKUP(A3,'[4]VA Rider'!$F$61:$R$67,6,0)</f>
        <v>2.0000000000000001E-4</v>
      </c>
      <c r="X3" s="100">
        <f>VLOOKUP(A3,'[5]DRO Exhibit 3.4'!$A$9:$K$22,10,FALSE)</f>
        <v>7.8279999999999999E-3</v>
      </c>
      <c r="Y3" s="100">
        <f>VLOOKUP(A3,'[5]DRO Exhibit 3.4'!$A$9:$K$22,11,FALSE)</f>
        <v>6.4380000000000001E-3</v>
      </c>
    </row>
    <row r="4" spans="1:25" x14ac:dyDescent="0.2">
      <c r="A4" s="6" t="s">
        <v>1</v>
      </c>
      <c r="B4" s="127">
        <v>1.0760000000000001</v>
      </c>
      <c r="C4" s="7">
        <v>750</v>
      </c>
      <c r="D4" s="7">
        <v>600</v>
      </c>
      <c r="E4" s="2"/>
      <c r="F4" s="4" t="s">
        <v>18</v>
      </c>
      <c r="G4" s="122">
        <f>VLOOKUP(A4,'[1]Data for Bill Impacts'!$A$3:$Y$16,17,0)</f>
        <v>33.770000000000003</v>
      </c>
      <c r="H4" s="78">
        <v>0</v>
      </c>
      <c r="I4" s="78">
        <v>0.79</v>
      </c>
      <c r="J4" s="126">
        <f>VLOOKUP(A4,'[1]Data for Bill Impacts'!$A$2:$Y$16,19,0)</f>
        <v>2.3E-2</v>
      </c>
      <c r="K4" s="122"/>
      <c r="L4" s="126"/>
      <c r="M4" s="122">
        <f>VLOOKUP(A4,'[1]Data for Bill Impacts'!$A$3:$Y$16,22,0)</f>
        <v>0.82</v>
      </c>
      <c r="N4" s="126">
        <f>VLOOKUP(A4,'[1]Data for Bill Impacts'!$A$3:$Y$16,23,0)</f>
        <v>-2.0000000000000001E-4</v>
      </c>
      <c r="O4" s="126">
        <f>VLOOKUP(A4,'[1]Data for Bill Impacts'!$A$3:$Y$16,24,0)</f>
        <v>6.4000000000000003E-3</v>
      </c>
      <c r="P4" s="126">
        <f>VLOOKUP(A4,'[1]Data for Bill Impacts'!$A$3:$Y$16,25,0)</f>
        <v>4.7000000000000002E-3</v>
      </c>
      <c r="Q4" s="3">
        <f>ROUND(VLOOKUP(A4,'[2]Rate Design'!$R$8:$W$20,2,0),2)</f>
        <v>37.83</v>
      </c>
      <c r="R4" s="2">
        <v>0.79</v>
      </c>
      <c r="S4" s="100">
        <f>ROUND(VLOOKUP(A4,'[2]Rate Design'!$R$8:$W$20,5,0)/100,4)</f>
        <v>2.1999999999999999E-2</v>
      </c>
      <c r="T4" s="126">
        <f>HLOOKUP(A4,'[3]VA Rider'!$F$59:$R$63,5,FALSE)</f>
        <v>-1E-3</v>
      </c>
      <c r="U4" s="158"/>
      <c r="V4" s="156">
        <f>HLOOKUP(A4,'[4]VA Rider'!$F$61:$R$67,2,0)</f>
        <v>0</v>
      </c>
      <c r="W4" s="100">
        <f>HLOOKUP(A4,'[4]VA Rider'!$F$61:$R$67,3,0)+HLOOKUP(A4,'[4]VA Rider'!$F$61:$R$67,6,0)</f>
        <v>2.0000000000000001E-4</v>
      </c>
      <c r="X4" s="100">
        <f>VLOOKUP(A4,'[5]DRO Exhibit 3.4'!$A$9:$K$22,10,FALSE)</f>
        <v>7.2069999999999999E-3</v>
      </c>
      <c r="Y4" s="100">
        <f>VLOOKUP(A4,'[5]DRO Exhibit 3.4'!$A$9:$K$22,11,FALSE)</f>
        <v>6.0319999999999992E-3</v>
      </c>
    </row>
    <row r="5" spans="1:25" x14ac:dyDescent="0.2">
      <c r="A5" s="6" t="s">
        <v>2</v>
      </c>
      <c r="B5" s="127">
        <v>1.105</v>
      </c>
      <c r="C5" s="7">
        <v>750</v>
      </c>
      <c r="D5" s="7">
        <v>600</v>
      </c>
      <c r="E5" s="2"/>
      <c r="F5" s="4" t="s">
        <v>18</v>
      </c>
      <c r="G5" s="122">
        <f>VLOOKUP(A5,'[1]Data for Bill Impacts'!$A$3:$Y$16,17,0)</f>
        <v>19.829999999999998</v>
      </c>
      <c r="H5" s="78">
        <v>0</v>
      </c>
      <c r="I5" s="78">
        <v>0.79</v>
      </c>
      <c r="J5" s="126">
        <f>VLOOKUP(A5,'[1]Data for Bill Impacts'!$A$2:$Y$16,19,0)</f>
        <v>3.7400000000000003E-2</v>
      </c>
      <c r="K5" s="122"/>
      <c r="L5" s="126"/>
      <c r="M5" s="122">
        <f>VLOOKUP(A5,'[1]Data for Bill Impacts'!$A$3:$Y$16,22,0)</f>
        <v>1.36</v>
      </c>
      <c r="N5" s="126">
        <f>VLOOKUP(A5,'[1]Data for Bill Impacts'!$A$3:$Y$16,23,0)</f>
        <v>0</v>
      </c>
      <c r="O5" s="126">
        <f>VLOOKUP(A5,'[1]Data for Bill Impacts'!$A$3:$Y$16,24,0)</f>
        <v>6.1999999999999998E-3</v>
      </c>
      <c r="P5" s="126">
        <f>VLOOKUP(A5,'[1]Data for Bill Impacts'!$A$3:$Y$16,25,0)</f>
        <v>4.4000000000000003E-3</v>
      </c>
      <c r="Q5" s="3">
        <f>ROUND(VLOOKUP(A5,'[2]Rate Design'!$R$8:$W$20,2,0),2)-[6]Sheet1!B7</f>
        <v>25.109678307903934</v>
      </c>
      <c r="R5" s="2">
        <v>0.79</v>
      </c>
      <c r="S5" s="100">
        <f>ROUND(VLOOKUP(A5,'[2]Rate Design'!$R$8:$W$20,5,0)/100,4)</f>
        <v>3.6299999999999999E-2</v>
      </c>
      <c r="T5" s="126">
        <f>HLOOKUP(A5,'[3]VA Rider'!$F$59:$R$63,5,FALSE)</f>
        <v>-1E-3</v>
      </c>
      <c r="U5" s="158"/>
      <c r="V5" s="156">
        <f>HLOOKUP(A5,'[4]VA Rider'!$F$61:$R$67,2,0)</f>
        <v>-0.02</v>
      </c>
      <c r="W5" s="100">
        <f>HLOOKUP(A5,'[4]VA Rider'!$F$61:$R$67,3,0)+HLOOKUP(A5,'[4]VA Rider'!$F$61:$R$67,6,0)</f>
        <v>2.0000000000000001E-4</v>
      </c>
      <c r="X5" s="100">
        <f>VLOOKUP(A5,'[5]DRO Exhibit 3.4'!$A$9:$K$22,10,FALSE)</f>
        <v>6.7400000000000003E-3</v>
      </c>
      <c r="Y5" s="100">
        <f>VLOOKUP(A5,'[5]DRO Exhibit 3.4'!$A$9:$K$22,11,FALSE)</f>
        <v>5.6299999999999996E-3</v>
      </c>
    </row>
    <row r="6" spans="1:25" x14ac:dyDescent="0.2">
      <c r="A6" s="6" t="s">
        <v>3</v>
      </c>
      <c r="B6" s="127">
        <v>1.1040000000000001</v>
      </c>
      <c r="C6" s="7">
        <v>500</v>
      </c>
      <c r="D6" s="7">
        <v>600</v>
      </c>
      <c r="E6" s="2"/>
      <c r="F6" s="4" t="s">
        <v>18</v>
      </c>
      <c r="G6" s="122">
        <f>VLOOKUP(A6,'[1]Data for Bill Impacts'!$A$3:$Y$16,17,0)</f>
        <v>36.28</v>
      </c>
      <c r="H6" s="78">
        <v>0</v>
      </c>
      <c r="I6" s="78">
        <v>0.79</v>
      </c>
      <c r="J6" s="126">
        <f>VLOOKUP(A6,'[1]Data for Bill Impacts'!$A$2:$Y$16,19,0)</f>
        <v>6.3500000000000001E-2</v>
      </c>
      <c r="K6" s="122"/>
      <c r="L6" s="126"/>
      <c r="M6" s="122">
        <f>VLOOKUP(A6,'[1]Data for Bill Impacts'!$A$3:$Y$16,22,0)</f>
        <v>0.84</v>
      </c>
      <c r="N6" s="126">
        <f>VLOOKUP(A6,'[1]Data for Bill Impacts'!$A$3:$Y$16,23,0)</f>
        <v>2.9999999999999997E-4</v>
      </c>
      <c r="O6" s="126">
        <f>VLOOKUP(A6,'[1]Data for Bill Impacts'!$A$3:$Y$16,24,0)</f>
        <v>5.1000000000000004E-3</v>
      </c>
      <c r="P6" s="126">
        <f>VLOOKUP(A6,'[1]Data for Bill Impacts'!$A$3:$Y$16,25,0)</f>
        <v>4.1999999999999997E-3</v>
      </c>
      <c r="Q6" s="3">
        <f>ROUND(VLOOKUP(A6,'[2]Rate Design'!$R$8:$W$20,2,0),2)</f>
        <v>40.57</v>
      </c>
      <c r="R6" s="2">
        <v>0.79</v>
      </c>
      <c r="S6" s="100">
        <f>ROUND(VLOOKUP(A6,'[2]Rate Design'!$R$8:$W$20,5,0)/100,4)</f>
        <v>6.08E-2</v>
      </c>
      <c r="T6" s="126">
        <f>HLOOKUP(A6,'[3]VA Rider'!$F$59:$R$63,5,FALSE)</f>
        <v>-1E-3</v>
      </c>
      <c r="U6" s="158"/>
      <c r="V6" s="156">
        <f>HLOOKUP(A6,'[4]VA Rider'!$F$61:$R$67,2,0)</f>
        <v>0</v>
      </c>
      <c r="W6" s="100">
        <f>HLOOKUP(A6,'[4]VA Rider'!$F$61:$R$67,3,0)+HLOOKUP(A6,'[4]VA Rider'!$F$61:$R$67,6,0)</f>
        <v>2.0000000000000001E-4</v>
      </c>
      <c r="X6" s="100">
        <f>VLOOKUP(A6,'[5]DRO Exhibit 3.4'!$A$9:$K$22,10,FALSE)</f>
        <v>5.6559999999999996E-3</v>
      </c>
      <c r="Y6" s="100">
        <f>VLOOKUP(A6,'[5]DRO Exhibit 3.4'!$A$9:$K$22,11,FALSE)</f>
        <v>4.8209999999999998E-3</v>
      </c>
    </row>
    <row r="7" spans="1:25" x14ac:dyDescent="0.2">
      <c r="A7" s="6" t="s">
        <v>4</v>
      </c>
      <c r="B7" s="127">
        <v>1.0960000000000001</v>
      </c>
      <c r="C7" s="7">
        <v>2000</v>
      </c>
      <c r="D7" s="7">
        <v>750</v>
      </c>
      <c r="E7" s="2"/>
      <c r="F7" s="4" t="s">
        <v>18</v>
      </c>
      <c r="G7" s="122">
        <f>VLOOKUP(A7,'[1]Data for Bill Impacts'!$A$3:$Y$16,17,0)</f>
        <v>27.87</v>
      </c>
      <c r="H7" s="78">
        <v>0</v>
      </c>
      <c r="I7" s="78">
        <v>0.79</v>
      </c>
      <c r="J7" s="126">
        <f>VLOOKUP(A7,'[1]Data for Bill Impacts'!$A$2:$Y$16,19,0)</f>
        <v>5.6000000000000001E-2</v>
      </c>
      <c r="K7" s="122"/>
      <c r="L7" s="126"/>
      <c r="M7" s="122">
        <f>VLOOKUP(A7,'[1]Data for Bill Impacts'!$A$3:$Y$16,22,0)</f>
        <v>0.73</v>
      </c>
      <c r="N7" s="126">
        <f>VLOOKUP(A7,'[1]Data for Bill Impacts'!$A$3:$Y$16,23,0)</f>
        <v>2.0000000000000001E-4</v>
      </c>
      <c r="O7" s="126">
        <f>VLOOKUP(A7,'[1]Data for Bill Impacts'!$A$3:$Y$16,24,0)</f>
        <v>5.8999999999999999E-3</v>
      </c>
      <c r="P7" s="126">
        <f>VLOOKUP(A7,'[1]Data for Bill Impacts'!$A$3:$Y$16,25,0)</f>
        <v>3.8E-3</v>
      </c>
      <c r="Q7" s="3">
        <f>ROUND(VLOOKUP(A7,'[2]Rate Design'!$R$8:$W$20,2,0),2)</f>
        <v>29.68</v>
      </c>
      <c r="R7" s="2">
        <v>0.79</v>
      </c>
      <c r="S7" s="100">
        <f>ROUND(VLOOKUP(A7,'[2]Rate Design'!$R$8:$W$20,5,0)/100,4)</f>
        <v>5.91E-2</v>
      </c>
      <c r="T7" s="126">
        <f>HLOOKUP(A7,'[3]VA Rider'!$F$59:$R$63,5,FALSE)</f>
        <v>-1E-3</v>
      </c>
      <c r="U7" s="126">
        <f>HLOOKUP(A7,'[4]VA Rider'!$F$61:$R$67,5,0)</f>
        <v>1.9E-3</v>
      </c>
      <c r="V7" s="156">
        <f>HLOOKUP(A7,'[4]VA Rider'!$F$61:$R$67,2,0)</f>
        <v>0</v>
      </c>
      <c r="W7" s="100">
        <f>HLOOKUP(A7,'[4]VA Rider'!$F$61:$R$67,3,0)+HLOOKUP(A7,'[4]VA Rider'!$F$61:$R$67,6,0)</f>
        <v>2.0000000000000001E-4</v>
      </c>
      <c r="X7" s="100">
        <f>VLOOKUP(A7,'[5]DRO Exhibit 3.4'!$A$9:$K$22,10,FALSE)</f>
        <v>5.6930000000000001E-3</v>
      </c>
      <c r="Y7" s="100">
        <f>VLOOKUP(A7,'[5]DRO Exhibit 3.4'!$A$9:$K$22,11,FALSE)</f>
        <v>4.4740000000000005E-3</v>
      </c>
    </row>
    <row r="8" spans="1:25" x14ac:dyDescent="0.2">
      <c r="A8" s="6" t="s">
        <v>6</v>
      </c>
      <c r="B8" s="127">
        <v>1.0669999999999999</v>
      </c>
      <c r="C8" s="7">
        <v>2000</v>
      </c>
      <c r="D8" s="7">
        <v>750</v>
      </c>
      <c r="E8" s="2"/>
      <c r="F8" s="4" t="s">
        <v>18</v>
      </c>
      <c r="G8" s="122">
        <f>VLOOKUP(A8,'[1]Data for Bill Impacts'!$A$3:$Y$16,17,0)</f>
        <v>23.3</v>
      </c>
      <c r="H8" s="78">
        <v>0</v>
      </c>
      <c r="I8" s="78">
        <v>0.79</v>
      </c>
      <c r="J8" s="126">
        <f>VLOOKUP(A8,'[1]Data for Bill Impacts'!$A$2:$Y$16,19,0)</f>
        <v>2.6200000000000001E-2</v>
      </c>
      <c r="K8" s="122"/>
      <c r="L8" s="126"/>
      <c r="M8" s="122">
        <f>VLOOKUP(A8,'[1]Data for Bill Impacts'!$A$3:$Y$16,22,0)</f>
        <v>0.67</v>
      </c>
      <c r="N8" s="126">
        <f>VLOOKUP(A8,'[1]Data for Bill Impacts'!$A$3:$Y$16,23,0)</f>
        <v>-1E-4</v>
      </c>
      <c r="O8" s="126">
        <f>VLOOKUP(A8,'[1]Data for Bill Impacts'!$A$3:$Y$16,24,0)</f>
        <v>6.4000000000000003E-3</v>
      </c>
      <c r="P8" s="126">
        <f>VLOOKUP(A8,'[1]Data for Bill Impacts'!$A$3:$Y$16,25,0)</f>
        <v>4.0000000000000001E-3</v>
      </c>
      <c r="Q8" s="3">
        <f>ROUND(VLOOKUP(A8,'[2]Rate Design'!$R$8:$W$20,2,0),2)</f>
        <v>23.97</v>
      </c>
      <c r="R8" s="2">
        <v>0.79</v>
      </c>
      <c r="S8" s="100">
        <f>ROUND(VLOOKUP(A8,'[2]Rate Design'!$R$8:$W$20,5,0)/100,4)</f>
        <v>2.8000000000000001E-2</v>
      </c>
      <c r="T8" s="126">
        <f>HLOOKUP(A8,'[3]VA Rider'!$F$59:$R$63,5,FALSE)</f>
        <v>-1E-3</v>
      </c>
      <c r="U8" s="126">
        <f>HLOOKUP(A8,'[4]VA Rider'!$F$61:$R$67,5,0)</f>
        <v>1.9E-3</v>
      </c>
      <c r="V8" s="156">
        <f>HLOOKUP(A8,'[4]VA Rider'!$F$61:$R$67,2,0)</f>
        <v>0.01</v>
      </c>
      <c r="W8" s="100">
        <f>HLOOKUP(A8,'[4]VA Rider'!$F$61:$R$67,3,0)+HLOOKUP(A8,'[4]VA Rider'!$F$61:$R$67,6,0)</f>
        <v>2.0000000000000001E-4</v>
      </c>
      <c r="X8" s="100">
        <f>VLOOKUP(A8,'[5]DRO Exhibit 3.4'!$A$9:$K$22,10,FALSE)</f>
        <v>6.1060000000000003E-3</v>
      </c>
      <c r="Y8" s="100">
        <f>VLOOKUP(A8,'[5]DRO Exhibit 3.4'!$A$9:$K$22,11,FALSE)</f>
        <v>4.6519999999999999E-3</v>
      </c>
    </row>
    <row r="9" spans="1:25" x14ac:dyDescent="0.2">
      <c r="A9" s="6" t="s">
        <v>8</v>
      </c>
      <c r="B9" s="127">
        <v>1.0920000000000001</v>
      </c>
      <c r="C9" s="7">
        <v>1440</v>
      </c>
      <c r="D9" s="7">
        <v>750</v>
      </c>
      <c r="E9" s="2"/>
      <c r="F9" s="4" t="s">
        <v>18</v>
      </c>
      <c r="G9" s="122">
        <f>VLOOKUP(A9,'[1]Data for Bill Impacts'!$A$3:$Y$16,17,0)</f>
        <v>4.25</v>
      </c>
      <c r="H9" s="78">
        <v>0</v>
      </c>
      <c r="I9" s="78">
        <v>0</v>
      </c>
      <c r="J9" s="126">
        <f>VLOOKUP(A9,'[1]Data for Bill Impacts'!$A$2:$Y$16,19,0)</f>
        <v>9.2399999999999996E-2</v>
      </c>
      <c r="K9" s="122"/>
      <c r="L9" s="126"/>
      <c r="M9" s="122">
        <f>VLOOKUP(A9,'[1]Data for Bill Impacts'!$A$3:$Y$16,22,0)</f>
        <v>0.08</v>
      </c>
      <c r="N9" s="126">
        <f>VLOOKUP(A9,'[1]Data for Bill Impacts'!$A$3:$Y$16,23,0)</f>
        <v>6.9999999999999999E-4</v>
      </c>
      <c r="O9" s="126">
        <f>VLOOKUP(A9,'[1]Data for Bill Impacts'!$A$3:$Y$16,24,0)</f>
        <v>4.4999999999999997E-3</v>
      </c>
      <c r="P9" s="126">
        <f>VLOOKUP(A9,'[1]Data for Bill Impacts'!$A$3:$Y$16,25,0)</f>
        <v>2.7000000000000001E-3</v>
      </c>
      <c r="Q9" s="3">
        <f>ROUND(VLOOKUP(A9,'[2]Rate Design'!$R$8:$W$20,2,0),2)</f>
        <v>4.08</v>
      </c>
      <c r="R9" s="2">
        <v>0</v>
      </c>
      <c r="S9" s="100">
        <f>ROUND(VLOOKUP(A9,'[2]Rate Design'!$R$8:$W$20,5,0)/100,4)</f>
        <v>9.8000000000000004E-2</v>
      </c>
      <c r="T9" s="126">
        <f>HLOOKUP(A9,'[3]VA Rider'!$F$59:$R$63,5,FALSE)</f>
        <v>-1E-3</v>
      </c>
      <c r="U9" s="126">
        <f>HLOOKUP(A9,'[4]VA Rider'!$F$61:$R$67,5,0)</f>
        <v>1.9E-3</v>
      </c>
      <c r="V9" s="156">
        <f>HLOOKUP(A9,'[4]VA Rider'!$F$61:$R$67,2,0)</f>
        <v>0</v>
      </c>
      <c r="W9" s="100">
        <f>HLOOKUP(A9,'[4]VA Rider'!$F$61:$R$67,3,0)+HLOOKUP(A9,'[4]VA Rider'!$F$61:$R$67,6,0)</f>
        <v>2.0000000000000001E-4</v>
      </c>
      <c r="X9" s="100">
        <f>'[5]DRO Exhibit 3.4'!$J$22</f>
        <v>4.6979999999999999E-3</v>
      </c>
      <c r="Y9" s="100">
        <f>'[5]DRO Exhibit 3.4'!$K$22</f>
        <v>4.2899999999999995E-3</v>
      </c>
    </row>
    <row r="10" spans="1:25" x14ac:dyDescent="0.2">
      <c r="A10" s="6" t="s">
        <v>9</v>
      </c>
      <c r="B10" s="127">
        <v>1.0920000000000001</v>
      </c>
      <c r="C10" s="7">
        <v>62</v>
      </c>
      <c r="D10" s="7">
        <v>750</v>
      </c>
      <c r="E10" s="2"/>
      <c r="F10" s="4" t="s">
        <v>18</v>
      </c>
      <c r="G10" s="122">
        <f>VLOOKUP(A10,'[1]Data for Bill Impacts'!$A$3:$Y$16,17,0)</f>
        <v>2.71</v>
      </c>
      <c r="H10" s="78">
        <v>0</v>
      </c>
      <c r="I10" s="78">
        <v>0</v>
      </c>
      <c r="J10" s="126">
        <f>VLOOKUP(A10,'[1]Data for Bill Impacts'!$A$2:$Y$16,19,0)</f>
        <v>0.1178</v>
      </c>
      <c r="K10" s="122"/>
      <c r="L10" s="126"/>
      <c r="M10" s="122">
        <f>VLOOKUP(A10,'[1]Data for Bill Impacts'!$A$3:$Y$16,22,0)</f>
        <v>0.05</v>
      </c>
      <c r="N10" s="126">
        <f>VLOOKUP(A10,'[1]Data for Bill Impacts'!$A$3:$Y$16,23,0)</f>
        <v>8.9999999999999998E-4</v>
      </c>
      <c r="O10" s="126">
        <f>VLOOKUP(A10,'[1]Data for Bill Impacts'!$A$3:$Y$16,24,0)</f>
        <v>4.4999999999999997E-3</v>
      </c>
      <c r="P10" s="126">
        <f>VLOOKUP(A10,'[1]Data for Bill Impacts'!$A$3:$Y$16,25,0)</f>
        <v>2.7000000000000001E-3</v>
      </c>
      <c r="Q10" s="3">
        <f>ROUND(VLOOKUP(A10,'[2]Rate Design'!$R$8:$W$20,2,0),2)</f>
        <v>3.1</v>
      </c>
      <c r="R10" s="2">
        <v>0</v>
      </c>
      <c r="S10" s="100">
        <f>ROUND(VLOOKUP(A10,'[2]Rate Design'!$R$8:$W$20,5,0)/100,4)</f>
        <v>0.11799999999999999</v>
      </c>
      <c r="T10" s="126">
        <f>HLOOKUP(A10,'[3]VA Rider'!$F$59:$R$63,5,FALSE)</f>
        <v>-1E-3</v>
      </c>
      <c r="U10" s="126">
        <f>HLOOKUP(A10,'[4]VA Rider'!$F$61:$R$67,5,0)</f>
        <v>1.9E-3</v>
      </c>
      <c r="V10" s="156">
        <f>HLOOKUP(A10,'[4]VA Rider'!$F$61:$R$67,2,0)</f>
        <v>0</v>
      </c>
      <c r="W10" s="100">
        <f>HLOOKUP(A10,'[4]VA Rider'!$F$61:$R$67,3,0)+HLOOKUP(A10,'[4]VA Rider'!$F$61:$R$67,6,0)</f>
        <v>1E-4</v>
      </c>
      <c r="X10" s="100">
        <f>X9</f>
        <v>4.6979999999999999E-3</v>
      </c>
      <c r="Y10" s="100">
        <f>Y9</f>
        <v>4.2899999999999995E-3</v>
      </c>
    </row>
    <row r="11" spans="1:25" x14ac:dyDescent="0.2">
      <c r="A11" s="8" t="s">
        <v>12</v>
      </c>
      <c r="B11" s="127">
        <v>1.0920000000000001</v>
      </c>
      <c r="C11" s="7">
        <v>500</v>
      </c>
      <c r="D11" s="7">
        <v>750</v>
      </c>
      <c r="E11" s="2"/>
      <c r="F11" s="4" t="s">
        <v>18</v>
      </c>
      <c r="G11" s="122">
        <f>VLOOKUP(A11,'[1]Data for Bill Impacts'!$A$3:$Y$16,17,0)</f>
        <v>35.18</v>
      </c>
      <c r="H11" s="78">
        <v>0</v>
      </c>
      <c r="I11" s="78">
        <v>0</v>
      </c>
      <c r="J11" s="126">
        <f>VLOOKUP(A11,'[1]Data for Bill Impacts'!$A$2:$Y$16,19,0)</f>
        <v>2.8500000000000001E-2</v>
      </c>
      <c r="K11" s="122"/>
      <c r="L11" s="126"/>
      <c r="M11" s="122">
        <f>VLOOKUP(A11,'[1]Data for Bill Impacts'!$A$3:$Y$16,22,0)</f>
        <v>0.51</v>
      </c>
      <c r="N11" s="126">
        <f>VLOOKUP(A11,'[1]Data for Bill Impacts'!$A$3:$Y$16,23,0)</f>
        <v>-1E-4</v>
      </c>
      <c r="O11" s="126">
        <f>VLOOKUP(A11,'[1]Data for Bill Impacts'!$A$3:$Y$16,24,0)</f>
        <v>4.7000000000000002E-3</v>
      </c>
      <c r="P11" s="126">
        <f>VLOOKUP(A11,'[1]Data for Bill Impacts'!$A$3:$Y$16,25,0)</f>
        <v>3.0999999999999999E-3</v>
      </c>
      <c r="Q11" s="3">
        <f>ROUND(VLOOKUP(A11,'[2]Rate Design'!$R$8:$W$20,2,0),2)</f>
        <v>35.1</v>
      </c>
      <c r="R11" s="2">
        <v>0</v>
      </c>
      <c r="S11" s="100">
        <f>ROUND(VLOOKUP(A11,'[2]Rate Design'!$R$8:$W$20,5,0)/100,4)</f>
        <v>2.87E-2</v>
      </c>
      <c r="T11" s="126">
        <f>HLOOKUP(A11,'[3]VA Rider'!$F$59:$R$63,5,FALSE)</f>
        <v>-1E-3</v>
      </c>
      <c r="U11" s="126">
        <f>HLOOKUP(A11,'[4]VA Rider'!$F$61:$R$67,5,0)</f>
        <v>1.9E-3</v>
      </c>
      <c r="V11" s="156">
        <f>HLOOKUP(A11,'[4]VA Rider'!$F$61:$R$67,2,0)</f>
        <v>-0.01</v>
      </c>
      <c r="W11" s="100">
        <f>HLOOKUP(A11,'[4]VA Rider'!$F$61:$R$67,3,0)+HLOOKUP(A11,'[4]VA Rider'!$F$61:$R$67,6,0)</f>
        <v>2.0000000000000001E-4</v>
      </c>
      <c r="X11" s="100">
        <f>VLOOKUP(A11,'[5]DRO Exhibit 3.4'!$A$9:$K$22,10,FALSE)</f>
        <v>4.7699999999999999E-3</v>
      </c>
      <c r="Y11" s="100">
        <f>VLOOKUP(A11,'[5]DRO Exhibit 3.4'!$A$9:$K$22,11,FALSE)</f>
        <v>3.7950000000000002E-3</v>
      </c>
    </row>
    <row r="12" spans="1:25" x14ac:dyDescent="0.2">
      <c r="A12" s="6" t="s">
        <v>5</v>
      </c>
      <c r="B12" s="127">
        <v>1.0609999999999999</v>
      </c>
      <c r="C12" s="7">
        <v>36000</v>
      </c>
      <c r="D12" s="7">
        <v>0</v>
      </c>
      <c r="E12" s="2">
        <v>117</v>
      </c>
      <c r="F12" s="4" t="s">
        <v>19</v>
      </c>
      <c r="G12" s="122">
        <f>VLOOKUP(A12,'[1]Data for Bill Impacts'!$A$3:$Y$16,17,0)</f>
        <v>89.48</v>
      </c>
      <c r="H12" s="78">
        <v>0</v>
      </c>
      <c r="I12" s="78">
        <v>0</v>
      </c>
      <c r="J12" s="126">
        <f>VLOOKUP(A12,'[1]Data for Bill Impacts'!$A$2:$Y$16,19,0)</f>
        <v>15.912100000000001</v>
      </c>
      <c r="K12" s="122"/>
      <c r="L12" s="126"/>
      <c r="M12" s="122">
        <f>VLOOKUP(A12,'[1]Data for Bill Impacts'!$A$3:$Y$16,22,0)</f>
        <v>1.37</v>
      </c>
      <c r="N12" s="126">
        <f>VLOOKUP(A12,'[1]Data for Bill Impacts'!$A$3:$Y$16,23,0)</f>
        <v>4.2799999999999998E-2</v>
      </c>
      <c r="O12" s="126">
        <f>VLOOKUP(A12,'[1]Data for Bill Impacts'!$A$3:$Y$16,24,0)</f>
        <v>1.7027000000000001</v>
      </c>
      <c r="P12" s="126">
        <f>VLOOKUP(A12,'[1]Data for Bill Impacts'!$A$3:$Y$16,25,0)</f>
        <v>1.1397999999999999</v>
      </c>
      <c r="Q12" s="3">
        <f>ROUND(VLOOKUP(A12,'[2]Rate Design'!$R$8:$W$20,2,0),2)</f>
        <v>102.93</v>
      </c>
      <c r="R12" s="2">
        <v>0</v>
      </c>
      <c r="S12" s="100">
        <f>ROUND(VLOOKUP(A12,'[2]Rate Design'!$R$8:$W$20,6,0),4)</f>
        <v>16.7653</v>
      </c>
      <c r="T12" s="126">
        <f>HLOOKUP(A12,'[3]VA Rider'!$F$59:$R$63,5,FALSE)</f>
        <v>-1E-3</v>
      </c>
      <c r="U12" s="126">
        <f>HLOOKUP(A12,'[4]VA Rider'!$F$61:$R$67,5,0)</f>
        <v>1.9E-3</v>
      </c>
      <c r="V12" s="156">
        <f>HLOOKUP(A12,'[4]VA Rider'!$F$61:$R$67,2,0)</f>
        <v>-0.02</v>
      </c>
      <c r="W12" s="100">
        <f>HLOOKUP(A12,'[4]VA Rider'!$F$61:$R$67,4,0)+HLOOKUP(A12,'[4]VA Rider'!$F$61:$R$67,6,0)</f>
        <v>4.7E-2</v>
      </c>
      <c r="X12" s="100">
        <f>VLOOKUP(A12,'[5]DRO Exhibit 3.4'!$A$9:$K$22,10,FALSE)*1.061</f>
        <v>1.6718177000000001</v>
      </c>
      <c r="Y12" s="100">
        <f>VLOOKUP(A12,'[5]DRO Exhibit 3.4'!$A$9:$K$22,11,FALSE)*1.061</f>
        <v>1.2769135</v>
      </c>
    </row>
    <row r="13" spans="1:25" x14ac:dyDescent="0.2">
      <c r="A13" s="6" t="s">
        <v>7</v>
      </c>
      <c r="B13" s="127">
        <v>1.05</v>
      </c>
      <c r="C13" s="7">
        <v>36000</v>
      </c>
      <c r="D13" s="7">
        <v>0</v>
      </c>
      <c r="E13" s="2">
        <v>117</v>
      </c>
      <c r="F13" s="4" t="s">
        <v>19</v>
      </c>
      <c r="G13" s="122">
        <f>VLOOKUP(A13,'[1]Data for Bill Impacts'!$A$3:$Y$16,17,0)</f>
        <v>93.97</v>
      </c>
      <c r="H13" s="78">
        <v>0</v>
      </c>
      <c r="I13" s="78">
        <v>0</v>
      </c>
      <c r="J13" s="126">
        <f>VLOOKUP(A13,'[1]Data for Bill Impacts'!$A$2:$Y$16,19,0)</f>
        <v>9.0851000000000006</v>
      </c>
      <c r="K13" s="122"/>
      <c r="L13" s="126"/>
      <c r="M13" s="122">
        <f>VLOOKUP(A13,'[1]Data for Bill Impacts'!$A$3:$Y$16,22,0)</f>
        <v>1.42</v>
      </c>
      <c r="N13" s="126">
        <f>VLOOKUP(A13,'[1]Data for Bill Impacts'!$A$3:$Y$16,23,0)</f>
        <v>-6.2300000000000001E-2</v>
      </c>
      <c r="O13" s="126">
        <f>VLOOKUP(A13,'[1]Data for Bill Impacts'!$A$3:$Y$16,24,0)</f>
        <v>2.1128999999999998</v>
      </c>
      <c r="P13" s="126">
        <f>VLOOKUP(A13,'[1]Data for Bill Impacts'!$A$3:$Y$16,25,0)</f>
        <v>1.3900999999999999</v>
      </c>
      <c r="Q13" s="3">
        <f>ROUND(VLOOKUP(A13,'[2]Rate Design'!$R$8:$W$20,2,0),2)</f>
        <v>101.13</v>
      </c>
      <c r="R13" s="2">
        <v>0</v>
      </c>
      <c r="S13" s="100">
        <f>ROUND(VLOOKUP(A13,'[2]Rate Design'!$R$8:$W$20,6,0),4)</f>
        <v>9.5976999999999997</v>
      </c>
      <c r="T13" s="126">
        <f>HLOOKUP(A13,'[3]VA Rider'!$F$59:$R$63,5,FALSE)</f>
        <v>-1E-3</v>
      </c>
      <c r="U13" s="126">
        <f>HLOOKUP(A13,'[4]VA Rider'!$F$61:$R$67,5,0)</f>
        <v>1.9E-3</v>
      </c>
      <c r="V13" s="156">
        <f>HLOOKUP(A13,'[4]VA Rider'!$F$61:$R$67,2,0)</f>
        <v>0.01</v>
      </c>
      <c r="W13" s="100">
        <f>HLOOKUP(A13,'[4]VA Rider'!$F$61:$R$67,4,0)+HLOOKUP(A13,'[4]VA Rider'!$F$61:$R$67,6,0)</f>
        <v>6.4600000000000005E-2</v>
      </c>
      <c r="X13" s="100">
        <f>VLOOKUP(A13,'[5]DRO Exhibit 3.4'!$A$9:$K$22,10,FALSE)*1.05</f>
        <v>2.2310400000000001</v>
      </c>
      <c r="Y13" s="100">
        <f>VLOOKUP(A13,'[5]DRO Exhibit 3.4'!$A$9:$K$22,11,FALSE)*1.05</f>
        <v>1.7046749999999999</v>
      </c>
    </row>
    <row r="14" spans="1:25" x14ac:dyDescent="0.2">
      <c r="A14" s="8" t="s">
        <v>10</v>
      </c>
      <c r="B14" s="127">
        <v>1.0609999999999999</v>
      </c>
      <c r="C14" s="7">
        <v>2000</v>
      </c>
      <c r="D14" s="7">
        <v>0</v>
      </c>
      <c r="E14" s="2">
        <v>15</v>
      </c>
      <c r="F14" s="4" t="s">
        <v>19</v>
      </c>
      <c r="G14" s="122">
        <f>VLOOKUP(A14,'[1]Data for Bill Impacts'!$A$3:$Y$16,17,0)</f>
        <v>149.34</v>
      </c>
      <c r="H14" s="78">
        <v>0</v>
      </c>
      <c r="I14" s="78">
        <v>0</v>
      </c>
      <c r="J14" s="126">
        <f>VLOOKUP(A14,'[1]Data for Bill Impacts'!$A$2:$Y$16,19,0)</f>
        <v>6.9518000000000004</v>
      </c>
      <c r="K14" s="122"/>
      <c r="L14" s="126"/>
      <c r="M14" s="122">
        <f>VLOOKUP(A14,'[1]Data for Bill Impacts'!$A$3:$Y$16,22,0)</f>
        <v>2.72</v>
      </c>
      <c r="N14" s="126">
        <f>VLOOKUP(A14,'[1]Data for Bill Impacts'!$A$3:$Y$16,23,0)</f>
        <v>6.3299999999999995E-2</v>
      </c>
      <c r="O14" s="126">
        <f>VLOOKUP(A14,'[1]Data for Bill Impacts'!$A$3:$Y$16,24,0)</f>
        <v>0.55489999999999995</v>
      </c>
      <c r="P14" s="126">
        <f>VLOOKUP(A14,'[1]Data for Bill Impacts'!$A$3:$Y$16,25,0)</f>
        <v>0.3553</v>
      </c>
      <c r="Q14" s="3">
        <f>ROUND(VLOOKUP(A14,'[2]Rate Design'!$R$8:$W$20,2,0),2)</f>
        <v>198.03</v>
      </c>
      <c r="R14" s="2">
        <v>0</v>
      </c>
      <c r="S14" s="100">
        <f>ROUND(VLOOKUP(A14,'[2]Rate Design'!$R$8:$W$20,6,0),4)</f>
        <v>6.0591999999999997</v>
      </c>
      <c r="T14" s="126">
        <f>HLOOKUP(A14,'[3]VA Rider'!$F$59:$R$63,5,FALSE)</f>
        <v>-1E-3</v>
      </c>
      <c r="U14" s="126">
        <f>HLOOKUP(A14,'[4]VA Rider'!$F$61:$R$67,5,0)</f>
        <v>1.9E-3</v>
      </c>
      <c r="V14" s="156">
        <f>HLOOKUP(A14,'[4]VA Rider'!$F$61:$R$67,2,0)</f>
        <v>0.01</v>
      </c>
      <c r="W14" s="100">
        <f>HLOOKUP(A14,'[4]VA Rider'!$F$61:$R$67,4,0)+HLOOKUP(A14,'[4]VA Rider'!$F$61:$R$67,6,0)</f>
        <v>1.72E-2</v>
      </c>
      <c r="X14" s="100">
        <f>VLOOKUP(A14,'[5]DRO Exhibit 3.4'!$A$9:$K$22,10,FALSE)*1.061</f>
        <v>0.63108279999999994</v>
      </c>
      <c r="Y14" s="100">
        <f>VLOOKUP(A14,'[5]DRO Exhibit 3.4'!$A$9:$K$22,11,FALSE)*1.061</f>
        <v>0.54747599999999996</v>
      </c>
    </row>
    <row r="15" spans="1:25" x14ac:dyDescent="0.2">
      <c r="A15" s="8" t="s">
        <v>11</v>
      </c>
      <c r="B15" s="127">
        <v>1.034</v>
      </c>
      <c r="C15" s="7">
        <v>36000</v>
      </c>
      <c r="D15" s="7">
        <v>0</v>
      </c>
      <c r="E15" s="2">
        <v>117</v>
      </c>
      <c r="F15" s="4" t="s">
        <v>19</v>
      </c>
      <c r="G15" s="122">
        <f>VLOOKUP(A15,'[1]Data for Bill Impacts'!$A$3:$Y$16,17,0)</f>
        <v>1256.56</v>
      </c>
      <c r="H15" s="78">
        <v>0</v>
      </c>
      <c r="I15" s="78">
        <v>0</v>
      </c>
      <c r="J15" s="126">
        <f>VLOOKUP(A15,'[1]Data for Bill Impacts'!$A$2:$Y$16,19,0)</f>
        <v>1.2052</v>
      </c>
      <c r="K15" s="122"/>
      <c r="L15" s="126"/>
      <c r="M15" s="122">
        <f>VLOOKUP(A15,'[1]Data for Bill Impacts'!$A$3:$Y$16,22,0)</f>
        <v>11.86</v>
      </c>
      <c r="N15" s="126">
        <f>VLOOKUP(A15,'[1]Data for Bill Impacts'!$A$3:$Y$16,23,0)</f>
        <v>0.31259999999999999</v>
      </c>
      <c r="O15" s="126">
        <f>VLOOKUP(A15,'[1]Data for Bill Impacts'!$A$3:$Y$16,24,0)</f>
        <v>3.3028</v>
      </c>
      <c r="P15" s="126">
        <f>VLOOKUP(A15,'[1]Data for Bill Impacts'!$A$3:$Y$16,25,0)</f>
        <v>2.6059999999999999</v>
      </c>
      <c r="Q15" s="3">
        <f>SUM('[7]Rate Calc'!$G$16:$H$16)</f>
        <v>1204.08</v>
      </c>
      <c r="R15" s="2">
        <v>0</v>
      </c>
      <c r="S15" s="100">
        <f>'[7]Rate Calc'!$D$36</f>
        <v>1.3153070071616677</v>
      </c>
      <c r="T15" s="126">
        <f>HLOOKUP(A15,'[3]VA Rider'!$F$59:$R$63,5,FALSE)</f>
        <v>-1E-3</v>
      </c>
      <c r="U15" s="126">
        <f>HLOOKUP(A15,'[4]VA Rider'!$F$61:$R$67,5,0)</f>
        <v>1.9E-3</v>
      </c>
      <c r="V15" s="156">
        <f>HLOOKUP(A15,'[4]VA Rider'!$F$61:$R$67,2,0)</f>
        <v>3.83</v>
      </c>
      <c r="W15" s="100">
        <f>'[4]VA Rider'!$H$71+'[4]VA Rider'!$H$72+'[4]VA Rider'!$R$66</f>
        <v>0.27289999999999998</v>
      </c>
      <c r="X15" s="100">
        <f>VLOOKUP(A15,'[5]DRO Exhibit 3.4'!$A$9:$K$22,10,FALSE)*1.034</f>
        <v>3.4866480000000002</v>
      </c>
      <c r="Y15" s="177">
        <f>([5]Summary!$O$18+[5]Summary!$P$18)*1.034</f>
        <v>2.6021643999999999</v>
      </c>
    </row>
    <row r="16" spans="1:25" x14ac:dyDescent="0.2">
      <c r="G16"/>
      <c r="H16"/>
      <c r="I16"/>
      <c r="J16"/>
      <c r="K16"/>
      <c r="L16"/>
      <c r="M16"/>
      <c r="N16"/>
      <c r="O16"/>
      <c r="P16"/>
      <c r="T16" s="5"/>
      <c r="U16" s="5"/>
      <c r="V16" s="5"/>
      <c r="W16" s="68"/>
      <c r="X16" s="5"/>
    </row>
    <row r="17" spans="1:25" x14ac:dyDescent="0.2">
      <c r="G17"/>
      <c r="H17"/>
      <c r="I17"/>
      <c r="J17"/>
      <c r="K17"/>
      <c r="L17"/>
      <c r="M17"/>
      <c r="N17"/>
      <c r="O17" s="68"/>
      <c r="P17" s="68"/>
      <c r="T17" s="5"/>
      <c r="U17" s="5"/>
      <c r="V17" s="5"/>
      <c r="W17" s="5"/>
      <c r="X17" s="5"/>
    </row>
    <row r="18" spans="1:25" ht="38.25" x14ac:dyDescent="0.2">
      <c r="A18" s="10" t="s">
        <v>13</v>
      </c>
      <c r="B18" s="10" t="s">
        <v>14</v>
      </c>
      <c r="C18" s="168" t="s">
        <v>118</v>
      </c>
      <c r="D18" s="168" t="s">
        <v>119</v>
      </c>
      <c r="G18"/>
      <c r="H18"/>
      <c r="I18"/>
      <c r="J18"/>
      <c r="K18"/>
      <c r="L18"/>
      <c r="M18"/>
      <c r="N18"/>
      <c r="O18"/>
      <c r="P18" s="68"/>
      <c r="Q18" s="68"/>
      <c r="U18" s="5"/>
      <c r="V18" s="5"/>
      <c r="W18" s="5"/>
      <c r="X18" s="5"/>
      <c r="Y18" s="5"/>
    </row>
    <row r="19" spans="1:25" x14ac:dyDescent="0.2">
      <c r="A19" s="6" t="s">
        <v>0</v>
      </c>
      <c r="B19" s="127">
        <v>1.0569999999999999</v>
      </c>
      <c r="C19" s="167">
        <f>VLOOKUP(A19,[8]Sheet1!$A$9:$I$22,8,FALSE)</f>
        <v>755</v>
      </c>
      <c r="D19" s="2"/>
      <c r="G19"/>
      <c r="H19"/>
      <c r="I19"/>
      <c r="J19"/>
      <c r="K19"/>
      <c r="L19"/>
      <c r="M19"/>
      <c r="N19"/>
      <c r="O19"/>
      <c r="P19" s="68"/>
      <c r="Q19" s="68"/>
      <c r="U19" s="5"/>
      <c r="V19" s="5"/>
      <c r="W19" s="5"/>
      <c r="X19" s="5"/>
      <c r="Y19" s="5"/>
    </row>
    <row r="20" spans="1:25" x14ac:dyDescent="0.2">
      <c r="A20" s="6" t="s">
        <v>1</v>
      </c>
      <c r="B20" s="127">
        <v>1.0760000000000001</v>
      </c>
      <c r="C20" s="167">
        <f>VLOOKUP(A20,[8]Sheet1!$A$10:$I$22,8,FALSE)</f>
        <v>920</v>
      </c>
      <c r="D20" s="2"/>
      <c r="G20"/>
      <c r="H20"/>
      <c r="I20"/>
      <c r="J20"/>
      <c r="K20"/>
      <c r="L20"/>
      <c r="M20"/>
      <c r="N20"/>
      <c r="O20"/>
      <c r="P20" s="68"/>
      <c r="Q20" s="68"/>
      <c r="U20" s="5"/>
      <c r="V20" s="5"/>
      <c r="W20" s="5"/>
      <c r="X20" s="5"/>
      <c r="Y20" s="5"/>
    </row>
    <row r="21" spans="1:25" x14ac:dyDescent="0.2">
      <c r="A21" s="6" t="s">
        <v>2</v>
      </c>
      <c r="B21" s="127">
        <v>1.105</v>
      </c>
      <c r="C21" s="167">
        <f>VLOOKUP(A21,[8]Sheet1!$A$10:$I$22,8,FALSE)</f>
        <v>1152</v>
      </c>
      <c r="D21" s="2"/>
      <c r="G21"/>
      <c r="H21"/>
      <c r="I21"/>
      <c r="J21"/>
      <c r="K21"/>
      <c r="L21"/>
      <c r="M21"/>
      <c r="N21"/>
      <c r="O21"/>
      <c r="P21"/>
      <c r="U21" s="5"/>
      <c r="V21" s="5"/>
      <c r="W21" s="5"/>
      <c r="X21" s="5"/>
      <c r="Y21" s="5"/>
    </row>
    <row r="22" spans="1:25" x14ac:dyDescent="0.2">
      <c r="A22" s="6" t="s">
        <v>3</v>
      </c>
      <c r="B22" s="127">
        <v>1.1040000000000001</v>
      </c>
      <c r="C22" s="167">
        <f>VLOOKUP(A22,[8]Sheet1!$A$10:$I$22,8,FALSE)</f>
        <v>352</v>
      </c>
      <c r="D22" s="2"/>
      <c r="G22"/>
      <c r="H22"/>
      <c r="I22"/>
      <c r="J22"/>
      <c r="K22"/>
      <c r="L22"/>
      <c r="M22"/>
      <c r="N22"/>
      <c r="O22"/>
      <c r="P22"/>
      <c r="T22" s="68"/>
      <c r="U22" s="5"/>
      <c r="V22" s="5"/>
      <c r="W22" s="5"/>
      <c r="X22" s="5"/>
      <c r="Y22" s="5"/>
    </row>
    <row r="23" spans="1:25" x14ac:dyDescent="0.2">
      <c r="A23" s="6" t="s">
        <v>4</v>
      </c>
      <c r="B23" s="127">
        <v>1.0960000000000001</v>
      </c>
      <c r="C23" s="167">
        <f>VLOOKUP(A23,[8]Sheet1!$A$10:$I$22,8,FALSE)</f>
        <v>1982</v>
      </c>
      <c r="D23" s="2"/>
      <c r="G23"/>
      <c r="H23"/>
      <c r="I23"/>
      <c r="J23"/>
      <c r="K23"/>
      <c r="L23"/>
      <c r="M23"/>
      <c r="N23"/>
      <c r="O23"/>
      <c r="P23"/>
      <c r="U23" s="5"/>
      <c r="V23" s="5"/>
      <c r="W23" s="5"/>
      <c r="X23" s="5"/>
      <c r="Y23" s="5"/>
    </row>
    <row r="24" spans="1:25" x14ac:dyDescent="0.2">
      <c r="A24" s="6" t="s">
        <v>6</v>
      </c>
      <c r="B24" s="127">
        <v>1.0669999999999999</v>
      </c>
      <c r="C24" s="167">
        <f>VLOOKUP(A24,[8]Sheet1!$A$10:$I$22,8,FALSE)</f>
        <v>2759</v>
      </c>
      <c r="D24" s="2"/>
      <c r="G24"/>
      <c r="H24"/>
      <c r="I24"/>
      <c r="J24"/>
      <c r="K24"/>
      <c r="L24"/>
      <c r="M24"/>
      <c r="N24"/>
      <c r="O24"/>
      <c r="P24"/>
      <c r="U24" s="5"/>
      <c r="V24" s="5"/>
      <c r="W24" s="5"/>
      <c r="X24" s="5"/>
      <c r="Y24" s="5"/>
    </row>
    <row r="25" spans="1:25" x14ac:dyDescent="0.2">
      <c r="A25" s="6" t="s">
        <v>8</v>
      </c>
      <c r="B25" s="127">
        <v>1.0920000000000001</v>
      </c>
      <c r="C25" s="167">
        <f>VLOOKUP(A25,[8]Sheet1!$A$10:$I$22,8,FALSE)</f>
        <v>517</v>
      </c>
      <c r="D25" s="2"/>
      <c r="G25"/>
      <c r="H25"/>
      <c r="I25"/>
      <c r="J25"/>
      <c r="K25"/>
      <c r="L25"/>
      <c r="M25"/>
      <c r="N25"/>
      <c r="O25"/>
      <c r="P25"/>
      <c r="U25" s="5"/>
      <c r="V25" s="5"/>
      <c r="W25" s="5"/>
      <c r="X25" s="5"/>
      <c r="Y25" s="5"/>
    </row>
    <row r="26" spans="1:25" x14ac:dyDescent="0.2">
      <c r="A26" s="6" t="s">
        <v>9</v>
      </c>
      <c r="B26" s="127">
        <v>1.0920000000000001</v>
      </c>
      <c r="C26" s="167">
        <f>VLOOKUP(A26,[8]Sheet1!$A$10:$I$22,8,FALSE)</f>
        <v>71</v>
      </c>
      <c r="D26" s="2"/>
      <c r="G26"/>
      <c r="H26"/>
      <c r="I26"/>
      <c r="J26"/>
      <c r="K26"/>
      <c r="L26"/>
      <c r="M26"/>
      <c r="N26"/>
      <c r="O26"/>
      <c r="P26"/>
      <c r="U26" s="5"/>
      <c r="V26" s="5"/>
      <c r="W26" s="5"/>
      <c r="X26" s="5"/>
      <c r="Y26" s="5"/>
    </row>
    <row r="27" spans="1:25" x14ac:dyDescent="0.2">
      <c r="A27" s="8" t="s">
        <v>12</v>
      </c>
      <c r="B27" s="127">
        <v>1.0920000000000001</v>
      </c>
      <c r="C27" s="167">
        <f>VLOOKUP(A27,[8]Sheet1!$A$10:$I$22,8,FALSE)</f>
        <v>364</v>
      </c>
      <c r="D27" s="2"/>
      <c r="G27"/>
      <c r="H27"/>
      <c r="I27"/>
      <c r="J27"/>
      <c r="K27"/>
      <c r="L27"/>
      <c r="M27"/>
      <c r="N27"/>
      <c r="O27"/>
      <c r="P27"/>
      <c r="U27" s="5"/>
      <c r="V27" s="5"/>
      <c r="W27" s="5"/>
      <c r="X27" s="5"/>
      <c r="Y27" s="5"/>
    </row>
    <row r="28" spans="1:25" x14ac:dyDescent="0.2">
      <c r="A28" s="6" t="s">
        <v>5</v>
      </c>
      <c r="B28" s="127">
        <v>1.0609999999999999</v>
      </c>
      <c r="C28" s="167">
        <f>VLOOKUP(A28,[8]Sheet1!$A$10:$I$22,8,FALSE)</f>
        <v>36104</v>
      </c>
      <c r="D28" s="167">
        <f>VLOOKUP(A28,[8]Sheet1!$A$10:$I$22,9,FALSE)</f>
        <v>124</v>
      </c>
      <c r="G28"/>
      <c r="H28"/>
      <c r="I28"/>
      <c r="J28"/>
      <c r="K28"/>
      <c r="L28"/>
      <c r="M28"/>
      <c r="N28"/>
      <c r="O28"/>
      <c r="P28"/>
    </row>
    <row r="29" spans="1:25" x14ac:dyDescent="0.2">
      <c r="A29" s="6" t="s">
        <v>7</v>
      </c>
      <c r="B29" s="127">
        <v>1.05</v>
      </c>
      <c r="C29" s="167">
        <f>VLOOKUP(A29,[8]Sheet1!$A$10:$I$22,8,FALSE)</f>
        <v>50525</v>
      </c>
      <c r="D29" s="167">
        <f>VLOOKUP(A29,[8]Sheet1!$A$10:$I$22,9,FALSE)</f>
        <v>135</v>
      </c>
      <c r="G29"/>
      <c r="H29"/>
      <c r="I29"/>
      <c r="J29"/>
      <c r="K29"/>
      <c r="L29"/>
      <c r="M29"/>
      <c r="N29"/>
      <c r="O29"/>
      <c r="P29"/>
    </row>
    <row r="30" spans="1:25" x14ac:dyDescent="0.2">
      <c r="A30" s="8" t="s">
        <v>10</v>
      </c>
      <c r="B30" s="127">
        <v>1.0609999999999999</v>
      </c>
      <c r="C30" s="167">
        <f>VLOOKUP(A30,[8]Sheet1!$A$10:$I$22,8,FALSE)</f>
        <v>1328</v>
      </c>
      <c r="D30" s="167">
        <f>VLOOKUP(A30,[8]Sheet1!$A$10:$I$22,9,FALSE)</f>
        <v>13</v>
      </c>
      <c r="G30"/>
      <c r="H30"/>
      <c r="I30"/>
      <c r="J30"/>
      <c r="K30"/>
      <c r="L30"/>
      <c r="M30"/>
      <c r="N30"/>
      <c r="O30"/>
      <c r="P30"/>
    </row>
    <row r="31" spans="1:25" x14ac:dyDescent="0.2">
      <c r="A31" s="8" t="s">
        <v>11</v>
      </c>
      <c r="B31" s="127">
        <v>1.034</v>
      </c>
      <c r="C31" s="167">
        <f>VLOOKUP(A31,[8]Sheet1!$A$10:$I$22,8,FALSE)</f>
        <v>1601036</v>
      </c>
      <c r="D31" s="167">
        <f>VLOOKUP(A31,[8]Sheet1!$A$10:$I$22,9,FALSE)</f>
        <v>3091</v>
      </c>
      <c r="G31"/>
      <c r="H31"/>
      <c r="I31"/>
      <c r="J31"/>
      <c r="K31"/>
      <c r="L31"/>
      <c r="M31"/>
      <c r="N31"/>
      <c r="O31"/>
      <c r="P31"/>
    </row>
    <row r="32" spans="1:25" x14ac:dyDescent="0.2">
      <c r="G32"/>
      <c r="H32"/>
      <c r="I32"/>
      <c r="J32"/>
      <c r="K32"/>
      <c r="L32"/>
      <c r="M32"/>
      <c r="N32"/>
      <c r="O32"/>
      <c r="P32"/>
    </row>
    <row r="33" spans="7:16" x14ac:dyDescent="0.2">
      <c r="G33"/>
      <c r="H33"/>
      <c r="I33"/>
      <c r="J33"/>
      <c r="K33"/>
      <c r="L33"/>
      <c r="M33"/>
      <c r="N33"/>
      <c r="O33"/>
      <c r="P33"/>
    </row>
    <row r="34" spans="7:16" x14ac:dyDescent="0.2">
      <c r="G34"/>
      <c r="H34"/>
      <c r="I34"/>
      <c r="J34"/>
      <c r="K34"/>
      <c r="L34"/>
      <c r="M34"/>
      <c r="N34"/>
      <c r="O34"/>
      <c r="P34"/>
    </row>
    <row r="35" spans="7:16" x14ac:dyDescent="0.2">
      <c r="G35"/>
      <c r="H35"/>
      <c r="I35"/>
      <c r="J35"/>
      <c r="K35"/>
      <c r="L35"/>
      <c r="M35"/>
      <c r="N35"/>
      <c r="O35"/>
      <c r="P35"/>
    </row>
    <row r="36" spans="7:16" x14ac:dyDescent="0.2">
      <c r="G36"/>
      <c r="H36"/>
      <c r="I36"/>
      <c r="J36"/>
      <c r="K36"/>
      <c r="L36"/>
      <c r="M36"/>
      <c r="N36"/>
      <c r="O36"/>
      <c r="P36"/>
    </row>
    <row r="37" spans="7:16" x14ac:dyDescent="0.2">
      <c r="G37"/>
      <c r="H37"/>
      <c r="I37"/>
      <c r="J37"/>
      <c r="K37"/>
      <c r="L37"/>
      <c r="M37"/>
      <c r="N37"/>
      <c r="O37"/>
      <c r="P37"/>
    </row>
    <row r="38" spans="7:16" x14ac:dyDescent="0.2">
      <c r="G38"/>
      <c r="H38"/>
      <c r="I38"/>
      <c r="J38"/>
      <c r="K38"/>
      <c r="L38"/>
      <c r="M38"/>
      <c r="N38"/>
      <c r="O38"/>
      <c r="P38"/>
    </row>
    <row r="39" spans="7:16" x14ac:dyDescent="0.2">
      <c r="G39"/>
      <c r="H39"/>
      <c r="I39"/>
      <c r="J39"/>
      <c r="K39"/>
      <c r="L39"/>
      <c r="M39"/>
      <c r="N39"/>
      <c r="O39"/>
      <c r="P39"/>
    </row>
    <row r="40" spans="7:16" x14ac:dyDescent="0.2">
      <c r="G40"/>
      <c r="H40"/>
      <c r="I40"/>
      <c r="J40"/>
      <c r="K40"/>
      <c r="L40"/>
      <c r="M40"/>
      <c r="N40"/>
      <c r="O40"/>
      <c r="P40"/>
    </row>
    <row r="41" spans="7:16" x14ac:dyDescent="0.2">
      <c r="G41"/>
      <c r="H41"/>
      <c r="I41"/>
      <c r="J41"/>
      <c r="K41"/>
      <c r="L41"/>
      <c r="M41"/>
      <c r="N41"/>
      <c r="O41"/>
      <c r="P41"/>
    </row>
    <row r="42" spans="7:16" x14ac:dyDescent="0.2">
      <c r="G42"/>
      <c r="H42"/>
      <c r="I42"/>
      <c r="J42"/>
      <c r="K42"/>
      <c r="L42"/>
      <c r="M42"/>
      <c r="N42"/>
      <c r="O42"/>
      <c r="P42"/>
    </row>
    <row r="43" spans="7:16" x14ac:dyDescent="0.2">
      <c r="G43"/>
      <c r="H43"/>
      <c r="I43"/>
      <c r="J43"/>
      <c r="K43"/>
      <c r="L43"/>
      <c r="M43"/>
      <c r="N43"/>
      <c r="O43"/>
      <c r="P43"/>
    </row>
    <row r="44" spans="7:16" x14ac:dyDescent="0.2">
      <c r="G44"/>
      <c r="H44"/>
      <c r="I44"/>
      <c r="J44"/>
      <c r="K44"/>
      <c r="L44"/>
      <c r="M44"/>
      <c r="N44"/>
      <c r="O44"/>
      <c r="P44"/>
    </row>
    <row r="45" spans="7:16" x14ac:dyDescent="0.2">
      <c r="G45"/>
      <c r="H45"/>
      <c r="I45"/>
      <c r="J45"/>
      <c r="K45"/>
      <c r="L45"/>
      <c r="M45"/>
      <c r="N45"/>
      <c r="O45"/>
      <c r="P45"/>
    </row>
    <row r="46" spans="7:16" x14ac:dyDescent="0.2">
      <c r="G46"/>
      <c r="H46"/>
      <c r="I46"/>
      <c r="J46"/>
      <c r="K46"/>
      <c r="L46"/>
      <c r="M46"/>
      <c r="N46"/>
      <c r="O46"/>
      <c r="P46"/>
    </row>
    <row r="47" spans="7:16" x14ac:dyDescent="0.2">
      <c r="G47"/>
      <c r="H47"/>
      <c r="I47"/>
      <c r="J47"/>
      <c r="K47"/>
      <c r="L47"/>
      <c r="M47"/>
      <c r="N47"/>
      <c r="O47"/>
      <c r="P47"/>
    </row>
    <row r="48" spans="7:16" x14ac:dyDescent="0.2">
      <c r="G48"/>
      <c r="H48"/>
      <c r="I48"/>
      <c r="J48"/>
      <c r="K48"/>
      <c r="L48"/>
      <c r="M48"/>
      <c r="N48"/>
      <c r="O48"/>
      <c r="P48"/>
    </row>
    <row r="49" spans="7:16" x14ac:dyDescent="0.2">
      <c r="G49"/>
      <c r="H49"/>
      <c r="I49"/>
      <c r="J49"/>
      <c r="K49"/>
      <c r="L49"/>
      <c r="M49"/>
      <c r="N49"/>
      <c r="O49"/>
      <c r="P49"/>
    </row>
    <row r="50" spans="7:16" x14ac:dyDescent="0.2">
      <c r="G50"/>
      <c r="H50"/>
      <c r="I50"/>
      <c r="J50"/>
      <c r="K50"/>
      <c r="L50"/>
      <c r="M50"/>
      <c r="N50"/>
      <c r="O50"/>
      <c r="P50"/>
    </row>
    <row r="51" spans="7:16" x14ac:dyDescent="0.2">
      <c r="G51"/>
      <c r="H51"/>
      <c r="I51"/>
      <c r="J51"/>
      <c r="K51"/>
      <c r="L51"/>
      <c r="M51"/>
      <c r="N51"/>
      <c r="O51"/>
      <c r="P51"/>
    </row>
    <row r="52" spans="7:16" x14ac:dyDescent="0.2">
      <c r="G52"/>
      <c r="H52"/>
      <c r="I52"/>
      <c r="J52"/>
      <c r="K52"/>
      <c r="L52"/>
      <c r="M52"/>
      <c r="N52"/>
      <c r="O52"/>
      <c r="P52"/>
    </row>
    <row r="53" spans="7:16" x14ac:dyDescent="0.2">
      <c r="G53"/>
      <c r="H53"/>
      <c r="I53"/>
      <c r="J53"/>
      <c r="K53"/>
      <c r="L53"/>
      <c r="M53"/>
      <c r="N53"/>
      <c r="O53"/>
      <c r="P53"/>
    </row>
    <row r="54" spans="7:16" x14ac:dyDescent="0.2">
      <c r="G54"/>
      <c r="H54"/>
      <c r="I54"/>
      <c r="J54"/>
      <c r="K54"/>
      <c r="L54"/>
      <c r="M54"/>
      <c r="N54"/>
      <c r="O54"/>
      <c r="P54"/>
    </row>
    <row r="55" spans="7:16" x14ac:dyDescent="0.2">
      <c r="G55"/>
      <c r="H55"/>
      <c r="I55"/>
      <c r="J55"/>
      <c r="K55"/>
      <c r="L55"/>
      <c r="M55"/>
      <c r="N55"/>
      <c r="O55"/>
      <c r="P55"/>
    </row>
    <row r="56" spans="7:16" x14ac:dyDescent="0.2">
      <c r="G56"/>
      <c r="H56"/>
      <c r="I56"/>
      <c r="J56"/>
      <c r="K56"/>
      <c r="L56"/>
      <c r="M56"/>
      <c r="N56"/>
      <c r="O56"/>
      <c r="P56"/>
    </row>
    <row r="57" spans="7:16" x14ac:dyDescent="0.2">
      <c r="G57"/>
      <c r="H57"/>
      <c r="I57"/>
      <c r="J57"/>
      <c r="K57"/>
      <c r="L57"/>
      <c r="M57"/>
      <c r="N57"/>
      <c r="O57"/>
      <c r="P57"/>
    </row>
    <row r="58" spans="7:16" x14ac:dyDescent="0.2">
      <c r="G58"/>
      <c r="H58"/>
      <c r="I58"/>
      <c r="J58"/>
      <c r="K58"/>
      <c r="L58"/>
      <c r="M58"/>
      <c r="N58"/>
      <c r="O58"/>
      <c r="P58"/>
    </row>
    <row r="59" spans="7:16" x14ac:dyDescent="0.2">
      <c r="G59"/>
      <c r="H59"/>
      <c r="I59"/>
      <c r="J59"/>
      <c r="K59"/>
      <c r="L59"/>
      <c r="M59"/>
      <c r="N59"/>
      <c r="O59"/>
      <c r="P59"/>
    </row>
    <row r="60" spans="7:16" x14ac:dyDescent="0.2">
      <c r="G60"/>
      <c r="H60"/>
      <c r="I60"/>
      <c r="J60"/>
      <c r="K60"/>
      <c r="L60"/>
      <c r="M60"/>
      <c r="N60"/>
      <c r="O60"/>
      <c r="P60"/>
    </row>
    <row r="61" spans="7:16" x14ac:dyDescent="0.2">
      <c r="G61"/>
      <c r="H61"/>
      <c r="I61"/>
      <c r="J61"/>
      <c r="K61"/>
      <c r="L61"/>
      <c r="M61"/>
      <c r="N61"/>
      <c r="O61"/>
      <c r="P61"/>
    </row>
    <row r="62" spans="7:16" x14ac:dyDescent="0.2">
      <c r="G62"/>
      <c r="H62"/>
      <c r="I62"/>
      <c r="J62"/>
      <c r="K62"/>
      <c r="L62"/>
      <c r="M62"/>
      <c r="N62"/>
      <c r="O62"/>
      <c r="P62"/>
    </row>
    <row r="63" spans="7:16" x14ac:dyDescent="0.2">
      <c r="G63"/>
      <c r="H63"/>
      <c r="I63"/>
      <c r="J63"/>
      <c r="K63"/>
      <c r="L63"/>
      <c r="M63"/>
      <c r="N63"/>
      <c r="O63"/>
      <c r="P63"/>
    </row>
    <row r="64" spans="7:16" x14ac:dyDescent="0.2">
      <c r="G64"/>
      <c r="H64"/>
      <c r="I64"/>
      <c r="J64"/>
      <c r="K64"/>
      <c r="L64"/>
      <c r="M64"/>
      <c r="N64"/>
      <c r="O64"/>
      <c r="P64"/>
    </row>
    <row r="65" spans="7:16" x14ac:dyDescent="0.2">
      <c r="G65"/>
      <c r="H65"/>
      <c r="I65"/>
      <c r="J65"/>
      <c r="K65"/>
      <c r="L65"/>
      <c r="M65"/>
      <c r="N65"/>
      <c r="O65"/>
      <c r="P65"/>
    </row>
    <row r="66" spans="7:16" x14ac:dyDescent="0.2">
      <c r="G66"/>
      <c r="H66"/>
      <c r="I66"/>
      <c r="J66"/>
      <c r="K66"/>
      <c r="L66"/>
      <c r="M66"/>
      <c r="N66"/>
      <c r="O66"/>
      <c r="P66"/>
    </row>
    <row r="67" spans="7:16" x14ac:dyDescent="0.2">
      <c r="G67"/>
      <c r="H67"/>
      <c r="I67"/>
      <c r="J67"/>
      <c r="K67"/>
      <c r="L67"/>
      <c r="M67"/>
      <c r="N67"/>
      <c r="O67"/>
      <c r="P67"/>
    </row>
    <row r="68" spans="7:16" x14ac:dyDescent="0.2">
      <c r="G68"/>
      <c r="H68"/>
      <c r="I68"/>
      <c r="J68"/>
      <c r="K68"/>
      <c r="L68"/>
      <c r="M68"/>
      <c r="N68"/>
      <c r="O68"/>
      <c r="P68"/>
    </row>
    <row r="69" spans="7:16" x14ac:dyDescent="0.2">
      <c r="G69"/>
      <c r="H69"/>
      <c r="I69"/>
      <c r="J69"/>
      <c r="K69"/>
      <c r="L69"/>
      <c r="M69"/>
      <c r="N69"/>
      <c r="O69"/>
      <c r="P69"/>
    </row>
    <row r="70" spans="7:16" x14ac:dyDescent="0.2">
      <c r="G70"/>
      <c r="H70"/>
      <c r="I70"/>
      <c r="J70"/>
      <c r="K70"/>
      <c r="L70"/>
      <c r="M70"/>
      <c r="N70"/>
      <c r="O70"/>
      <c r="P70"/>
    </row>
    <row r="71" spans="7:16" x14ac:dyDescent="0.2">
      <c r="G71"/>
      <c r="H71"/>
      <c r="I71"/>
      <c r="J71"/>
      <c r="K71"/>
      <c r="L71"/>
      <c r="M71"/>
      <c r="N71"/>
      <c r="O71"/>
      <c r="P71"/>
    </row>
    <row r="72" spans="7:16" x14ac:dyDescent="0.2">
      <c r="G72"/>
      <c r="H72"/>
      <c r="I72"/>
      <c r="J72"/>
      <c r="K72"/>
      <c r="L72"/>
      <c r="M72"/>
      <c r="N72"/>
      <c r="O72"/>
      <c r="P72"/>
    </row>
    <row r="73" spans="7:16" x14ac:dyDescent="0.2">
      <c r="G73"/>
      <c r="H73"/>
      <c r="I73"/>
      <c r="J73"/>
      <c r="K73"/>
      <c r="L73"/>
      <c r="M73"/>
      <c r="N73"/>
      <c r="O73"/>
      <c r="P73"/>
    </row>
    <row r="74" spans="7:16" x14ac:dyDescent="0.2">
      <c r="G74"/>
      <c r="H74"/>
      <c r="I74"/>
      <c r="J74"/>
      <c r="K74"/>
      <c r="L74"/>
      <c r="M74"/>
      <c r="N74"/>
      <c r="O74"/>
      <c r="P74"/>
    </row>
    <row r="75" spans="7:16" x14ac:dyDescent="0.2">
      <c r="G75"/>
      <c r="H75"/>
      <c r="I75"/>
      <c r="J75"/>
      <c r="K75"/>
      <c r="L75"/>
      <c r="M75"/>
      <c r="N75"/>
      <c r="O75"/>
      <c r="P75"/>
    </row>
    <row r="76" spans="7:16" x14ac:dyDescent="0.2">
      <c r="G76"/>
      <c r="H76"/>
      <c r="I76"/>
      <c r="J76"/>
      <c r="K76"/>
      <c r="L76"/>
      <c r="M76"/>
      <c r="N76"/>
      <c r="O76"/>
      <c r="P76"/>
    </row>
    <row r="77" spans="7:16" x14ac:dyDescent="0.2">
      <c r="G77"/>
      <c r="H77"/>
      <c r="I77"/>
      <c r="J77"/>
      <c r="K77"/>
      <c r="L77"/>
      <c r="M77"/>
      <c r="N77"/>
      <c r="O77"/>
      <c r="P77"/>
    </row>
    <row r="78" spans="7:16" x14ac:dyDescent="0.2">
      <c r="G78"/>
      <c r="H78"/>
      <c r="I78"/>
      <c r="J78"/>
      <c r="K78"/>
      <c r="L78"/>
      <c r="M78"/>
      <c r="N78"/>
      <c r="O78"/>
      <c r="P78"/>
    </row>
    <row r="79" spans="7:16" x14ac:dyDescent="0.2">
      <c r="G79"/>
      <c r="H79"/>
      <c r="I79"/>
      <c r="J79"/>
      <c r="K79"/>
      <c r="L79"/>
      <c r="M79"/>
      <c r="N79"/>
      <c r="O79"/>
      <c r="P79"/>
    </row>
    <row r="80" spans="7:16" x14ac:dyDescent="0.2">
      <c r="G80"/>
      <c r="H80"/>
      <c r="I80"/>
      <c r="J80"/>
      <c r="K80"/>
      <c r="L80"/>
      <c r="M80"/>
      <c r="N80"/>
      <c r="O80"/>
      <c r="P80"/>
    </row>
    <row r="81" spans="7:16" x14ac:dyDescent="0.2">
      <c r="G81"/>
      <c r="H81"/>
      <c r="I81"/>
      <c r="J81"/>
      <c r="K81"/>
      <c r="L81"/>
      <c r="M81"/>
      <c r="N81"/>
      <c r="O81"/>
      <c r="P81"/>
    </row>
    <row r="82" spans="7:16" x14ac:dyDescent="0.2">
      <c r="G82"/>
      <c r="H82"/>
      <c r="I82"/>
      <c r="J82"/>
      <c r="K82"/>
      <c r="L82"/>
      <c r="M82"/>
      <c r="N82"/>
      <c r="O82"/>
      <c r="P82"/>
    </row>
    <row r="83" spans="7:16" x14ac:dyDescent="0.2">
      <c r="G83"/>
      <c r="H83"/>
      <c r="I83"/>
      <c r="J83"/>
      <c r="K83"/>
      <c r="L83"/>
      <c r="M83"/>
      <c r="N83"/>
      <c r="O83"/>
      <c r="P83"/>
    </row>
    <row r="84" spans="7:16" x14ac:dyDescent="0.2">
      <c r="G84"/>
      <c r="H84"/>
      <c r="I84"/>
      <c r="J84"/>
      <c r="K84"/>
      <c r="L84"/>
      <c r="M84"/>
      <c r="N84"/>
      <c r="O84"/>
      <c r="P84"/>
    </row>
    <row r="85" spans="7:16" x14ac:dyDescent="0.2">
      <c r="G85"/>
      <c r="H85"/>
      <c r="I85"/>
      <c r="J85"/>
      <c r="K85"/>
      <c r="L85"/>
      <c r="M85"/>
      <c r="N85"/>
      <c r="O85"/>
      <c r="P85"/>
    </row>
    <row r="86" spans="7:16" x14ac:dyDescent="0.2">
      <c r="G86"/>
      <c r="H86"/>
      <c r="I86"/>
      <c r="J86"/>
      <c r="K86"/>
      <c r="L86"/>
      <c r="M86"/>
      <c r="N86"/>
      <c r="O86"/>
      <c r="P86"/>
    </row>
    <row r="87" spans="7:16" x14ac:dyDescent="0.2">
      <c r="G87"/>
      <c r="H87"/>
      <c r="I87"/>
      <c r="J87"/>
      <c r="K87"/>
      <c r="L87"/>
      <c r="M87"/>
      <c r="N87"/>
      <c r="O87"/>
      <c r="P87"/>
    </row>
    <row r="88" spans="7:16" x14ac:dyDescent="0.2">
      <c r="G88"/>
      <c r="H88"/>
      <c r="I88"/>
      <c r="J88"/>
      <c r="K88"/>
      <c r="L88"/>
      <c r="M88"/>
      <c r="N88"/>
      <c r="O88"/>
      <c r="P88"/>
    </row>
    <row r="89" spans="7:16" x14ac:dyDescent="0.2">
      <c r="G89"/>
      <c r="H89"/>
      <c r="I89"/>
      <c r="J89"/>
      <c r="K89"/>
      <c r="L89"/>
      <c r="M89"/>
      <c r="N89"/>
      <c r="O89"/>
      <c r="P89"/>
    </row>
  </sheetData>
  <pageMargins left="0.7" right="0.7" top="0.75" bottom="0.75" header="0.3" footer="0.3"/>
  <pageSetup paperSize="17" scale="77" fitToHeight="0" orientation="landscape" cellComments="asDisplayed" r:id="rId1"/>
  <headerFooter>
    <oddHeader>&amp;RFiled: 2017-03-31
EB-2017-0049
Exhibit H1-4-1
Attachment 1
Page &amp;P of &amp;N</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101</v>
      </c>
      <c r="B1" s="192"/>
      <c r="C1" s="192"/>
      <c r="D1" s="192"/>
      <c r="E1" s="192"/>
      <c r="F1" s="192"/>
      <c r="G1" s="192"/>
      <c r="H1" s="192"/>
      <c r="I1" s="192"/>
      <c r="J1" s="192"/>
      <c r="K1" s="193"/>
    </row>
    <row r="3" spans="1:11" x14ac:dyDescent="0.2">
      <c r="A3" s="13" t="s">
        <v>13</v>
      </c>
      <c r="B3" s="13" t="s">
        <v>1</v>
      </c>
    </row>
    <row r="4" spans="1:11" x14ac:dyDescent="0.2">
      <c r="A4" s="15" t="s">
        <v>62</v>
      </c>
      <c r="B4" s="15">
        <v>1800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69">
        <f>B4*B6</f>
        <v>1936.8000000000002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0.17250328268973808</v>
      </c>
      <c r="K12" s="106"/>
    </row>
    <row r="13" spans="1:11" x14ac:dyDescent="0.2">
      <c r="A13" s="107" t="s">
        <v>32</v>
      </c>
      <c r="B13" s="73">
        <f>IF(B4&gt;B7,(B4)-B7,0)</f>
        <v>1200</v>
      </c>
      <c r="C13" s="21">
        <v>0.121</v>
      </c>
      <c r="D13" s="22">
        <f>B13*C13</f>
        <v>145.19999999999999</v>
      </c>
      <c r="E13" s="73">
        <f t="shared" ref="E13" si="0">B13</f>
        <v>1200</v>
      </c>
      <c r="F13" s="21">
        <f>C13</f>
        <v>0.121</v>
      </c>
      <c r="G13" s="22">
        <f>E13*F13</f>
        <v>145.19999999999999</v>
      </c>
      <c r="H13" s="22">
        <f t="shared" ref="H13:H46" si="1">G13-D13</f>
        <v>0</v>
      </c>
      <c r="I13" s="23">
        <f t="shared" ref="I13:I46" si="2">IF(ISERROR(H13/D13),0,(H13/D13))</f>
        <v>0</v>
      </c>
      <c r="J13" s="23">
        <f>G13/$G$46</f>
        <v>0.4052989748632681</v>
      </c>
      <c r="K13" s="108"/>
    </row>
    <row r="14" spans="1:11" s="1" customFormat="1" x14ac:dyDescent="0.2">
      <c r="A14" s="46" t="s">
        <v>33</v>
      </c>
      <c r="B14" s="24"/>
      <c r="C14" s="25"/>
      <c r="D14" s="25">
        <f>SUM(D12:D13)</f>
        <v>207</v>
      </c>
      <c r="E14" s="76"/>
      <c r="F14" s="25"/>
      <c r="G14" s="25">
        <f>SUM(G12:G13)</f>
        <v>207</v>
      </c>
      <c r="H14" s="25">
        <f t="shared" si="1"/>
        <v>0</v>
      </c>
      <c r="I14" s="27">
        <f t="shared" si="2"/>
        <v>0</v>
      </c>
      <c r="J14" s="27">
        <f>G14/$G$46</f>
        <v>0.57780225755300618</v>
      </c>
      <c r="K14" s="108"/>
    </row>
    <row r="15" spans="1:11" s="1" customFormat="1" x14ac:dyDescent="0.2">
      <c r="A15" s="109" t="s">
        <v>34</v>
      </c>
      <c r="B15" s="75">
        <f>B4*0.65</f>
        <v>1170</v>
      </c>
      <c r="C15" s="28">
        <v>8.6999999999999994E-2</v>
      </c>
      <c r="D15" s="22">
        <f>B15*C15</f>
        <v>101.78999999999999</v>
      </c>
      <c r="E15" s="73">
        <f t="shared" ref="E15:F17" si="3">B15</f>
        <v>1170</v>
      </c>
      <c r="F15" s="28">
        <f t="shared" si="3"/>
        <v>8.6999999999999994E-2</v>
      </c>
      <c r="G15" s="22">
        <f>E15*F15</f>
        <v>101.78999999999999</v>
      </c>
      <c r="H15" s="22">
        <f t="shared" si="1"/>
        <v>0</v>
      </c>
      <c r="I15" s="23">
        <f t="shared" si="2"/>
        <v>0</v>
      </c>
      <c r="J15" s="23"/>
      <c r="K15" s="108">
        <f t="shared" ref="K15:K26" si="4">G15/$G$51</f>
        <v>0.29078638948965385</v>
      </c>
    </row>
    <row r="16" spans="1:11" s="1" customFormat="1" x14ac:dyDescent="0.2">
      <c r="A16" s="109" t="s">
        <v>35</v>
      </c>
      <c r="B16" s="75">
        <f>B4*0.17</f>
        <v>306</v>
      </c>
      <c r="C16" s="28">
        <v>0.13200000000000001</v>
      </c>
      <c r="D16" s="22">
        <f>B16*C16</f>
        <v>40.392000000000003</v>
      </c>
      <c r="E16" s="73">
        <f t="shared" si="3"/>
        <v>306</v>
      </c>
      <c r="F16" s="28">
        <f t="shared" si="3"/>
        <v>0.13200000000000001</v>
      </c>
      <c r="G16" s="22">
        <f>E16*F16</f>
        <v>40.392000000000003</v>
      </c>
      <c r="H16" s="22">
        <f t="shared" si="1"/>
        <v>0</v>
      </c>
      <c r="I16" s="23">
        <f t="shared" si="2"/>
        <v>0</v>
      </c>
      <c r="J16" s="23"/>
      <c r="K16" s="108">
        <f t="shared" si="4"/>
        <v>0.11538897577626583</v>
      </c>
    </row>
    <row r="17" spans="1:11" s="1" customFormat="1" x14ac:dyDescent="0.2">
      <c r="A17" s="109" t="s">
        <v>36</v>
      </c>
      <c r="B17" s="75">
        <f>B4*0.18</f>
        <v>324</v>
      </c>
      <c r="C17" s="28">
        <v>0.18</v>
      </c>
      <c r="D17" s="22">
        <f>B17*C17</f>
        <v>58.32</v>
      </c>
      <c r="E17" s="73">
        <f t="shared" si="3"/>
        <v>324</v>
      </c>
      <c r="F17" s="28">
        <f t="shared" si="3"/>
        <v>0.18</v>
      </c>
      <c r="G17" s="22">
        <f>E17*F17</f>
        <v>58.32</v>
      </c>
      <c r="H17" s="22">
        <f t="shared" si="1"/>
        <v>0</v>
      </c>
      <c r="I17" s="23">
        <f t="shared" si="2"/>
        <v>0</v>
      </c>
      <c r="J17" s="23"/>
      <c r="K17" s="108">
        <f t="shared" si="4"/>
        <v>0.16660440352722872</v>
      </c>
    </row>
    <row r="18" spans="1:11" s="1" customFormat="1" x14ac:dyDescent="0.2">
      <c r="A18" s="61" t="s">
        <v>37</v>
      </c>
      <c r="B18" s="29"/>
      <c r="C18" s="30"/>
      <c r="D18" s="30">
        <f>SUM(D15:D17)</f>
        <v>200.50199999999998</v>
      </c>
      <c r="E18" s="77"/>
      <c r="F18" s="30"/>
      <c r="G18" s="30">
        <f>SUM(G15:G17)</f>
        <v>200.50199999999998</v>
      </c>
      <c r="H18" s="31">
        <f t="shared" si="1"/>
        <v>0</v>
      </c>
      <c r="I18" s="32">
        <f t="shared" si="2"/>
        <v>0</v>
      </c>
      <c r="J18" s="33">
        <f t="shared" ref="J18:J26" si="5">G18/$G$46</f>
        <v>0.55966429103329873</v>
      </c>
      <c r="K18" s="62">
        <f t="shared" si="4"/>
        <v>0.57277976879314829</v>
      </c>
    </row>
    <row r="19" spans="1:11" x14ac:dyDescent="0.2">
      <c r="A19" s="107" t="s">
        <v>38</v>
      </c>
      <c r="B19" s="73">
        <v>1</v>
      </c>
      <c r="C19" s="78">
        <f>VLOOKUP($B$3,'Data for Bill Impacts'!$A$3:$Y$15,7,0)</f>
        <v>33.770000000000003</v>
      </c>
      <c r="D19" s="22">
        <f>B19*C19</f>
        <v>33.770000000000003</v>
      </c>
      <c r="E19" s="73">
        <f t="shared" ref="E19:E41" si="6">B19</f>
        <v>1</v>
      </c>
      <c r="F19" s="78">
        <f>VLOOKUP($B$3,'Data for Bill Impacts'!$A$3:$Y$15,17,0)</f>
        <v>37.83</v>
      </c>
      <c r="G19" s="22">
        <f>E19*F19</f>
        <v>37.83</v>
      </c>
      <c r="H19" s="22">
        <f t="shared" si="1"/>
        <v>4.0599999999999952</v>
      </c>
      <c r="I19" s="23">
        <f t="shared" si="2"/>
        <v>0.12022505182114288</v>
      </c>
      <c r="J19" s="23">
        <f t="shared" si="5"/>
        <v>0.10559545605425229</v>
      </c>
      <c r="K19" s="108">
        <f t="shared" si="4"/>
        <v>0.10807003747316636</v>
      </c>
    </row>
    <row r="20" spans="1:11" hidden="1" x14ac:dyDescent="0.2">
      <c r="A20" s="107" t="s">
        <v>113</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0.82</v>
      </c>
      <c r="D21" s="22">
        <f t="shared" si="7"/>
        <v>0.82</v>
      </c>
      <c r="E21" s="73">
        <f t="shared" si="6"/>
        <v>1</v>
      </c>
      <c r="F21" s="122">
        <f>VLOOKUP($B$3,'Data for Bill Impacts'!$A$3:$Y$15,22,0)</f>
        <v>0</v>
      </c>
      <c r="G21" s="22">
        <f t="shared" si="8"/>
        <v>0</v>
      </c>
      <c r="H21" s="22">
        <f t="shared" si="1"/>
        <v>-0.82</v>
      </c>
      <c r="I21" s="23">
        <f t="shared" si="2"/>
        <v>-1</v>
      </c>
      <c r="J21" s="23">
        <f t="shared" si="5"/>
        <v>0</v>
      </c>
      <c r="K21" s="108">
        <f t="shared" si="4"/>
        <v>0</v>
      </c>
    </row>
    <row r="22" spans="1:11" hidden="1" x14ac:dyDescent="0.2">
      <c r="A22" s="107" t="s">
        <v>123</v>
      </c>
      <c r="B22" s="73">
        <f>B4</f>
        <v>1800</v>
      </c>
      <c r="C22" s="78">
        <v>0</v>
      </c>
      <c r="D22" s="22">
        <f>B22*C22</f>
        <v>0</v>
      </c>
      <c r="E22" s="73">
        <f>B22</f>
        <v>1800</v>
      </c>
      <c r="F22" s="78">
        <f>C22</f>
        <v>0</v>
      </c>
      <c r="G22" s="22">
        <f>E22*F22</f>
        <v>0</v>
      </c>
      <c r="H22" s="22">
        <f>G22-D22</f>
        <v>0</v>
      </c>
      <c r="I22" s="23">
        <f>IF(ISERROR(H22/D22),0,(H22/D22))</f>
        <v>0</v>
      </c>
      <c r="J22" s="23">
        <f t="shared" si="5"/>
        <v>0</v>
      </c>
      <c r="K22" s="108">
        <f t="shared" si="4"/>
        <v>0</v>
      </c>
    </row>
    <row r="23" spans="1:11" x14ac:dyDescent="0.2">
      <c r="A23" s="107" t="s">
        <v>39</v>
      </c>
      <c r="B23" s="73">
        <f>IF($B$9="kWh",$B$4,$B$5)</f>
        <v>1800</v>
      </c>
      <c r="C23" s="78">
        <f>VLOOKUP($B$3,'Data for Bill Impacts'!$A$3:$Y$15,10,0)</f>
        <v>2.3E-2</v>
      </c>
      <c r="D23" s="22">
        <f>B23*C23</f>
        <v>41.4</v>
      </c>
      <c r="E23" s="73">
        <f t="shared" si="6"/>
        <v>1800</v>
      </c>
      <c r="F23" s="126">
        <f>VLOOKUP($B$3,'Data for Bill Impacts'!$A$3:$Y$15,19,0)</f>
        <v>2.1999999999999999E-2</v>
      </c>
      <c r="G23" s="22">
        <f>E23*F23</f>
        <v>39.599999999999994</v>
      </c>
      <c r="H23" s="22">
        <f t="shared" si="1"/>
        <v>-1.8000000000000043</v>
      </c>
      <c r="I23" s="23">
        <f t="shared" si="2"/>
        <v>-4.347826086956532E-2</v>
      </c>
      <c r="J23" s="23">
        <f t="shared" si="5"/>
        <v>0.11053608405361856</v>
      </c>
      <c r="K23" s="108">
        <f t="shared" si="4"/>
        <v>0.11312644683947629</v>
      </c>
    </row>
    <row r="24" spans="1:11" x14ac:dyDescent="0.2">
      <c r="A24" s="107" t="s">
        <v>124</v>
      </c>
      <c r="B24" s="73">
        <f>IF($B$9="kWh",$B$4,$B$5)</f>
        <v>1800</v>
      </c>
      <c r="C24" s="126">
        <f>VLOOKUP($B$3,'Data for Bill Impacts'!$A$3:$Y$15,14,0)</f>
        <v>-2.0000000000000001E-4</v>
      </c>
      <c r="D24" s="22">
        <f>B24*C24</f>
        <v>-0.36000000000000004</v>
      </c>
      <c r="E24" s="73">
        <f>B24</f>
        <v>1800</v>
      </c>
      <c r="F24" s="126">
        <f>VLOOKUP($B$3,'Data for Bill Impacts'!$A$3:$Y$15,23,0)</f>
        <v>2.0000000000000001E-4</v>
      </c>
      <c r="G24" s="22">
        <f>E24*F24</f>
        <v>0.36000000000000004</v>
      </c>
      <c r="H24" s="22">
        <f>G24-D24</f>
        <v>0.72000000000000008</v>
      </c>
      <c r="I24" s="23">
        <f>IF(ISERROR(H24/D24),0,(H24/D24))</f>
        <v>-2</v>
      </c>
      <c r="J24" s="23">
        <f t="shared" si="5"/>
        <v>1.0048734913965327E-3</v>
      </c>
      <c r="K24" s="108">
        <f t="shared" si="4"/>
        <v>1.0284222439952391E-3</v>
      </c>
    </row>
    <row r="25" spans="1:11" s="1" customFormat="1" x14ac:dyDescent="0.2">
      <c r="A25" s="110" t="s">
        <v>72</v>
      </c>
      <c r="B25" s="74"/>
      <c r="C25" s="35"/>
      <c r="D25" s="35">
        <f>SUM(D19:D24)</f>
        <v>75.63000000000001</v>
      </c>
      <c r="E25" s="73"/>
      <c r="F25" s="35"/>
      <c r="G25" s="35">
        <f>SUM(G19:G24)</f>
        <v>77.789999999999992</v>
      </c>
      <c r="H25" s="35">
        <f t="shared" si="1"/>
        <v>2.1599999999999824</v>
      </c>
      <c r="I25" s="36">
        <f t="shared" si="2"/>
        <v>2.8560095200317097E-2</v>
      </c>
      <c r="J25" s="36">
        <f t="shared" si="5"/>
        <v>0.21713641359926739</v>
      </c>
      <c r="K25" s="111">
        <f t="shared" si="4"/>
        <v>0.22222490655663787</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2.2051390505646133E-3</v>
      </c>
      <c r="K26" s="108">
        <f t="shared" si="4"/>
        <v>2.2568154798784414E-3</v>
      </c>
    </row>
    <row r="27" spans="1:11" s="1" customFormat="1" x14ac:dyDescent="0.2">
      <c r="A27" s="119" t="s">
        <v>75</v>
      </c>
      <c r="B27" s="120">
        <f>B8-B4</f>
        <v>136.80000000000018</v>
      </c>
      <c r="C27" s="121">
        <f>IF(B4&gt;B7,C13,C12)</f>
        <v>0.121</v>
      </c>
      <c r="D27" s="22">
        <f>B27*C27</f>
        <v>16.552800000000023</v>
      </c>
      <c r="E27" s="73">
        <f>B27</f>
        <v>136.80000000000018</v>
      </c>
      <c r="F27" s="121">
        <f>C27</f>
        <v>0.121</v>
      </c>
      <c r="G27" s="22">
        <f>E27*F27</f>
        <v>16.552800000000023</v>
      </c>
      <c r="H27" s="22">
        <f t="shared" si="1"/>
        <v>0</v>
      </c>
      <c r="I27" s="23">
        <f>IF(ISERROR(H27/D27),0,(H27/D27))</f>
        <v>0</v>
      </c>
      <c r="J27" s="23">
        <f t="shared" ref="J27:J46" si="9">G27/$G$46</f>
        <v>4.6204083134412627E-2</v>
      </c>
      <c r="K27" s="108">
        <f t="shared" ref="K27:K41" si="10">G27/$G$51</f>
        <v>4.7286854778901155E-2</v>
      </c>
    </row>
    <row r="28" spans="1:11" s="1" customFormat="1" x14ac:dyDescent="0.2">
      <c r="A28" s="119" t="s">
        <v>74</v>
      </c>
      <c r="B28" s="120">
        <f>B8-B4</f>
        <v>136.80000000000018</v>
      </c>
      <c r="C28" s="121">
        <f>0.65*C15+0.17*C16+0.18*C17</f>
        <v>0.11139</v>
      </c>
      <c r="D28" s="22">
        <f>B28*C28</f>
        <v>15.238152000000021</v>
      </c>
      <c r="E28" s="73">
        <f>B28</f>
        <v>136.80000000000018</v>
      </c>
      <c r="F28" s="121">
        <f>C28</f>
        <v>0.11139</v>
      </c>
      <c r="G28" s="22">
        <f>E28*F28</f>
        <v>15.238152000000021</v>
      </c>
      <c r="H28" s="22">
        <f t="shared" si="1"/>
        <v>0</v>
      </c>
      <c r="I28" s="23">
        <f>IF(ISERROR(H28/D28),0,(H28/D28))</f>
        <v>0</v>
      </c>
      <c r="J28" s="23">
        <f t="shared" si="9"/>
        <v>4.2534486118530765E-2</v>
      </c>
      <c r="K28" s="108">
        <f t="shared" si="10"/>
        <v>4.3531262428279337E-2</v>
      </c>
    </row>
    <row r="29" spans="1:11" s="1" customFormat="1" x14ac:dyDescent="0.2">
      <c r="A29" s="110" t="s">
        <v>78</v>
      </c>
      <c r="B29" s="74"/>
      <c r="C29" s="35"/>
      <c r="D29" s="35">
        <f>SUM(D25,D26:D27)</f>
        <v>92.972800000000035</v>
      </c>
      <c r="E29" s="73"/>
      <c r="F29" s="35"/>
      <c r="G29" s="35">
        <f>SUM(G25,G26:G27)</f>
        <v>95.132800000000017</v>
      </c>
      <c r="H29" s="35">
        <f t="shared" si="1"/>
        <v>2.1599999999999824</v>
      </c>
      <c r="I29" s="36">
        <f>IF(ISERROR(H29/D29),0,(H29/D29))</f>
        <v>2.3232601362979083E-2</v>
      </c>
      <c r="J29" s="36">
        <f t="shared" si="9"/>
        <v>0.26554563578424462</v>
      </c>
      <c r="K29" s="111">
        <f t="shared" si="10"/>
        <v>0.2717685768154175</v>
      </c>
    </row>
    <row r="30" spans="1:11" s="1" customFormat="1" x14ac:dyDescent="0.2">
      <c r="A30" s="110" t="s">
        <v>77</v>
      </c>
      <c r="B30" s="74"/>
      <c r="C30" s="35"/>
      <c r="D30" s="35">
        <f>SUM(D25,D26,D28)</f>
        <v>91.65815200000003</v>
      </c>
      <c r="E30" s="73"/>
      <c r="F30" s="35"/>
      <c r="G30" s="35">
        <f>SUM(G25,G26,G28)</f>
        <v>93.818152000000026</v>
      </c>
      <c r="H30" s="35">
        <f t="shared" si="1"/>
        <v>2.1599999999999966</v>
      </c>
      <c r="I30" s="36">
        <f>IF(ISERROR(H30/D30),0,(H30/D30))</f>
        <v>2.3565825328880685E-2</v>
      </c>
      <c r="J30" s="36">
        <f t="shared" si="9"/>
        <v>0.2618760387683628</v>
      </c>
      <c r="K30" s="111">
        <f t="shared" si="10"/>
        <v>0.26801298446479571</v>
      </c>
    </row>
    <row r="31" spans="1:11" x14ac:dyDescent="0.2">
      <c r="A31" s="107" t="s">
        <v>40</v>
      </c>
      <c r="B31" s="73">
        <f>B8</f>
        <v>1936.8000000000002</v>
      </c>
      <c r="C31" s="78">
        <f>VLOOKUP($B$3,'Data for Bill Impacts'!$A$3:$Y$15,15,0)</f>
        <v>6.4000000000000003E-3</v>
      </c>
      <c r="D31" s="22">
        <f>B31*C31</f>
        <v>12.395520000000001</v>
      </c>
      <c r="E31" s="73">
        <f t="shared" si="6"/>
        <v>1936.8000000000002</v>
      </c>
      <c r="F31" s="126">
        <f>VLOOKUP($B$3,'Data for Bill Impacts'!$A$3:$Y$15,24,0)</f>
        <v>7.2069999999999999E-3</v>
      </c>
      <c r="G31" s="22">
        <f>E31*F31</f>
        <v>13.9585176</v>
      </c>
      <c r="H31" s="22">
        <f t="shared" si="1"/>
        <v>1.5629975999999992</v>
      </c>
      <c r="I31" s="23">
        <f t="shared" si="2"/>
        <v>0.12609374999999992</v>
      </c>
      <c r="J31" s="23">
        <f t="shared" si="9"/>
        <v>3.8962623098422078E-2</v>
      </c>
      <c r="K31" s="108">
        <f t="shared" si="10"/>
        <v>3.9875694425108445E-2</v>
      </c>
    </row>
    <row r="32" spans="1:11" x14ac:dyDescent="0.2">
      <c r="A32" s="107" t="s">
        <v>41</v>
      </c>
      <c r="B32" s="73">
        <f>B8</f>
        <v>1936.8000000000002</v>
      </c>
      <c r="C32" s="78">
        <f>VLOOKUP($B$3,'Data for Bill Impacts'!$A$3:$Y$15,16,0)</f>
        <v>4.7000000000000002E-3</v>
      </c>
      <c r="D32" s="22">
        <f>B32*C32</f>
        <v>9.1029600000000013</v>
      </c>
      <c r="E32" s="73">
        <f t="shared" si="6"/>
        <v>1936.8000000000002</v>
      </c>
      <c r="F32" s="126">
        <f>VLOOKUP($B$3,'Data for Bill Impacts'!$A$3:$Y$15,25,0)</f>
        <v>6.0319999999999992E-3</v>
      </c>
      <c r="G32" s="22">
        <f>E32*F32</f>
        <v>11.6827776</v>
      </c>
      <c r="H32" s="22">
        <f t="shared" si="1"/>
        <v>2.5798175999999984</v>
      </c>
      <c r="I32" s="23">
        <f t="shared" si="2"/>
        <v>0.2834042553191487</v>
      </c>
      <c r="J32" s="23">
        <f t="shared" si="9"/>
        <v>3.2610315322558897E-2</v>
      </c>
      <c r="K32" s="108">
        <f t="shared" si="10"/>
        <v>3.3374523209692537E-2</v>
      </c>
    </row>
    <row r="33" spans="1:11" s="1" customFormat="1" x14ac:dyDescent="0.2">
      <c r="A33" s="110" t="s">
        <v>76</v>
      </c>
      <c r="B33" s="74"/>
      <c r="C33" s="35"/>
      <c r="D33" s="35">
        <f>SUM(D31:D32)</f>
        <v>21.498480000000001</v>
      </c>
      <c r="E33" s="73"/>
      <c r="F33" s="35"/>
      <c r="G33" s="35">
        <f>SUM(G31:G32)</f>
        <v>25.641295200000002</v>
      </c>
      <c r="H33" s="35">
        <f t="shared" si="1"/>
        <v>4.1428152000000011</v>
      </c>
      <c r="I33" s="36">
        <f t="shared" si="2"/>
        <v>0.19270270270270276</v>
      </c>
      <c r="J33" s="36">
        <f t="shared" si="9"/>
        <v>7.1572938420980975E-2</v>
      </c>
      <c r="K33" s="111">
        <f t="shared" si="10"/>
        <v>7.3250217634800982E-2</v>
      </c>
    </row>
    <row r="34" spans="1:11" s="1" customFormat="1" x14ac:dyDescent="0.2">
      <c r="A34" s="110" t="s">
        <v>91</v>
      </c>
      <c r="B34" s="74"/>
      <c r="C34" s="35"/>
      <c r="D34" s="35">
        <f>D29+D33</f>
        <v>114.47128000000004</v>
      </c>
      <c r="E34" s="73"/>
      <c r="F34" s="35"/>
      <c r="G34" s="35">
        <f>G29+G33</f>
        <v>120.77409520000002</v>
      </c>
      <c r="H34" s="35">
        <f t="shared" si="1"/>
        <v>6.3028151999999835</v>
      </c>
      <c r="I34" s="36">
        <f t="shared" si="2"/>
        <v>5.5060231701785652E-2</v>
      </c>
      <c r="J34" s="36">
        <f t="shared" si="9"/>
        <v>0.33711857420522562</v>
      </c>
      <c r="K34" s="111">
        <f t="shared" si="10"/>
        <v>0.34501879445021849</v>
      </c>
    </row>
    <row r="35" spans="1:11" s="1" customFormat="1" x14ac:dyDescent="0.2">
      <c r="A35" s="110" t="s">
        <v>92</v>
      </c>
      <c r="B35" s="74"/>
      <c r="C35" s="35"/>
      <c r="D35" s="35">
        <f>D30+D33</f>
        <v>113.15663200000003</v>
      </c>
      <c r="E35" s="73"/>
      <c r="F35" s="35"/>
      <c r="G35" s="35">
        <f>G30+G33</f>
        <v>119.45944720000003</v>
      </c>
      <c r="H35" s="35">
        <f t="shared" si="1"/>
        <v>6.3028151999999977</v>
      </c>
      <c r="I35" s="36">
        <f t="shared" si="2"/>
        <v>5.5699918675557576E-2</v>
      </c>
      <c r="J35" s="36">
        <f t="shared" si="9"/>
        <v>0.3334489771893438</v>
      </c>
      <c r="K35" s="111">
        <f t="shared" si="10"/>
        <v>0.34126320209959671</v>
      </c>
    </row>
    <row r="36" spans="1:11" x14ac:dyDescent="0.2">
      <c r="A36" s="107" t="s">
        <v>42</v>
      </c>
      <c r="B36" s="73">
        <f>B8</f>
        <v>1936.8000000000002</v>
      </c>
      <c r="C36" s="34">
        <v>3.5999999999999999E-3</v>
      </c>
      <c r="D36" s="22">
        <f>B36*C36</f>
        <v>6.9724800000000009</v>
      </c>
      <c r="E36" s="73">
        <f t="shared" si="6"/>
        <v>1936.8000000000002</v>
      </c>
      <c r="F36" s="34">
        <v>3.5999999999999999E-3</v>
      </c>
      <c r="G36" s="22">
        <f>E36*F36</f>
        <v>6.9724800000000009</v>
      </c>
      <c r="H36" s="22">
        <f t="shared" si="1"/>
        <v>0</v>
      </c>
      <c r="I36" s="23">
        <f t="shared" si="2"/>
        <v>0</v>
      </c>
      <c r="J36" s="23">
        <f t="shared" si="9"/>
        <v>1.9462389781368043E-2</v>
      </c>
      <c r="K36" s="108">
        <f t="shared" si="10"/>
        <v>1.9918482021699793E-2</v>
      </c>
    </row>
    <row r="37" spans="1:11" x14ac:dyDescent="0.2">
      <c r="A37" s="107" t="s">
        <v>43</v>
      </c>
      <c r="B37" s="73">
        <f>B8</f>
        <v>1936.8000000000002</v>
      </c>
      <c r="C37" s="34">
        <v>2.0999999999999999E-3</v>
      </c>
      <c r="D37" s="22">
        <f>B37*C37</f>
        <v>4.0672800000000002</v>
      </c>
      <c r="E37" s="73">
        <f t="shared" si="6"/>
        <v>1936.8000000000002</v>
      </c>
      <c r="F37" s="34">
        <v>2.0999999999999999E-3</v>
      </c>
      <c r="G37" s="22">
        <f>E37*F37</f>
        <v>4.0672800000000002</v>
      </c>
      <c r="H37" s="22">
        <f>G37-D37</f>
        <v>0</v>
      </c>
      <c r="I37" s="23">
        <f t="shared" si="2"/>
        <v>0</v>
      </c>
      <c r="J37" s="23">
        <f t="shared" si="9"/>
        <v>1.1353060705798026E-2</v>
      </c>
      <c r="K37" s="108">
        <f t="shared" si="10"/>
        <v>1.1619114512658211E-2</v>
      </c>
    </row>
    <row r="38" spans="1:11" x14ac:dyDescent="0.2">
      <c r="A38" s="107" t="s">
        <v>96</v>
      </c>
      <c r="B38" s="73">
        <f>B8</f>
        <v>1936.8000000000002</v>
      </c>
      <c r="C38" s="34">
        <v>1.1000000000000001E-3</v>
      </c>
      <c r="D38" s="22">
        <f>B38*C38</f>
        <v>2.1304800000000004</v>
      </c>
      <c r="E38" s="73">
        <f t="shared" si="6"/>
        <v>1936.8000000000002</v>
      </c>
      <c r="F38" s="34">
        <v>1.1000000000000001E-3</v>
      </c>
      <c r="G38" s="22">
        <f>E38*F38</f>
        <v>2.1304800000000004</v>
      </c>
      <c r="H38" s="22">
        <f>G38-D38</f>
        <v>0</v>
      </c>
      <c r="I38" s="23">
        <f t="shared" ref="I38" si="11">IF(ISERROR(H38/D38),0,(H38/D38))</f>
        <v>0</v>
      </c>
      <c r="J38" s="23">
        <f t="shared" ref="J38" si="12">G38/$G$46</f>
        <v>5.9468413220846806E-3</v>
      </c>
      <c r="K38" s="108">
        <f t="shared" ref="K38" si="13">G38/$G$51</f>
        <v>6.0862028399638257E-3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6.9782881346981424E-4</v>
      </c>
      <c r="K39" s="108">
        <f t="shared" si="10"/>
        <v>7.1418211388558266E-4</v>
      </c>
    </row>
    <row r="40" spans="1:11" s="1" customFormat="1" x14ac:dyDescent="0.2">
      <c r="A40" s="110" t="s">
        <v>45</v>
      </c>
      <c r="B40" s="74"/>
      <c r="C40" s="35"/>
      <c r="D40" s="35">
        <f>SUM(D36:D39)</f>
        <v>13.420240000000002</v>
      </c>
      <c r="E40" s="73"/>
      <c r="F40" s="35"/>
      <c r="G40" s="35">
        <f>SUM(G36:G39)</f>
        <v>13.420240000000002</v>
      </c>
      <c r="H40" s="35">
        <f t="shared" si="1"/>
        <v>0</v>
      </c>
      <c r="I40" s="36">
        <f t="shared" si="2"/>
        <v>0</v>
      </c>
      <c r="J40" s="36">
        <f t="shared" si="9"/>
        <v>3.7460120622720562E-2</v>
      </c>
      <c r="K40" s="111">
        <f t="shared" si="10"/>
        <v>3.8337981488207412E-2</v>
      </c>
    </row>
    <row r="41" spans="1:11" s="1" customFormat="1" ht="13.5" thickBot="1" x14ac:dyDescent="0.25">
      <c r="A41" s="112" t="s">
        <v>46</v>
      </c>
      <c r="B41" s="113">
        <f>B4</f>
        <v>1800</v>
      </c>
      <c r="C41" s="114">
        <v>0</v>
      </c>
      <c r="D41" s="115">
        <f>B41*C41</f>
        <v>0</v>
      </c>
      <c r="E41" s="116">
        <f t="shared" si="6"/>
        <v>1800</v>
      </c>
      <c r="F41" s="114">
        <f>C41</f>
        <v>0</v>
      </c>
      <c r="G41" s="115">
        <f>E41*F41</f>
        <v>0</v>
      </c>
      <c r="H41" s="115">
        <f t="shared" si="1"/>
        <v>0</v>
      </c>
      <c r="I41" s="117">
        <f t="shared" si="2"/>
        <v>0</v>
      </c>
      <c r="J41" s="117">
        <f t="shared" si="9"/>
        <v>0</v>
      </c>
      <c r="K41" s="118">
        <f t="shared" si="10"/>
        <v>0</v>
      </c>
    </row>
    <row r="42" spans="1:11" s="1" customFormat="1" x14ac:dyDescent="0.2">
      <c r="A42" s="37" t="s">
        <v>105</v>
      </c>
      <c r="B42" s="38"/>
      <c r="C42" s="39"/>
      <c r="D42" s="39">
        <f>SUM(D14,D25,D26,D27,D33,D40,D41)</f>
        <v>334.89152000000007</v>
      </c>
      <c r="E42" s="38"/>
      <c r="F42" s="39"/>
      <c r="G42" s="39">
        <f>SUM(G14,G25,G26,G27,G33,G40,G41)</f>
        <v>341.19433520000001</v>
      </c>
      <c r="H42" s="39">
        <f t="shared" si="1"/>
        <v>6.3028151999999409</v>
      </c>
      <c r="I42" s="40">
        <f>IF(ISERROR(H42/D42),0,(H42/D42))</f>
        <v>1.8820468192207254E-2</v>
      </c>
      <c r="J42" s="40">
        <f t="shared" si="9"/>
        <v>0.95238095238095233</v>
      </c>
      <c r="K42" s="41"/>
    </row>
    <row r="43" spans="1:11" x14ac:dyDescent="0.2">
      <c r="A43" s="154" t="s">
        <v>106</v>
      </c>
      <c r="B43" s="43"/>
      <c r="C43" s="26">
        <v>0.13</v>
      </c>
      <c r="D43" s="26">
        <f>D42*C43</f>
        <v>43.535897600000013</v>
      </c>
      <c r="E43" s="26"/>
      <c r="F43" s="26">
        <f>C43</f>
        <v>0.13</v>
      </c>
      <c r="G43" s="26">
        <f>G42*F43</f>
        <v>44.355263576000006</v>
      </c>
      <c r="H43" s="26">
        <f t="shared" si="1"/>
        <v>0.81936597599999317</v>
      </c>
      <c r="I43" s="44">
        <f t="shared" si="2"/>
        <v>1.8820468192207271E-2</v>
      </c>
      <c r="J43" s="44">
        <f t="shared" si="9"/>
        <v>0.12380952380952381</v>
      </c>
      <c r="K43" s="45"/>
    </row>
    <row r="44" spans="1:11" s="1" customFormat="1" x14ac:dyDescent="0.2">
      <c r="A44" s="46" t="s">
        <v>107</v>
      </c>
      <c r="B44" s="24"/>
      <c r="C44" s="25"/>
      <c r="D44" s="25">
        <f>SUM(D42:D43)</f>
        <v>378.42741760000007</v>
      </c>
      <c r="E44" s="25"/>
      <c r="F44" s="25"/>
      <c r="G44" s="25">
        <f>SUM(G42:G43)</f>
        <v>385.54959877600004</v>
      </c>
      <c r="H44" s="25">
        <f t="shared" si="1"/>
        <v>7.1221811759999696</v>
      </c>
      <c r="I44" s="27">
        <f t="shared" si="2"/>
        <v>1.8820468192207351E-2</v>
      </c>
      <c r="J44" s="27">
        <f t="shared" si="9"/>
        <v>1.0761904761904761</v>
      </c>
      <c r="K44" s="47"/>
    </row>
    <row r="45" spans="1:11" x14ac:dyDescent="0.2">
      <c r="A45" s="42" t="s">
        <v>108</v>
      </c>
      <c r="B45" s="43"/>
      <c r="C45" s="26">
        <v>-0.08</v>
      </c>
      <c r="D45" s="26">
        <f>D42*C45</f>
        <v>-26.791321600000007</v>
      </c>
      <c r="E45" s="26"/>
      <c r="F45" s="26">
        <f>C45</f>
        <v>-0.08</v>
      </c>
      <c r="G45" s="26">
        <f>G42*F45</f>
        <v>-27.295546816000002</v>
      </c>
      <c r="H45" s="26">
        <f t="shared" si="1"/>
        <v>-0.5042252159999947</v>
      </c>
      <c r="I45" s="44">
        <f t="shared" si="2"/>
        <v>1.8820468192207233E-2</v>
      </c>
      <c r="J45" s="44">
        <f t="shared" si="9"/>
        <v>-7.6190476190476183E-2</v>
      </c>
      <c r="K45" s="45"/>
    </row>
    <row r="46" spans="1:11" s="1" customFormat="1" ht="13.5" thickBot="1" x14ac:dyDescent="0.25">
      <c r="A46" s="48" t="s">
        <v>109</v>
      </c>
      <c r="B46" s="49"/>
      <c r="C46" s="50"/>
      <c r="D46" s="50">
        <f>SUM(D44:D45)</f>
        <v>351.63609600000007</v>
      </c>
      <c r="E46" s="50"/>
      <c r="F46" s="50"/>
      <c r="G46" s="50">
        <f>SUM(G44:G45)</f>
        <v>358.25405196000003</v>
      </c>
      <c r="H46" s="50">
        <f t="shared" si="1"/>
        <v>6.6179559599999607</v>
      </c>
      <c r="I46" s="51">
        <f t="shared" si="2"/>
        <v>1.8820468192207319E-2</v>
      </c>
      <c r="J46" s="51">
        <f t="shared" si="9"/>
        <v>1</v>
      </c>
      <c r="K46" s="52"/>
    </row>
    <row r="47" spans="1:11" x14ac:dyDescent="0.2">
      <c r="A47" s="53" t="s">
        <v>110</v>
      </c>
      <c r="B47" s="54"/>
      <c r="C47" s="55"/>
      <c r="D47" s="55">
        <f>SUM(D18,D25,D26,D28,D33,D40,D41)</f>
        <v>327.07887199999999</v>
      </c>
      <c r="E47" s="55"/>
      <c r="F47" s="55"/>
      <c r="G47" s="55">
        <f>SUM(G18,G25,G26,G28,G33,G40,G41)</f>
        <v>333.38168719999999</v>
      </c>
      <c r="H47" s="55">
        <f>G47-D47</f>
        <v>6.3028151999999977</v>
      </c>
      <c r="I47" s="56">
        <f>IF(ISERROR(H47/D47),0,(H47/D47))</f>
        <v>1.9270016315819989E-2</v>
      </c>
      <c r="J47" s="56"/>
      <c r="K47" s="57">
        <f>G47/$G$51</f>
        <v>0.95238095238095233</v>
      </c>
    </row>
    <row r="48" spans="1:11" x14ac:dyDescent="0.2">
      <c r="A48" s="58" t="s">
        <v>106</v>
      </c>
      <c r="B48" s="59"/>
      <c r="C48" s="31">
        <v>0.13</v>
      </c>
      <c r="D48" s="31">
        <f>D47*C48</f>
        <v>42.520253359999998</v>
      </c>
      <c r="E48" s="31"/>
      <c r="F48" s="31">
        <f>C48</f>
        <v>0.13</v>
      </c>
      <c r="G48" s="31">
        <f>G47*F48</f>
        <v>43.339619335999998</v>
      </c>
      <c r="H48" s="31">
        <f>G48-D48</f>
        <v>0.81936597600000027</v>
      </c>
      <c r="I48" s="32">
        <f>IF(ISERROR(H48/D48),0,(H48/D48))</f>
        <v>1.9270016315820003E-2</v>
      </c>
      <c r="J48" s="32"/>
      <c r="K48" s="60">
        <f>G48/$G$51</f>
        <v>0.12380952380952381</v>
      </c>
    </row>
    <row r="49" spans="1:11" x14ac:dyDescent="0.2">
      <c r="A49" s="61" t="s">
        <v>111</v>
      </c>
      <c r="B49" s="29"/>
      <c r="C49" s="30"/>
      <c r="D49" s="30">
        <f>SUM(D47:D48)</f>
        <v>369.59912536000002</v>
      </c>
      <c r="E49" s="30"/>
      <c r="F49" s="30"/>
      <c r="G49" s="30">
        <f>SUM(G47:G48)</f>
        <v>376.72130653599999</v>
      </c>
      <c r="H49" s="30">
        <f>G49-D49</f>
        <v>7.1221811759999696</v>
      </c>
      <c r="I49" s="33">
        <f>IF(ISERROR(H49/D49),0,(H49/D49))</f>
        <v>1.9270016315819913E-2</v>
      </c>
      <c r="J49" s="33"/>
      <c r="K49" s="62">
        <f>G49/$G$51</f>
        <v>1.0761904761904761</v>
      </c>
    </row>
    <row r="50" spans="1:11" x14ac:dyDescent="0.2">
      <c r="A50" s="58" t="s">
        <v>108</v>
      </c>
      <c r="B50" s="59"/>
      <c r="C50" s="31">
        <v>-0.08</v>
      </c>
      <c r="D50" s="31">
        <f>D47*C50</f>
        <v>-26.166309760000001</v>
      </c>
      <c r="E50" s="31"/>
      <c r="F50" s="31">
        <f>C50</f>
        <v>-0.08</v>
      </c>
      <c r="G50" s="31">
        <f>G47*F50</f>
        <v>-26.670534975999999</v>
      </c>
      <c r="H50" s="31">
        <f>G50-D50</f>
        <v>-0.50422521599999826</v>
      </c>
      <c r="I50" s="32">
        <f>IF(ISERROR(H50/D50),0,(H50/D50))</f>
        <v>1.927001631581993E-2</v>
      </c>
      <c r="J50" s="32"/>
      <c r="K50" s="60">
        <f>G50/$G$51</f>
        <v>-7.6190476190476197E-2</v>
      </c>
    </row>
    <row r="51" spans="1:11" ht="13.5" thickBot="1" x14ac:dyDescent="0.25">
      <c r="A51" s="63" t="s">
        <v>121</v>
      </c>
      <c r="B51" s="64"/>
      <c r="C51" s="65"/>
      <c r="D51" s="65">
        <f>SUM(D49:D50)</f>
        <v>343.43281560000003</v>
      </c>
      <c r="E51" s="65"/>
      <c r="F51" s="65"/>
      <c r="G51" s="65">
        <f>SUM(G49:G50)</f>
        <v>350.05077155999999</v>
      </c>
      <c r="H51" s="65">
        <f>G51-D51</f>
        <v>6.6179559599999607</v>
      </c>
      <c r="I51" s="66">
        <f>IF(ISERROR(H51/D51),0,(H51/D51))</f>
        <v>1.9270016315819882E-2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98</v>
      </c>
      <c r="B1" s="192"/>
      <c r="C1" s="192"/>
      <c r="D1" s="192"/>
      <c r="E1" s="192"/>
      <c r="F1" s="192"/>
      <c r="G1" s="192"/>
      <c r="H1" s="192"/>
      <c r="I1" s="192"/>
      <c r="J1" s="192"/>
      <c r="K1" s="193"/>
    </row>
    <row r="3" spans="1:11" x14ac:dyDescent="0.2">
      <c r="A3" s="13" t="s">
        <v>13</v>
      </c>
      <c r="B3" s="13" t="s">
        <v>2</v>
      </c>
    </row>
    <row r="4" spans="1:11" x14ac:dyDescent="0.2">
      <c r="A4" s="15" t="s">
        <v>62</v>
      </c>
      <c r="B4" s="15">
        <v>450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5">
        <f>B4*B6</f>
        <v>497.25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450</v>
      </c>
      <c r="C12" s="103">
        <v>0.10299999999999999</v>
      </c>
      <c r="D12" s="104">
        <f>B12*C12</f>
        <v>46.349999999999994</v>
      </c>
      <c r="E12" s="102">
        <f>B12</f>
        <v>450</v>
      </c>
      <c r="F12" s="103">
        <f>C12</f>
        <v>0.10299999999999999</v>
      </c>
      <c r="G12" s="104">
        <f>E12*F12</f>
        <v>46.349999999999994</v>
      </c>
      <c r="H12" s="104">
        <f>G12-D12</f>
        <v>0</v>
      </c>
      <c r="I12" s="105">
        <f>IF(ISERROR(H12/D12),0,(H12/D12))</f>
        <v>0</v>
      </c>
      <c r="J12" s="105">
        <f>G12/$G$46</f>
        <v>0.42731143729136689</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46.349999999999994</v>
      </c>
      <c r="E14" s="76"/>
      <c r="F14" s="25"/>
      <c r="G14" s="25">
        <f>SUM(G12:G13)</f>
        <v>46.349999999999994</v>
      </c>
      <c r="H14" s="25">
        <f t="shared" si="1"/>
        <v>0</v>
      </c>
      <c r="I14" s="27">
        <f t="shared" si="2"/>
        <v>0</v>
      </c>
      <c r="J14" s="27">
        <f>G14/$G$46</f>
        <v>0.42731143729136689</v>
      </c>
      <c r="K14" s="108"/>
    </row>
    <row r="15" spans="1:11" s="1" customFormat="1" x14ac:dyDescent="0.2">
      <c r="A15" s="109" t="s">
        <v>34</v>
      </c>
      <c r="B15" s="75">
        <f>B4*0.65</f>
        <v>292.5</v>
      </c>
      <c r="C15" s="28">
        <v>8.6999999999999994E-2</v>
      </c>
      <c r="D15" s="22">
        <f>B15*C15</f>
        <v>25.447499999999998</v>
      </c>
      <c r="E15" s="73">
        <f t="shared" ref="E15:F17" si="3">B15</f>
        <v>292.5</v>
      </c>
      <c r="F15" s="28">
        <f t="shared" si="3"/>
        <v>8.6999999999999994E-2</v>
      </c>
      <c r="G15" s="22">
        <f>E15*F15</f>
        <v>25.447499999999998</v>
      </c>
      <c r="H15" s="22">
        <f t="shared" si="1"/>
        <v>0</v>
      </c>
      <c r="I15" s="23">
        <f t="shared" si="2"/>
        <v>0</v>
      </c>
      <c r="J15" s="23"/>
      <c r="K15" s="108">
        <f t="shared" ref="K15:K26" si="4">G15/$G$51</f>
        <v>0.22549960779281036</v>
      </c>
    </row>
    <row r="16" spans="1:11" s="1" customFormat="1" x14ac:dyDescent="0.2">
      <c r="A16" s="109" t="s">
        <v>35</v>
      </c>
      <c r="B16" s="75">
        <f>B4*0.17</f>
        <v>76.5</v>
      </c>
      <c r="C16" s="28">
        <v>0.13200000000000001</v>
      </c>
      <c r="D16" s="22">
        <f>B16*C16</f>
        <v>10.098000000000001</v>
      </c>
      <c r="E16" s="73">
        <f t="shared" si="3"/>
        <v>76.5</v>
      </c>
      <c r="F16" s="28">
        <f t="shared" si="3"/>
        <v>0.13200000000000001</v>
      </c>
      <c r="G16" s="22">
        <f>E16*F16</f>
        <v>10.098000000000001</v>
      </c>
      <c r="H16" s="22">
        <f t="shared" si="1"/>
        <v>0</v>
      </c>
      <c r="I16" s="23">
        <f t="shared" si="2"/>
        <v>0</v>
      </c>
      <c r="J16" s="23"/>
      <c r="K16" s="108">
        <f t="shared" si="4"/>
        <v>8.9482072482239883E-2</v>
      </c>
    </row>
    <row r="17" spans="1:11" s="1" customFormat="1" x14ac:dyDescent="0.2">
      <c r="A17" s="109" t="s">
        <v>36</v>
      </c>
      <c r="B17" s="75">
        <f>B4*0.18</f>
        <v>81</v>
      </c>
      <c r="C17" s="28">
        <v>0.18</v>
      </c>
      <c r="D17" s="22">
        <f>B17*C17</f>
        <v>14.58</v>
      </c>
      <c r="E17" s="73">
        <f t="shared" si="3"/>
        <v>81</v>
      </c>
      <c r="F17" s="28">
        <f t="shared" si="3"/>
        <v>0.18</v>
      </c>
      <c r="G17" s="22">
        <f>E17*F17</f>
        <v>14.58</v>
      </c>
      <c r="H17" s="22">
        <f t="shared" si="1"/>
        <v>0</v>
      </c>
      <c r="I17" s="23">
        <f t="shared" si="2"/>
        <v>0</v>
      </c>
      <c r="J17" s="23"/>
      <c r="K17" s="108">
        <f t="shared" si="4"/>
        <v>0.12919871427916987</v>
      </c>
    </row>
    <row r="18" spans="1:11" s="1" customFormat="1" x14ac:dyDescent="0.2">
      <c r="A18" s="61" t="s">
        <v>37</v>
      </c>
      <c r="B18" s="29"/>
      <c r="C18" s="30"/>
      <c r="D18" s="30">
        <f>SUM(D15:D17)</f>
        <v>50.125499999999995</v>
      </c>
      <c r="E18" s="77"/>
      <c r="F18" s="30"/>
      <c r="G18" s="30">
        <f>SUM(G15:G17)</f>
        <v>50.125499999999995</v>
      </c>
      <c r="H18" s="31">
        <f t="shared" si="1"/>
        <v>0</v>
      </c>
      <c r="I18" s="32">
        <f t="shared" si="2"/>
        <v>0</v>
      </c>
      <c r="J18" s="33">
        <f t="shared" ref="J18:J26" si="5">G18/$G$46</f>
        <v>0.46211865048432388</v>
      </c>
      <c r="K18" s="62">
        <f t="shared" si="4"/>
        <v>0.44418039455422009</v>
      </c>
    </row>
    <row r="19" spans="1:11" x14ac:dyDescent="0.2">
      <c r="A19" s="107" t="s">
        <v>116</v>
      </c>
      <c r="B19" s="73">
        <v>1</v>
      </c>
      <c r="C19" s="78">
        <f>VLOOKUP($B$3,'Data for Bill Impacts'!$A$3:$Y$15,7,0)</f>
        <v>19.829999999999998</v>
      </c>
      <c r="D19" s="22">
        <f>B19*C19</f>
        <v>19.829999999999998</v>
      </c>
      <c r="E19" s="73">
        <f t="shared" ref="E19:E41" si="6">B19</f>
        <v>1</v>
      </c>
      <c r="F19" s="122">
        <f>VLOOKUP($B$3,'Data for Bill Impacts'!$A$3:$Y$15,17,0)</f>
        <v>25.109678307903934</v>
      </c>
      <c r="G19" s="22">
        <f>E19*F19</f>
        <v>25.109678307903934</v>
      </c>
      <c r="H19" s="22">
        <f t="shared" si="1"/>
        <v>5.2796783079039358</v>
      </c>
      <c r="I19" s="23">
        <f t="shared" si="2"/>
        <v>0.26624701502289139</v>
      </c>
      <c r="J19" s="23">
        <f t="shared" si="5"/>
        <v>0.23149196823461246</v>
      </c>
      <c r="K19" s="108">
        <f t="shared" si="4"/>
        <v>0.22250604618276751</v>
      </c>
    </row>
    <row r="20" spans="1:11" hidden="1" x14ac:dyDescent="0.2">
      <c r="A20" s="107" t="s">
        <v>113</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1.36</v>
      </c>
      <c r="D21" s="22">
        <f t="shared" si="7"/>
        <v>1.36</v>
      </c>
      <c r="E21" s="73">
        <f t="shared" si="6"/>
        <v>1</v>
      </c>
      <c r="F21" s="122">
        <f>VLOOKUP($B$3,'Data for Bill Impacts'!$A$3:$Y$15,22,0)</f>
        <v>-0.02</v>
      </c>
      <c r="G21" s="22">
        <f t="shared" si="8"/>
        <v>-0.02</v>
      </c>
      <c r="H21" s="22">
        <f t="shared" si="1"/>
        <v>-1.3800000000000001</v>
      </c>
      <c r="I21" s="23">
        <f t="shared" si="2"/>
        <v>-1.0147058823529411</v>
      </c>
      <c r="J21" s="23">
        <f t="shared" si="5"/>
        <v>-1.8438465471040644E-4</v>
      </c>
      <c r="K21" s="108">
        <f t="shared" si="4"/>
        <v>-1.7722731725537707E-4</v>
      </c>
    </row>
    <row r="22" spans="1:11" hidden="1" x14ac:dyDescent="0.2">
      <c r="A22" s="107" t="s">
        <v>123</v>
      </c>
      <c r="B22" s="73">
        <f>B4</f>
        <v>450</v>
      </c>
      <c r="C22" s="78">
        <v>0</v>
      </c>
      <c r="D22" s="22">
        <f>B22*C22</f>
        <v>0</v>
      </c>
      <c r="E22" s="73">
        <f>B22</f>
        <v>450</v>
      </c>
      <c r="F22" s="78">
        <f>C22</f>
        <v>0</v>
      </c>
      <c r="G22" s="22">
        <f>E22*F22</f>
        <v>0</v>
      </c>
      <c r="H22" s="22">
        <f>G22-D22</f>
        <v>0</v>
      </c>
      <c r="I22" s="23">
        <f>IF(ISERROR(H22/D22),0,(H22/D22))</f>
        <v>0</v>
      </c>
      <c r="J22" s="23">
        <f t="shared" si="5"/>
        <v>0</v>
      </c>
      <c r="K22" s="108">
        <f t="shared" si="4"/>
        <v>0</v>
      </c>
    </row>
    <row r="23" spans="1:11" x14ac:dyDescent="0.2">
      <c r="A23" s="107" t="s">
        <v>39</v>
      </c>
      <c r="B23" s="73">
        <f>IF($B$9="kWh",$B$4,$B$5)</f>
        <v>450</v>
      </c>
      <c r="C23" s="78">
        <f>VLOOKUP($B$3,'Data for Bill Impacts'!$A$3:$Y$15,10,0)</f>
        <v>3.7400000000000003E-2</v>
      </c>
      <c r="D23" s="22">
        <f>B23*C23</f>
        <v>16.830000000000002</v>
      </c>
      <c r="E23" s="73">
        <f t="shared" si="6"/>
        <v>450</v>
      </c>
      <c r="F23" s="78">
        <f>VLOOKUP($B$3,'Data for Bill Impacts'!$A$3:$Y$15,19,0)</f>
        <v>3.6299999999999999E-2</v>
      </c>
      <c r="G23" s="22">
        <f>E23*F23</f>
        <v>16.335000000000001</v>
      </c>
      <c r="H23" s="22">
        <f t="shared" si="1"/>
        <v>-0.49500000000000099</v>
      </c>
      <c r="I23" s="23">
        <f t="shared" si="2"/>
        <v>-2.9411764705882408E-2</v>
      </c>
      <c r="J23" s="23">
        <f t="shared" si="5"/>
        <v>0.15059616673472448</v>
      </c>
      <c r="K23" s="108">
        <f t="shared" si="4"/>
        <v>0.14475041136832922</v>
      </c>
    </row>
    <row r="24" spans="1:11" x14ac:dyDescent="0.2">
      <c r="A24" s="107" t="s">
        <v>124</v>
      </c>
      <c r="B24" s="73">
        <f>IF($B$9="kWh",$B$4,$B$5)</f>
        <v>450</v>
      </c>
      <c r="C24" s="126">
        <f>VLOOKUP($B$3,'Data for Bill Impacts'!$A$3:$Y$15,14,0)</f>
        <v>0</v>
      </c>
      <c r="D24" s="22">
        <f>B24*C24</f>
        <v>0</v>
      </c>
      <c r="E24" s="73">
        <f>B24</f>
        <v>450</v>
      </c>
      <c r="F24" s="126">
        <f>VLOOKUP($B$3,'Data for Bill Impacts'!$A$3:$Y$15,23,0)</f>
        <v>2.0000000000000001E-4</v>
      </c>
      <c r="G24" s="22">
        <f>E24*F24</f>
        <v>9.0000000000000011E-2</v>
      </c>
      <c r="H24" s="22">
        <f>G24-D24</f>
        <v>9.0000000000000011E-2</v>
      </c>
      <c r="I24" s="23">
        <f>IF(ISERROR(H24/D24),0,(H24/D24))</f>
        <v>0</v>
      </c>
      <c r="J24" s="23">
        <f t="shared" si="5"/>
        <v>8.297309461968291E-4</v>
      </c>
      <c r="K24" s="108">
        <f t="shared" si="4"/>
        <v>7.9752292764919688E-4</v>
      </c>
    </row>
    <row r="25" spans="1:11" s="1" customFormat="1" x14ac:dyDescent="0.2">
      <c r="A25" s="110" t="s">
        <v>72</v>
      </c>
      <c r="B25" s="74"/>
      <c r="C25" s="35"/>
      <c r="D25" s="35">
        <f>SUM(D19:D24)</f>
        <v>38.019999999999996</v>
      </c>
      <c r="E25" s="73"/>
      <c r="F25" s="35"/>
      <c r="G25" s="35">
        <f>SUM(G19:G24)</f>
        <v>41.514678307903935</v>
      </c>
      <c r="H25" s="35">
        <f t="shared" si="1"/>
        <v>3.4946783079039392</v>
      </c>
      <c r="I25" s="36">
        <f t="shared" si="2"/>
        <v>9.1916841344133082E-2</v>
      </c>
      <c r="J25" s="36">
        <f t="shared" si="5"/>
        <v>0.38273348126082335</v>
      </c>
      <c r="K25" s="111">
        <f t="shared" si="4"/>
        <v>0.36787675316149054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7.2831938610610544E-3</v>
      </c>
      <c r="K26" s="108">
        <f t="shared" si="4"/>
        <v>7.0004790315873946E-3</v>
      </c>
    </row>
    <row r="27" spans="1:11" s="1" customFormat="1" x14ac:dyDescent="0.2">
      <c r="A27" s="119" t="s">
        <v>75</v>
      </c>
      <c r="B27" s="120">
        <f>B8-B4</f>
        <v>47.25</v>
      </c>
      <c r="C27" s="121">
        <f>IF(B4&gt;B7,C13,C12)</f>
        <v>0.10299999999999999</v>
      </c>
      <c r="D27" s="22">
        <f>B27*C27</f>
        <v>4.8667499999999997</v>
      </c>
      <c r="E27" s="73">
        <f>B27</f>
        <v>47.25</v>
      </c>
      <c r="F27" s="121">
        <f>C27</f>
        <v>0.10299999999999999</v>
      </c>
      <c r="G27" s="22">
        <f>E27*F27</f>
        <v>4.8667499999999997</v>
      </c>
      <c r="H27" s="22">
        <f t="shared" si="1"/>
        <v>0</v>
      </c>
      <c r="I27" s="23">
        <f>IF(ISERROR(H27/D27),0,(H27/D27))</f>
        <v>0</v>
      </c>
      <c r="J27" s="23">
        <f t="shared" ref="J27:J46" si="9">G27/$G$46</f>
        <v>4.4867700915593521E-2</v>
      </c>
      <c r="K27" s="108">
        <f t="shared" ref="K27:K41" si="10">G27/$G$51</f>
        <v>4.3126052312630316E-2</v>
      </c>
    </row>
    <row r="28" spans="1:11" s="1" customFormat="1" x14ac:dyDescent="0.2">
      <c r="A28" s="119" t="s">
        <v>74</v>
      </c>
      <c r="B28" s="120">
        <f>B8-B4</f>
        <v>47.25</v>
      </c>
      <c r="C28" s="121">
        <f>0.65*C15+0.17*C16+0.18*C17</f>
        <v>0.11139</v>
      </c>
      <c r="D28" s="22">
        <f>B28*C28</f>
        <v>5.2631775000000003</v>
      </c>
      <c r="E28" s="73">
        <f>B28</f>
        <v>47.25</v>
      </c>
      <c r="F28" s="121">
        <f>C28</f>
        <v>0.11139</v>
      </c>
      <c r="G28" s="22">
        <f>E28*F28</f>
        <v>5.2631775000000003</v>
      </c>
      <c r="H28" s="22">
        <f t="shared" si="1"/>
        <v>0</v>
      </c>
      <c r="I28" s="23">
        <f>IF(ISERROR(H28/D28),0,(H28/D28))</f>
        <v>0</v>
      </c>
      <c r="J28" s="23">
        <f t="shared" si="9"/>
        <v>4.8522458300854013E-2</v>
      </c>
      <c r="K28" s="108">
        <f t="shared" si="10"/>
        <v>4.6638941428193116E-2</v>
      </c>
    </row>
    <row r="29" spans="1:11" s="1" customFormat="1" x14ac:dyDescent="0.2">
      <c r="A29" s="110" t="s">
        <v>78</v>
      </c>
      <c r="B29" s="74"/>
      <c r="C29" s="35"/>
      <c r="D29" s="35">
        <f>SUM(D25,D26:D27)</f>
        <v>43.676749999999998</v>
      </c>
      <c r="E29" s="73"/>
      <c r="F29" s="35"/>
      <c r="G29" s="35">
        <f>SUM(G25,G26:G27)</f>
        <v>47.171428307903938</v>
      </c>
      <c r="H29" s="35">
        <f t="shared" si="1"/>
        <v>3.4946783079039392</v>
      </c>
      <c r="I29" s="36">
        <f>IF(ISERROR(H29/D29),0,(H29/D29))</f>
        <v>8.0012324815924699E-2</v>
      </c>
      <c r="J29" s="36">
        <f t="shared" si="9"/>
        <v>0.43488437603747798</v>
      </c>
      <c r="K29" s="111">
        <f t="shared" si="10"/>
        <v>0.41800328450570828</v>
      </c>
    </row>
    <row r="30" spans="1:11" s="1" customFormat="1" x14ac:dyDescent="0.2">
      <c r="A30" s="110" t="s">
        <v>77</v>
      </c>
      <c r="B30" s="74"/>
      <c r="C30" s="35"/>
      <c r="D30" s="35">
        <f>SUM(D25,D26,D28)</f>
        <v>44.073177499999993</v>
      </c>
      <c r="E30" s="73"/>
      <c r="F30" s="35"/>
      <c r="G30" s="35">
        <f>SUM(G25,G26,G28)</f>
        <v>47.567855807903932</v>
      </c>
      <c r="H30" s="35">
        <f t="shared" si="1"/>
        <v>3.4946783079039392</v>
      </c>
      <c r="I30" s="36">
        <f>IF(ISERROR(H30/D30),0,(H30/D30))</f>
        <v>7.9292633436832183E-2</v>
      </c>
      <c r="J30" s="36">
        <f t="shared" si="9"/>
        <v>0.43853913342273843</v>
      </c>
      <c r="K30" s="111">
        <f t="shared" si="10"/>
        <v>0.42151617362127103</v>
      </c>
    </row>
    <row r="31" spans="1:11" x14ac:dyDescent="0.2">
      <c r="A31" s="107" t="s">
        <v>40</v>
      </c>
      <c r="B31" s="73">
        <f>B8</f>
        <v>497.25</v>
      </c>
      <c r="C31" s="78">
        <f>VLOOKUP($B$3,'Data for Bill Impacts'!$A$3:$Y$15,15,0)</f>
        <v>6.1999999999999998E-3</v>
      </c>
      <c r="D31" s="22">
        <f>B31*C31</f>
        <v>3.0829499999999999</v>
      </c>
      <c r="E31" s="73">
        <f t="shared" si="6"/>
        <v>497.25</v>
      </c>
      <c r="F31" s="126">
        <f>VLOOKUP($B$3,'Data for Bill Impacts'!$A$3:$Y$15,24,0)</f>
        <v>6.7400000000000003E-3</v>
      </c>
      <c r="G31" s="22">
        <f>E31*F31</f>
        <v>3.3514650000000001</v>
      </c>
      <c r="H31" s="22">
        <f t="shared" si="1"/>
        <v>0.26851500000000028</v>
      </c>
      <c r="I31" s="23">
        <f t="shared" si="2"/>
        <v>8.7096774193548485E-2</v>
      </c>
      <c r="J31" s="23">
        <f t="shared" si="9"/>
        <v>3.0897935839950617E-2</v>
      </c>
      <c r="K31" s="108">
        <f t="shared" si="10"/>
        <v>2.9698557541264617E-2</v>
      </c>
    </row>
    <row r="32" spans="1:11" x14ac:dyDescent="0.2">
      <c r="A32" s="107" t="s">
        <v>41</v>
      </c>
      <c r="B32" s="73">
        <f>B8</f>
        <v>497.25</v>
      </c>
      <c r="C32" s="78">
        <f>VLOOKUP($B$3,'Data for Bill Impacts'!$A$3:$Y$15,16,0)</f>
        <v>4.4000000000000003E-3</v>
      </c>
      <c r="D32" s="22">
        <f>B32*C32</f>
        <v>2.1879</v>
      </c>
      <c r="E32" s="73">
        <f t="shared" si="6"/>
        <v>497.25</v>
      </c>
      <c r="F32" s="126">
        <f>VLOOKUP($B$3,'Data for Bill Impacts'!$A$3:$Y$15,25,0)</f>
        <v>5.6299999999999996E-3</v>
      </c>
      <c r="G32" s="22">
        <f>E32*F32</f>
        <v>2.7995174999999999</v>
      </c>
      <c r="H32" s="22">
        <f t="shared" si="1"/>
        <v>0.61161749999999993</v>
      </c>
      <c r="I32" s="23">
        <f t="shared" si="2"/>
        <v>0.27954545454545454</v>
      </c>
      <c r="J32" s="23">
        <f t="shared" si="9"/>
        <v>2.5809403379662012E-2</v>
      </c>
      <c r="K32" s="108">
        <f t="shared" si="10"/>
        <v>2.4807548806724002E-2</v>
      </c>
    </row>
    <row r="33" spans="1:11" s="1" customFormat="1" x14ac:dyDescent="0.2">
      <c r="A33" s="110" t="s">
        <v>76</v>
      </c>
      <c r="B33" s="74"/>
      <c r="C33" s="35"/>
      <c r="D33" s="35">
        <f>SUM(D31:D32)</f>
        <v>5.2708499999999994</v>
      </c>
      <c r="E33" s="73"/>
      <c r="F33" s="35"/>
      <c r="G33" s="35">
        <f>SUM(G31:G32)</f>
        <v>6.1509824999999996</v>
      </c>
      <c r="H33" s="35">
        <f t="shared" si="1"/>
        <v>0.88013250000000021</v>
      </c>
      <c r="I33" s="36">
        <f t="shared" si="2"/>
        <v>0.16698113207547174</v>
      </c>
      <c r="J33" s="36">
        <f t="shared" si="9"/>
        <v>5.6707339219612622E-2</v>
      </c>
      <c r="K33" s="111">
        <f t="shared" si="10"/>
        <v>5.4506106347988616E-2</v>
      </c>
    </row>
    <row r="34" spans="1:11" s="1" customFormat="1" x14ac:dyDescent="0.2">
      <c r="A34" s="110" t="s">
        <v>91</v>
      </c>
      <c r="B34" s="74"/>
      <c r="C34" s="35"/>
      <c r="D34" s="35">
        <f>D29+D33</f>
        <v>48.947599999999994</v>
      </c>
      <c r="E34" s="73"/>
      <c r="F34" s="35"/>
      <c r="G34" s="35">
        <f>G29+G33</f>
        <v>53.322410807903935</v>
      </c>
      <c r="H34" s="35">
        <f t="shared" si="1"/>
        <v>4.3748108079039412</v>
      </c>
      <c r="I34" s="36">
        <f t="shared" si="2"/>
        <v>8.9377432354271535E-2</v>
      </c>
      <c r="J34" s="36">
        <f t="shared" si="9"/>
        <v>0.49159171525709056</v>
      </c>
      <c r="K34" s="111">
        <f t="shared" si="10"/>
        <v>0.47250939085369686</v>
      </c>
    </row>
    <row r="35" spans="1:11" s="1" customFormat="1" x14ac:dyDescent="0.2">
      <c r="A35" s="110" t="s">
        <v>92</v>
      </c>
      <c r="B35" s="74"/>
      <c r="C35" s="35"/>
      <c r="D35" s="35">
        <f>D30+D33</f>
        <v>49.344027499999996</v>
      </c>
      <c r="E35" s="73"/>
      <c r="F35" s="35"/>
      <c r="G35" s="35">
        <f>G30+G33</f>
        <v>53.71883830790393</v>
      </c>
      <c r="H35" s="35">
        <f t="shared" si="1"/>
        <v>4.3748108079039341</v>
      </c>
      <c r="I35" s="36">
        <f t="shared" si="2"/>
        <v>8.8659378440560696E-2</v>
      </c>
      <c r="J35" s="36">
        <f t="shared" si="9"/>
        <v>0.495246472642351</v>
      </c>
      <c r="K35" s="111">
        <f t="shared" si="10"/>
        <v>0.47602227996925961</v>
      </c>
    </row>
    <row r="36" spans="1:11" x14ac:dyDescent="0.2">
      <c r="A36" s="107" t="s">
        <v>42</v>
      </c>
      <c r="B36" s="73">
        <f>B8</f>
        <v>497.25</v>
      </c>
      <c r="C36" s="34">
        <v>3.5999999999999999E-3</v>
      </c>
      <c r="D36" s="22">
        <f>B36*C36</f>
        <v>1.7901</v>
      </c>
      <c r="E36" s="73">
        <f t="shared" si="6"/>
        <v>497.25</v>
      </c>
      <c r="F36" s="34">
        <v>3.5999999999999999E-3</v>
      </c>
      <c r="G36" s="22">
        <f>E36*F36</f>
        <v>1.7901</v>
      </c>
      <c r="H36" s="22">
        <f t="shared" si="1"/>
        <v>0</v>
      </c>
      <c r="I36" s="23">
        <f t="shared" si="2"/>
        <v>0</v>
      </c>
      <c r="J36" s="23">
        <f t="shared" si="9"/>
        <v>1.6503348519854927E-2</v>
      </c>
      <c r="K36" s="108">
        <f t="shared" si="10"/>
        <v>1.5862731030942524E-2</v>
      </c>
    </row>
    <row r="37" spans="1:11" x14ac:dyDescent="0.2">
      <c r="A37" s="107" t="s">
        <v>43</v>
      </c>
      <c r="B37" s="73">
        <f>B8</f>
        <v>497.25</v>
      </c>
      <c r="C37" s="34">
        <v>2.0999999999999999E-3</v>
      </c>
      <c r="D37" s="22">
        <f>B37*C37</f>
        <v>1.044225</v>
      </c>
      <c r="E37" s="73">
        <f t="shared" si="6"/>
        <v>497.25</v>
      </c>
      <c r="F37" s="34">
        <v>2.0999999999999999E-3</v>
      </c>
      <c r="G37" s="22">
        <f>E37*F37</f>
        <v>1.044225</v>
      </c>
      <c r="H37" s="22">
        <f>G37-D37</f>
        <v>0</v>
      </c>
      <c r="I37" s="23">
        <f t="shared" si="2"/>
        <v>0</v>
      </c>
      <c r="J37" s="23">
        <f t="shared" si="9"/>
        <v>9.626953303248708E-3</v>
      </c>
      <c r="K37" s="108">
        <f t="shared" si="10"/>
        <v>9.2532597680498058E-3</v>
      </c>
    </row>
    <row r="38" spans="1:11" x14ac:dyDescent="0.2">
      <c r="A38" s="107" t="s">
        <v>96</v>
      </c>
      <c r="B38" s="73">
        <f>B8</f>
        <v>497.25</v>
      </c>
      <c r="C38" s="34">
        <v>1.1000000000000001E-3</v>
      </c>
      <c r="D38" s="22">
        <f>B38*C38</f>
        <v>0.54697499999999999</v>
      </c>
      <c r="E38" s="73">
        <f t="shared" si="6"/>
        <v>497.25</v>
      </c>
      <c r="F38" s="34">
        <v>1.1000000000000001E-3</v>
      </c>
      <c r="G38" s="22">
        <f>E38*F38</f>
        <v>0.54697499999999999</v>
      </c>
      <c r="H38" s="22">
        <f>G38-D38</f>
        <v>0</v>
      </c>
      <c r="I38" s="23">
        <f t="shared" ref="I38" si="11">IF(ISERROR(H38/D38),0,(H38/D38))</f>
        <v>0</v>
      </c>
      <c r="J38" s="23">
        <f t="shared" ref="J38" si="12">G38/$G$46</f>
        <v>5.0426898255112283E-3</v>
      </c>
      <c r="K38" s="108">
        <f t="shared" ref="K38" si="13">G38/$G$51</f>
        <v>4.8469455927879932E-3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2.3048081838800806E-3</v>
      </c>
      <c r="K39" s="108">
        <f t="shared" si="10"/>
        <v>2.2153414656922131E-3</v>
      </c>
    </row>
    <row r="40" spans="1:11" s="1" customFormat="1" x14ac:dyDescent="0.2">
      <c r="A40" s="110" t="s">
        <v>45</v>
      </c>
      <c r="B40" s="74"/>
      <c r="C40" s="35"/>
      <c r="D40" s="35">
        <f>SUM(D36:D39)</f>
        <v>3.6312999999999995</v>
      </c>
      <c r="E40" s="73"/>
      <c r="F40" s="35"/>
      <c r="G40" s="35">
        <f>SUM(G36:G39)</f>
        <v>3.6312999999999995</v>
      </c>
      <c r="H40" s="35">
        <f t="shared" si="1"/>
        <v>0</v>
      </c>
      <c r="I40" s="36">
        <f t="shared" si="2"/>
        <v>0</v>
      </c>
      <c r="J40" s="36">
        <f t="shared" si="9"/>
        <v>3.3477799832494944E-2</v>
      </c>
      <c r="K40" s="111">
        <f t="shared" si="10"/>
        <v>3.2178277857472536E-2</v>
      </c>
    </row>
    <row r="41" spans="1:11" s="1" customFormat="1" ht="13.5" thickBot="1" x14ac:dyDescent="0.25">
      <c r="A41" s="112" t="s">
        <v>46</v>
      </c>
      <c r="B41" s="113">
        <f>B4</f>
        <v>450</v>
      </c>
      <c r="C41" s="114">
        <v>0</v>
      </c>
      <c r="D41" s="115">
        <f>B41*C41</f>
        <v>0</v>
      </c>
      <c r="E41" s="116">
        <f t="shared" si="6"/>
        <v>450</v>
      </c>
      <c r="F41" s="114">
        <f>C41</f>
        <v>0</v>
      </c>
      <c r="G41" s="115">
        <f>E41*F41</f>
        <v>0</v>
      </c>
      <c r="H41" s="115">
        <f t="shared" si="1"/>
        <v>0</v>
      </c>
      <c r="I41" s="117">
        <f t="shared" si="2"/>
        <v>0</v>
      </c>
      <c r="J41" s="117">
        <f t="shared" si="9"/>
        <v>0</v>
      </c>
      <c r="K41" s="118">
        <f t="shared" si="10"/>
        <v>0</v>
      </c>
    </row>
    <row r="42" spans="1:11" s="1" customFormat="1" x14ac:dyDescent="0.2">
      <c r="A42" s="37" t="s">
        <v>105</v>
      </c>
      <c r="B42" s="38"/>
      <c r="C42" s="39"/>
      <c r="D42" s="39">
        <f>SUM(D14,D25,D26,D27,D33,D40,D41)</f>
        <v>98.928899999999985</v>
      </c>
      <c r="E42" s="38"/>
      <c r="F42" s="39"/>
      <c r="G42" s="39">
        <f>SUM(G14,G25,G26,G27,G33,G40,G41)</f>
        <v>103.30371080790393</v>
      </c>
      <c r="H42" s="39">
        <f t="shared" si="1"/>
        <v>4.3748108079039412</v>
      </c>
      <c r="I42" s="40">
        <f>IF(ISERROR(H42/D42),0,(H42/D42))</f>
        <v>4.4221767429981955E-2</v>
      </c>
      <c r="J42" s="40">
        <f t="shared" si="9"/>
        <v>0.95238095238095233</v>
      </c>
      <c r="K42" s="41"/>
    </row>
    <row r="43" spans="1:11" x14ac:dyDescent="0.2">
      <c r="A43" s="154" t="s">
        <v>106</v>
      </c>
      <c r="B43" s="43"/>
      <c r="C43" s="26">
        <v>0.13</v>
      </c>
      <c r="D43" s="26">
        <f>D42*C43</f>
        <v>12.860756999999998</v>
      </c>
      <c r="E43" s="26"/>
      <c r="F43" s="26">
        <f>C43</f>
        <v>0.13</v>
      </c>
      <c r="G43" s="26">
        <f>G42*F43</f>
        <v>13.42948240502751</v>
      </c>
      <c r="H43" s="26">
        <f t="shared" si="1"/>
        <v>0.56872540502751256</v>
      </c>
      <c r="I43" s="44">
        <f t="shared" si="2"/>
        <v>4.4221767429981976E-2</v>
      </c>
      <c r="J43" s="44">
        <f t="shared" si="9"/>
        <v>0.1238095238095238</v>
      </c>
      <c r="K43" s="45"/>
    </row>
    <row r="44" spans="1:11" s="1" customFormat="1" x14ac:dyDescent="0.2">
      <c r="A44" s="46" t="s">
        <v>107</v>
      </c>
      <c r="B44" s="24"/>
      <c r="C44" s="25"/>
      <c r="D44" s="25">
        <f>SUM(D42:D43)</f>
        <v>111.78965699999998</v>
      </c>
      <c r="E44" s="25"/>
      <c r="F44" s="25"/>
      <c r="G44" s="25">
        <f>SUM(G42:G43)</f>
        <v>116.73319321293144</v>
      </c>
      <c r="H44" s="25">
        <f t="shared" si="1"/>
        <v>4.9435362129314626</v>
      </c>
      <c r="I44" s="27">
        <f t="shared" si="2"/>
        <v>4.4221767429982038E-2</v>
      </c>
      <c r="J44" s="27">
        <f t="shared" si="9"/>
        <v>1.0761904761904761</v>
      </c>
      <c r="K44" s="47"/>
    </row>
    <row r="45" spans="1:11" x14ac:dyDescent="0.2">
      <c r="A45" s="42" t="s">
        <v>108</v>
      </c>
      <c r="B45" s="43"/>
      <c r="C45" s="26">
        <v>-0.08</v>
      </c>
      <c r="D45" s="26">
        <f>D42*C45</f>
        <v>-7.9143119999999989</v>
      </c>
      <c r="E45" s="26"/>
      <c r="F45" s="26">
        <f>C45</f>
        <v>-0.08</v>
      </c>
      <c r="G45" s="26">
        <f>G42*F45</f>
        <v>-8.2642968646323141</v>
      </c>
      <c r="H45" s="26">
        <f t="shared" si="1"/>
        <v>-0.34998486463231515</v>
      </c>
      <c r="I45" s="44">
        <f t="shared" si="2"/>
        <v>4.4221767429981934E-2</v>
      </c>
      <c r="J45" s="44">
        <f t="shared" si="9"/>
        <v>-7.6190476190476183E-2</v>
      </c>
      <c r="K45" s="45"/>
    </row>
    <row r="46" spans="1:11" s="1" customFormat="1" ht="13.5" thickBot="1" x14ac:dyDescent="0.25">
      <c r="A46" s="48" t="s">
        <v>109</v>
      </c>
      <c r="B46" s="49"/>
      <c r="C46" s="50"/>
      <c r="D46" s="50">
        <f>SUM(D44:D45)</f>
        <v>103.87534499999998</v>
      </c>
      <c r="E46" s="50"/>
      <c r="F46" s="50"/>
      <c r="G46" s="50">
        <f>SUM(G44:G45)</f>
        <v>108.46889634829913</v>
      </c>
      <c r="H46" s="50">
        <f t="shared" si="1"/>
        <v>4.5935513482991439</v>
      </c>
      <c r="I46" s="51">
        <f t="shared" si="2"/>
        <v>4.422176742998201E-2</v>
      </c>
      <c r="J46" s="51">
        <f t="shared" si="9"/>
        <v>1</v>
      </c>
      <c r="K46" s="52"/>
    </row>
    <row r="47" spans="1:11" x14ac:dyDescent="0.2">
      <c r="A47" s="53" t="s">
        <v>110</v>
      </c>
      <c r="B47" s="54"/>
      <c r="C47" s="55"/>
      <c r="D47" s="55">
        <f>SUM(D18,D25,D26,D28,D33,D40,D41)</f>
        <v>103.10082749999999</v>
      </c>
      <c r="E47" s="55"/>
      <c r="F47" s="55"/>
      <c r="G47" s="55">
        <f>SUM(G18,G25,G26,G28,G33,G40,G41)</f>
        <v>107.47563830790394</v>
      </c>
      <c r="H47" s="55">
        <f>G47-D47</f>
        <v>4.3748108079039412</v>
      </c>
      <c r="I47" s="56">
        <f>IF(ISERROR(H47/D47),0,(H47/D47))</f>
        <v>4.2432353977992478E-2</v>
      </c>
      <c r="J47" s="56"/>
      <c r="K47" s="57">
        <f>G47/$G$51</f>
        <v>0.95238095238095233</v>
      </c>
    </row>
    <row r="48" spans="1:11" x14ac:dyDescent="0.2">
      <c r="A48" s="155" t="s">
        <v>106</v>
      </c>
      <c r="B48" s="59"/>
      <c r="C48" s="31">
        <v>0.13</v>
      </c>
      <c r="D48" s="31">
        <f>D47*C48</f>
        <v>13.403107575</v>
      </c>
      <c r="E48" s="31"/>
      <c r="F48" s="31">
        <f>C48</f>
        <v>0.13</v>
      </c>
      <c r="G48" s="31">
        <f>G47*F48</f>
        <v>13.971832980027513</v>
      </c>
      <c r="H48" s="31">
        <f>G48-D48</f>
        <v>0.56872540502751256</v>
      </c>
      <c r="I48" s="32">
        <f>IF(ISERROR(H48/D48),0,(H48/D48))</f>
        <v>4.2432353977992492E-2</v>
      </c>
      <c r="J48" s="32"/>
      <c r="K48" s="60">
        <f>G48/$G$51</f>
        <v>0.12380952380952381</v>
      </c>
    </row>
    <row r="49" spans="1:11" x14ac:dyDescent="0.2">
      <c r="A49" s="61" t="s">
        <v>111</v>
      </c>
      <c r="B49" s="29"/>
      <c r="C49" s="30"/>
      <c r="D49" s="30">
        <f>SUM(D47:D48)</f>
        <v>116.50393507499999</v>
      </c>
      <c r="E49" s="30"/>
      <c r="F49" s="30"/>
      <c r="G49" s="30">
        <f>SUM(G47:G48)</f>
        <v>121.44747128793145</v>
      </c>
      <c r="H49" s="30">
        <f>G49-D49</f>
        <v>4.9435362129314626</v>
      </c>
      <c r="I49" s="33">
        <f>IF(ISERROR(H49/D49),0,(H49/D49))</f>
        <v>4.2432353977992561E-2</v>
      </c>
      <c r="J49" s="33"/>
      <c r="K49" s="62">
        <f>G49/$G$51</f>
        <v>1.0761904761904761</v>
      </c>
    </row>
    <row r="50" spans="1:11" x14ac:dyDescent="0.2">
      <c r="A50" s="58" t="s">
        <v>108</v>
      </c>
      <c r="B50" s="59"/>
      <c r="C50" s="31">
        <v>-0.08</v>
      </c>
      <c r="D50" s="31">
        <f>D47*C50</f>
        <v>-8.2480662000000002</v>
      </c>
      <c r="E50" s="31"/>
      <c r="F50" s="31">
        <f>C50</f>
        <v>-0.08</v>
      </c>
      <c r="G50" s="31">
        <f>G47*F50</f>
        <v>-8.5980510646323154</v>
      </c>
      <c r="H50" s="31">
        <f>G50-D50</f>
        <v>-0.34998486463231515</v>
      </c>
      <c r="I50" s="32">
        <f>IF(ISERROR(H50/D50),0,(H50/D50))</f>
        <v>4.2432353977992457E-2</v>
      </c>
      <c r="J50" s="32"/>
      <c r="K50" s="60">
        <f>G50/$G$51</f>
        <v>-7.6190476190476197E-2</v>
      </c>
    </row>
    <row r="51" spans="1:11" ht="13.5" thickBot="1" x14ac:dyDescent="0.25">
      <c r="A51" s="63" t="s">
        <v>121</v>
      </c>
      <c r="B51" s="64"/>
      <c r="C51" s="65"/>
      <c r="D51" s="65">
        <f>SUM(D49:D50)</f>
        <v>108.25586887499999</v>
      </c>
      <c r="E51" s="65"/>
      <c r="F51" s="65"/>
      <c r="G51" s="65">
        <f>SUM(G49:G50)</f>
        <v>112.84942022329913</v>
      </c>
      <c r="H51" s="65">
        <f>G51-D51</f>
        <v>4.5935513482991439</v>
      </c>
      <c r="I51" s="66">
        <f>IF(ISERROR(H51/D51),0,(H51/D51))</f>
        <v>4.2432353977992533E-2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1" tint="0.499984740745262"/>
    <pageSetUpPr fitToPage="1"/>
  </sheetPr>
  <dimension ref="A1:K68"/>
  <sheetViews>
    <sheetView tabSelected="1" zoomScaleNormal="100" zoomScaleSheetLayoutView="100" workbookViewId="0">
      <selection activeCell="N25" sqref="N25"/>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100</v>
      </c>
      <c r="B1" s="192"/>
      <c r="C1" s="192"/>
      <c r="D1" s="192"/>
      <c r="E1" s="192"/>
      <c r="F1" s="192"/>
      <c r="G1" s="192"/>
      <c r="H1" s="192"/>
      <c r="I1" s="192"/>
      <c r="J1" s="192"/>
      <c r="K1" s="193"/>
    </row>
    <row r="3" spans="1:11" x14ac:dyDescent="0.2">
      <c r="A3" s="13" t="s">
        <v>13</v>
      </c>
      <c r="B3" s="13" t="s">
        <v>2</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5">
        <f>B4*B6</f>
        <v>828.75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0.37047229332782217</v>
      </c>
      <c r="K12" s="106"/>
    </row>
    <row r="13" spans="1:11" x14ac:dyDescent="0.2">
      <c r="A13" s="107" t="s">
        <v>32</v>
      </c>
      <c r="B13" s="73">
        <f>IF(B4&gt;B7,(B4)-B7,0)</f>
        <v>150</v>
      </c>
      <c r="C13" s="21">
        <v>0.121</v>
      </c>
      <c r="D13" s="22">
        <f>B13*C13</f>
        <v>18.149999999999999</v>
      </c>
      <c r="E13" s="73">
        <f t="shared" ref="E13" si="0">B13</f>
        <v>150</v>
      </c>
      <c r="F13" s="21">
        <f>C13</f>
        <v>0.121</v>
      </c>
      <c r="G13" s="22">
        <f>E13*F13</f>
        <v>18.149999999999999</v>
      </c>
      <c r="H13" s="22">
        <f t="shared" ref="H13:H46" si="1">G13-D13</f>
        <v>0</v>
      </c>
      <c r="I13" s="23">
        <f t="shared" ref="I13:I46" si="2">IF(ISERROR(H13/D13),0,(H13/D13))</f>
        <v>0</v>
      </c>
      <c r="J13" s="23">
        <f>G13/$G$46</f>
        <v>0.10880375605016136</v>
      </c>
      <c r="K13" s="108"/>
    </row>
    <row r="14" spans="1:11" s="1" customFormat="1" x14ac:dyDescent="0.2">
      <c r="A14" s="46" t="s">
        <v>33</v>
      </c>
      <c r="B14" s="24"/>
      <c r="C14" s="25"/>
      <c r="D14" s="25">
        <f>SUM(D12:D13)</f>
        <v>79.949999999999989</v>
      </c>
      <c r="E14" s="76"/>
      <c r="F14" s="25"/>
      <c r="G14" s="25">
        <f>SUM(G12:G13)</f>
        <v>79.949999999999989</v>
      </c>
      <c r="H14" s="25">
        <f t="shared" si="1"/>
        <v>0</v>
      </c>
      <c r="I14" s="27">
        <f t="shared" si="2"/>
        <v>0</v>
      </c>
      <c r="J14" s="27">
        <f>G14/$G$46</f>
        <v>0.47927604937798352</v>
      </c>
      <c r="K14" s="108"/>
    </row>
    <row r="15" spans="1:11" s="1" customFormat="1" x14ac:dyDescent="0.2">
      <c r="A15" s="109" t="s">
        <v>34</v>
      </c>
      <c r="B15" s="75">
        <f>B4*0.65</f>
        <v>487.5</v>
      </c>
      <c r="C15" s="28">
        <v>8.6999999999999994E-2</v>
      </c>
      <c r="D15" s="22">
        <f>B15*C15</f>
        <v>42.412499999999994</v>
      </c>
      <c r="E15" s="73">
        <f t="shared" ref="E15:F17" si="3">B15</f>
        <v>487.5</v>
      </c>
      <c r="F15" s="28">
        <f t="shared" si="3"/>
        <v>8.6999999999999994E-2</v>
      </c>
      <c r="G15" s="22">
        <f>E15*F15</f>
        <v>42.412499999999994</v>
      </c>
      <c r="H15" s="22">
        <f t="shared" si="1"/>
        <v>0</v>
      </c>
      <c r="I15" s="23">
        <f t="shared" si="2"/>
        <v>0</v>
      </c>
      <c r="J15" s="23"/>
      <c r="K15" s="108">
        <f t="shared" ref="K15:K26" si="4">G15/$G$51</f>
        <v>0.24979152056140547</v>
      </c>
    </row>
    <row r="16" spans="1:11" s="1" customFormat="1" x14ac:dyDescent="0.2">
      <c r="A16" s="109" t="s">
        <v>35</v>
      </c>
      <c r="B16" s="75">
        <f>B4*0.17</f>
        <v>127.50000000000001</v>
      </c>
      <c r="C16" s="28">
        <v>0.13200000000000001</v>
      </c>
      <c r="D16" s="22">
        <f>B16*C16</f>
        <v>16.830000000000002</v>
      </c>
      <c r="E16" s="73">
        <f t="shared" si="3"/>
        <v>127.50000000000001</v>
      </c>
      <c r="F16" s="28">
        <f t="shared" si="3"/>
        <v>0.13200000000000001</v>
      </c>
      <c r="G16" s="22">
        <f>E16*F16</f>
        <v>16.830000000000002</v>
      </c>
      <c r="H16" s="22">
        <f t="shared" si="1"/>
        <v>0</v>
      </c>
      <c r="I16" s="23">
        <f t="shared" si="2"/>
        <v>0</v>
      </c>
      <c r="J16" s="23"/>
      <c r="K16" s="108">
        <f t="shared" si="4"/>
        <v>9.9121515851422454E-2</v>
      </c>
    </row>
    <row r="17" spans="1:11" s="1" customFormat="1" x14ac:dyDescent="0.2">
      <c r="A17" s="109" t="s">
        <v>36</v>
      </c>
      <c r="B17" s="75">
        <f>B4*0.18</f>
        <v>135</v>
      </c>
      <c r="C17" s="28">
        <v>0.18</v>
      </c>
      <c r="D17" s="22">
        <f>B17*C17</f>
        <v>24.3</v>
      </c>
      <c r="E17" s="73">
        <f t="shared" si="3"/>
        <v>135</v>
      </c>
      <c r="F17" s="28">
        <f t="shared" si="3"/>
        <v>0.18</v>
      </c>
      <c r="G17" s="22">
        <f>E17*F17</f>
        <v>24.3</v>
      </c>
      <c r="H17" s="22">
        <f t="shared" si="1"/>
        <v>0</v>
      </c>
      <c r="I17" s="23">
        <f t="shared" si="2"/>
        <v>0</v>
      </c>
      <c r="J17" s="23"/>
      <c r="K17" s="108">
        <f t="shared" si="4"/>
        <v>0.14311662716515541</v>
      </c>
    </row>
    <row r="18" spans="1:11" s="1" customFormat="1" x14ac:dyDescent="0.2">
      <c r="A18" s="61" t="s">
        <v>37</v>
      </c>
      <c r="B18" s="29"/>
      <c r="C18" s="30"/>
      <c r="D18" s="30">
        <f>SUM(D15:D17)</f>
        <v>83.54249999999999</v>
      </c>
      <c r="E18" s="77"/>
      <c r="F18" s="30"/>
      <c r="G18" s="30">
        <f>SUM(G15:G17)</f>
        <v>83.54249999999999</v>
      </c>
      <c r="H18" s="31">
        <f t="shared" si="1"/>
        <v>0</v>
      </c>
      <c r="I18" s="32">
        <f t="shared" si="2"/>
        <v>0</v>
      </c>
      <c r="J18" s="33">
        <f t="shared" ref="J18:J26" si="5">G18/$G$46</f>
        <v>0.50081199943915178</v>
      </c>
      <c r="K18" s="62">
        <f t="shared" si="4"/>
        <v>0.49202966357798328</v>
      </c>
    </row>
    <row r="19" spans="1:11" x14ac:dyDescent="0.2">
      <c r="A19" s="107" t="s">
        <v>116</v>
      </c>
      <c r="B19" s="73">
        <v>1</v>
      </c>
      <c r="C19" s="78">
        <f>VLOOKUP($B$3,'Data for Bill Impacts'!$A$3:$Y$15,7,0)</f>
        <v>19.829999999999998</v>
      </c>
      <c r="D19" s="22">
        <f>B19*C19</f>
        <v>19.829999999999998</v>
      </c>
      <c r="E19" s="73">
        <f t="shared" ref="E19:E41" si="6">B19</f>
        <v>1</v>
      </c>
      <c r="F19" s="122">
        <f>VLOOKUP($B$3,'Data for Bill Impacts'!$A$3:$Y$15,17,0)</f>
        <v>25.109678307903934</v>
      </c>
      <c r="G19" s="22">
        <f>E19*F19</f>
        <v>25.109678307903934</v>
      </c>
      <c r="H19" s="22">
        <f t="shared" si="1"/>
        <v>5.2796783079039358</v>
      </c>
      <c r="I19" s="23">
        <f t="shared" si="2"/>
        <v>0.26624701502289139</v>
      </c>
      <c r="J19" s="23">
        <f t="shared" si="5"/>
        <v>0.15052492083257346</v>
      </c>
      <c r="K19" s="108">
        <f t="shared" si="4"/>
        <v>0.1478852867748674</v>
      </c>
    </row>
    <row r="20" spans="1:11" hidden="1" x14ac:dyDescent="0.2">
      <c r="A20" s="107" t="s">
        <v>113</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1.36</v>
      </c>
      <c r="D21" s="22">
        <f t="shared" si="7"/>
        <v>1.36</v>
      </c>
      <c r="E21" s="73">
        <f t="shared" si="6"/>
        <v>1</v>
      </c>
      <c r="F21" s="122">
        <f>VLOOKUP($B$3,'Data for Bill Impacts'!$A$3:$Y$15,22,0)</f>
        <v>-0.02</v>
      </c>
      <c r="G21" s="22">
        <f t="shared" si="8"/>
        <v>-0.02</v>
      </c>
      <c r="H21" s="22">
        <f t="shared" si="1"/>
        <v>-1.3800000000000001</v>
      </c>
      <c r="I21" s="23">
        <f t="shared" si="2"/>
        <v>-1.0147058823529411</v>
      </c>
      <c r="J21" s="23">
        <f t="shared" si="5"/>
        <v>-1.1989394606078388E-4</v>
      </c>
      <c r="K21" s="108">
        <f t="shared" si="4"/>
        <v>-1.177914626873707E-4</v>
      </c>
    </row>
    <row r="22" spans="1:11" hidden="1" x14ac:dyDescent="0.2">
      <c r="A22" s="107" t="s">
        <v>123</v>
      </c>
      <c r="B22" s="73">
        <f>B4</f>
        <v>750</v>
      </c>
      <c r="C22" s="78">
        <v>0</v>
      </c>
      <c r="D22" s="22">
        <f>B22*C22</f>
        <v>0</v>
      </c>
      <c r="E22" s="73">
        <f>B22</f>
        <v>750</v>
      </c>
      <c r="F22" s="78">
        <f>C22</f>
        <v>0</v>
      </c>
      <c r="G22" s="22">
        <f>E22*F22</f>
        <v>0</v>
      </c>
      <c r="H22" s="22">
        <f>G22-D22</f>
        <v>0</v>
      </c>
      <c r="I22" s="23">
        <f>IF(ISERROR(H22/D22),0,(H22/D22))</f>
        <v>0</v>
      </c>
      <c r="J22" s="23">
        <f t="shared" si="5"/>
        <v>0</v>
      </c>
      <c r="K22" s="108">
        <f t="shared" si="4"/>
        <v>0</v>
      </c>
    </row>
    <row r="23" spans="1:11" x14ac:dyDescent="0.2">
      <c r="A23" s="107" t="s">
        <v>39</v>
      </c>
      <c r="B23" s="73">
        <f>IF($B$9="kWh",$B$4,$B$5)</f>
        <v>750</v>
      </c>
      <c r="C23" s="78">
        <f>VLOOKUP($B$3,'Data for Bill Impacts'!$A$3:$Y$15,10,0)</f>
        <v>3.7400000000000003E-2</v>
      </c>
      <c r="D23" s="22">
        <f>B23*C23</f>
        <v>28.05</v>
      </c>
      <c r="E23" s="73">
        <f t="shared" si="6"/>
        <v>750</v>
      </c>
      <c r="F23" s="78">
        <f>VLOOKUP($B$3,'Data for Bill Impacts'!$A$3:$Y$15,19,0)</f>
        <v>3.6299999999999999E-2</v>
      </c>
      <c r="G23" s="22">
        <f>E23*F23</f>
        <v>27.224999999999998</v>
      </c>
      <c r="H23" s="22">
        <f t="shared" si="1"/>
        <v>-0.82500000000000284</v>
      </c>
      <c r="I23" s="23">
        <f t="shared" si="2"/>
        <v>-2.9411764705882453E-2</v>
      </c>
      <c r="J23" s="23">
        <f t="shared" si="5"/>
        <v>0.16320563407524205</v>
      </c>
      <c r="K23" s="108">
        <f t="shared" si="4"/>
        <v>0.16034362858318335</v>
      </c>
    </row>
    <row r="24" spans="1:11" x14ac:dyDescent="0.2">
      <c r="A24" s="107" t="s">
        <v>124</v>
      </c>
      <c r="B24" s="73">
        <f>IF($B$9="kWh",$B$4,$B$5)</f>
        <v>750</v>
      </c>
      <c r="C24" s="126">
        <f>VLOOKUP($B$3,'Data for Bill Impacts'!$A$3:$Y$15,14,0)</f>
        <v>0</v>
      </c>
      <c r="D24" s="22">
        <f>B24*C24</f>
        <v>0</v>
      </c>
      <c r="E24" s="73">
        <f>B24</f>
        <v>750</v>
      </c>
      <c r="F24" s="126">
        <f>VLOOKUP($B$3,'Data for Bill Impacts'!$A$3:$Y$15,23,0)</f>
        <v>2.0000000000000001E-4</v>
      </c>
      <c r="G24" s="22">
        <f>E24*F24</f>
        <v>0.15</v>
      </c>
      <c r="H24" s="22">
        <f>G24-D24</f>
        <v>0.15</v>
      </c>
      <c r="I24" s="23">
        <f>IF(ISERROR(H24/D24),0,(H24/D24))</f>
        <v>0</v>
      </c>
      <c r="J24" s="23">
        <f t="shared" si="5"/>
        <v>8.9920459545587907E-4</v>
      </c>
      <c r="K24" s="108">
        <f t="shared" si="4"/>
        <v>8.8343597015528024E-4</v>
      </c>
    </row>
    <row r="25" spans="1:11" s="1" customFormat="1" x14ac:dyDescent="0.2">
      <c r="A25" s="110" t="s">
        <v>72</v>
      </c>
      <c r="B25" s="74"/>
      <c r="C25" s="35"/>
      <c r="D25" s="35">
        <f>SUM(D19:D24)</f>
        <v>49.239999999999995</v>
      </c>
      <c r="E25" s="73"/>
      <c r="F25" s="35"/>
      <c r="G25" s="35">
        <f>SUM(G19:G24)</f>
        <v>52.464678307903931</v>
      </c>
      <c r="H25" s="35">
        <f t="shared" si="1"/>
        <v>3.2246783079039361</v>
      </c>
      <c r="I25" s="36">
        <f t="shared" si="2"/>
        <v>6.5488998941997084E-2</v>
      </c>
      <c r="J25" s="36">
        <f t="shared" si="5"/>
        <v>0.31450986555721061</v>
      </c>
      <c r="K25" s="111">
        <f t="shared" si="4"/>
        <v>0.30899455986551866</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4.7358108694009636E-3</v>
      </c>
      <c r="K26" s="108">
        <f t="shared" si="4"/>
        <v>4.6527627761511429E-3</v>
      </c>
    </row>
    <row r="27" spans="1:11" s="1" customFormat="1" x14ac:dyDescent="0.2">
      <c r="A27" s="119" t="s">
        <v>75</v>
      </c>
      <c r="B27" s="120">
        <f>B8-B4</f>
        <v>78.75</v>
      </c>
      <c r="C27" s="121">
        <f>IF(B4&gt;B7,C13,C12)</f>
        <v>0.121</v>
      </c>
      <c r="D27" s="22">
        <f>B27*C27</f>
        <v>9.5287500000000005</v>
      </c>
      <c r="E27" s="73">
        <f>B27</f>
        <v>78.75</v>
      </c>
      <c r="F27" s="121">
        <f>C27</f>
        <v>0.121</v>
      </c>
      <c r="G27" s="22">
        <f>E27*F27</f>
        <v>9.5287500000000005</v>
      </c>
      <c r="H27" s="22">
        <f t="shared" si="1"/>
        <v>0</v>
      </c>
      <c r="I27" s="23">
        <f>IF(ISERROR(H27/D27),0,(H27/D27))</f>
        <v>0</v>
      </c>
      <c r="J27" s="23">
        <f t="shared" ref="J27:J46" si="9">G27/$G$46</f>
        <v>5.7121971926334725E-2</v>
      </c>
      <c r="K27" s="108">
        <f t="shared" ref="K27:K41" si="10">G27/$G$51</f>
        <v>5.6120270004114181E-2</v>
      </c>
    </row>
    <row r="28" spans="1:11" s="1" customFormat="1" x14ac:dyDescent="0.2">
      <c r="A28" s="119" t="s">
        <v>74</v>
      </c>
      <c r="B28" s="120">
        <f>B8-B4</f>
        <v>78.75</v>
      </c>
      <c r="C28" s="121">
        <f>0.65*C15+0.17*C16+0.18*C17</f>
        <v>0.11139</v>
      </c>
      <c r="D28" s="22">
        <f>B28*C28</f>
        <v>8.7719625000000008</v>
      </c>
      <c r="E28" s="73">
        <f>B28</f>
        <v>78.75</v>
      </c>
      <c r="F28" s="121">
        <f>C28</f>
        <v>0.11139</v>
      </c>
      <c r="G28" s="22">
        <f>E28*F28</f>
        <v>8.7719625000000008</v>
      </c>
      <c r="H28" s="22">
        <f t="shared" si="1"/>
        <v>0</v>
      </c>
      <c r="I28" s="23">
        <f>IF(ISERROR(H28/D28),0,(H28/D28))</f>
        <v>0</v>
      </c>
      <c r="J28" s="23">
        <f t="shared" si="9"/>
        <v>5.2585259941110948E-2</v>
      </c>
      <c r="K28" s="108">
        <f t="shared" si="10"/>
        <v>5.1663114675688258E-2</v>
      </c>
    </row>
    <row r="29" spans="1:11" s="1" customFormat="1" x14ac:dyDescent="0.2">
      <c r="A29" s="110" t="s">
        <v>78</v>
      </c>
      <c r="B29" s="74"/>
      <c r="C29" s="35"/>
      <c r="D29" s="35">
        <f>SUM(D25,D26:D27)</f>
        <v>59.558749999999996</v>
      </c>
      <c r="E29" s="73"/>
      <c r="F29" s="35"/>
      <c r="G29" s="35">
        <f>SUM(G25,G26:G27)</f>
        <v>62.783428307903932</v>
      </c>
      <c r="H29" s="35">
        <f t="shared" si="1"/>
        <v>3.2246783079039361</v>
      </c>
      <c r="I29" s="36">
        <f>IF(ISERROR(H29/D29),0,(H29/D29))</f>
        <v>5.4142813741120094E-2</v>
      </c>
      <c r="J29" s="36">
        <f t="shared" si="9"/>
        <v>0.37636764835294628</v>
      </c>
      <c r="K29" s="111">
        <f t="shared" si="10"/>
        <v>0.36976759264578396</v>
      </c>
    </row>
    <row r="30" spans="1:11" s="1" customFormat="1" x14ac:dyDescent="0.2">
      <c r="A30" s="110" t="s">
        <v>77</v>
      </c>
      <c r="B30" s="74"/>
      <c r="C30" s="35"/>
      <c r="D30" s="35">
        <f>SUM(D25,D26,D28)</f>
        <v>58.801962499999995</v>
      </c>
      <c r="E30" s="73"/>
      <c r="F30" s="35"/>
      <c r="G30" s="35">
        <f>SUM(G25,G26,G28)</f>
        <v>62.026640807903931</v>
      </c>
      <c r="H30" s="35">
        <f t="shared" si="1"/>
        <v>3.2246783079039361</v>
      </c>
      <c r="I30" s="36">
        <f>IF(ISERROR(H30/D30),0,(H30/D30))</f>
        <v>5.4839637501961545E-2</v>
      </c>
      <c r="J30" s="36">
        <f t="shared" si="9"/>
        <v>0.37183093636772252</v>
      </c>
      <c r="K30" s="111">
        <f t="shared" si="10"/>
        <v>0.36531043731735807</v>
      </c>
    </row>
    <row r="31" spans="1:11" x14ac:dyDescent="0.2">
      <c r="A31" s="107" t="s">
        <v>40</v>
      </c>
      <c r="B31" s="73">
        <f>B8</f>
        <v>828.75</v>
      </c>
      <c r="C31" s="78">
        <f>VLOOKUP($B$3,'Data for Bill Impacts'!$A$3:$Y$15,15,0)</f>
        <v>6.1999999999999998E-3</v>
      </c>
      <c r="D31" s="22">
        <f>B31*C31</f>
        <v>5.1382500000000002</v>
      </c>
      <c r="E31" s="73">
        <f t="shared" si="6"/>
        <v>828.75</v>
      </c>
      <c r="F31" s="126">
        <f>VLOOKUP($B$3,'Data for Bill Impacts'!$A$3:$Y$15,24,0)</f>
        <v>6.7400000000000003E-3</v>
      </c>
      <c r="G31" s="22">
        <f>E31*F31</f>
        <v>5.5857749999999999</v>
      </c>
      <c r="H31" s="22">
        <f t="shared" si="1"/>
        <v>0.44752499999999973</v>
      </c>
      <c r="I31" s="23">
        <f t="shared" si="2"/>
        <v>8.7096774193548332E-2</v>
      </c>
      <c r="J31" s="23">
        <f t="shared" si="9"/>
        <v>3.3485030327883754E-2</v>
      </c>
      <c r="K31" s="108">
        <f t="shared" si="10"/>
        <v>3.2897830374627401E-2</v>
      </c>
    </row>
    <row r="32" spans="1:11" x14ac:dyDescent="0.2">
      <c r="A32" s="107" t="s">
        <v>41</v>
      </c>
      <c r="B32" s="73">
        <f>B8</f>
        <v>828.75</v>
      </c>
      <c r="C32" s="78">
        <f>VLOOKUP($B$3,'Data for Bill Impacts'!$A$3:$Y$15,16,0)</f>
        <v>4.4000000000000003E-3</v>
      </c>
      <c r="D32" s="22">
        <f>B32*C32</f>
        <v>3.6465000000000001</v>
      </c>
      <c r="E32" s="73">
        <f t="shared" si="6"/>
        <v>828.75</v>
      </c>
      <c r="F32" s="126">
        <f>VLOOKUP($B$3,'Data for Bill Impacts'!$A$3:$Y$15,25,0)</f>
        <v>5.6299999999999996E-3</v>
      </c>
      <c r="G32" s="22">
        <f>E32*F32</f>
        <v>4.6658624999999994</v>
      </c>
      <c r="H32" s="22">
        <f t="shared" si="1"/>
        <v>1.0193624999999993</v>
      </c>
      <c r="I32" s="23">
        <f t="shared" si="2"/>
        <v>0.27954545454545432</v>
      </c>
      <c r="J32" s="23">
        <f t="shared" si="9"/>
        <v>2.7970433345101707E-2</v>
      </c>
      <c r="K32" s="108">
        <f t="shared" si="10"/>
        <v>2.7479938428657605E-2</v>
      </c>
    </row>
    <row r="33" spans="1:11" s="1" customFormat="1" x14ac:dyDescent="0.2">
      <c r="A33" s="110" t="s">
        <v>76</v>
      </c>
      <c r="B33" s="74"/>
      <c r="C33" s="35"/>
      <c r="D33" s="35">
        <f>SUM(D31:D32)</f>
        <v>8.7847500000000007</v>
      </c>
      <c r="E33" s="73"/>
      <c r="F33" s="35"/>
      <c r="G33" s="35">
        <f>SUM(G31:G32)</f>
        <v>10.251637499999999</v>
      </c>
      <c r="H33" s="35">
        <f t="shared" si="1"/>
        <v>1.4668874999999986</v>
      </c>
      <c r="I33" s="36">
        <f t="shared" si="2"/>
        <v>0.16698113207547152</v>
      </c>
      <c r="J33" s="36">
        <f t="shared" si="9"/>
        <v>6.1455463672985461E-2</v>
      </c>
      <c r="K33" s="111">
        <f t="shared" si="10"/>
        <v>6.0377768803285013E-2</v>
      </c>
    </row>
    <row r="34" spans="1:11" s="1" customFormat="1" x14ac:dyDescent="0.2">
      <c r="A34" s="110" t="s">
        <v>91</v>
      </c>
      <c r="B34" s="74"/>
      <c r="C34" s="35"/>
      <c r="D34" s="35">
        <f>D29+D33</f>
        <v>68.343499999999992</v>
      </c>
      <c r="E34" s="73"/>
      <c r="F34" s="35"/>
      <c r="G34" s="35">
        <f>G29+G33</f>
        <v>73.035065807903933</v>
      </c>
      <c r="H34" s="35">
        <f t="shared" si="1"/>
        <v>4.6915658079039417</v>
      </c>
      <c r="I34" s="36">
        <f t="shared" si="2"/>
        <v>6.8646847292045954E-2</v>
      </c>
      <c r="J34" s="36">
        <f t="shared" si="9"/>
        <v>0.43782311202593177</v>
      </c>
      <c r="K34" s="111">
        <f t="shared" si="10"/>
        <v>0.43014536144906901</v>
      </c>
    </row>
    <row r="35" spans="1:11" s="1" customFormat="1" x14ac:dyDescent="0.2">
      <c r="A35" s="110" t="s">
        <v>92</v>
      </c>
      <c r="B35" s="74"/>
      <c r="C35" s="35"/>
      <c r="D35" s="35">
        <f>D30+D33</f>
        <v>67.58671249999999</v>
      </c>
      <c r="E35" s="73"/>
      <c r="F35" s="35"/>
      <c r="G35" s="35">
        <f>G30+G33</f>
        <v>72.278278307903932</v>
      </c>
      <c r="H35" s="35">
        <f t="shared" si="1"/>
        <v>4.6915658079039417</v>
      </c>
      <c r="I35" s="36">
        <f t="shared" si="2"/>
        <v>6.941550542059495E-2</v>
      </c>
      <c r="J35" s="36">
        <f t="shared" si="9"/>
        <v>0.43328640004070801</v>
      </c>
      <c r="K35" s="111">
        <f t="shared" si="10"/>
        <v>0.42568820612064306</v>
      </c>
    </row>
    <row r="36" spans="1:11" x14ac:dyDescent="0.2">
      <c r="A36" s="107" t="s">
        <v>42</v>
      </c>
      <c r="B36" s="73">
        <f>B8</f>
        <v>828.75</v>
      </c>
      <c r="C36" s="34">
        <v>3.5999999999999999E-3</v>
      </c>
      <c r="D36" s="22">
        <f>B36*C36</f>
        <v>2.9834999999999998</v>
      </c>
      <c r="E36" s="73">
        <f t="shared" si="6"/>
        <v>828.75</v>
      </c>
      <c r="F36" s="34">
        <v>3.5999999999999999E-3</v>
      </c>
      <c r="G36" s="22">
        <f>E36*F36</f>
        <v>2.9834999999999998</v>
      </c>
      <c r="H36" s="22">
        <f t="shared" si="1"/>
        <v>0</v>
      </c>
      <c r="I36" s="23">
        <f t="shared" si="2"/>
        <v>0</v>
      </c>
      <c r="J36" s="23">
        <f t="shared" si="9"/>
        <v>1.7885179403617436E-2</v>
      </c>
      <c r="K36" s="108">
        <f t="shared" si="10"/>
        <v>1.7571541446388523E-2</v>
      </c>
    </row>
    <row r="37" spans="1:11" x14ac:dyDescent="0.2">
      <c r="A37" s="107" t="s">
        <v>43</v>
      </c>
      <c r="B37" s="73">
        <f>B8</f>
        <v>828.75</v>
      </c>
      <c r="C37" s="34">
        <v>2.0999999999999999E-3</v>
      </c>
      <c r="D37" s="22">
        <f>B37*C37</f>
        <v>1.7403749999999998</v>
      </c>
      <c r="E37" s="73">
        <f t="shared" si="6"/>
        <v>828.75</v>
      </c>
      <c r="F37" s="34">
        <v>2.0999999999999999E-3</v>
      </c>
      <c r="G37" s="22">
        <f>E37*F37</f>
        <v>1.7403749999999998</v>
      </c>
      <c r="H37" s="22">
        <f>G37-D37</f>
        <v>0</v>
      </c>
      <c r="I37" s="23">
        <f t="shared" si="2"/>
        <v>0</v>
      </c>
      <c r="J37" s="23">
        <f t="shared" si="9"/>
        <v>1.0433021318776835E-2</v>
      </c>
      <c r="K37" s="108">
        <f t="shared" si="10"/>
        <v>1.0250065843726638E-2</v>
      </c>
    </row>
    <row r="38" spans="1:11" x14ac:dyDescent="0.2">
      <c r="A38" s="107" t="s">
        <v>96</v>
      </c>
      <c r="B38" s="73">
        <f>B8</f>
        <v>828.75</v>
      </c>
      <c r="C38" s="34">
        <v>1.1000000000000001E-3</v>
      </c>
      <c r="D38" s="22">
        <f>B38*C38</f>
        <v>0.91162500000000002</v>
      </c>
      <c r="E38" s="73">
        <f t="shared" si="6"/>
        <v>828.75</v>
      </c>
      <c r="F38" s="34">
        <v>1.1000000000000001E-3</v>
      </c>
      <c r="G38" s="22">
        <f>E38*F38</f>
        <v>0.91162500000000002</v>
      </c>
      <c r="H38" s="22">
        <f>G38-D38</f>
        <v>0</v>
      </c>
      <c r="I38" s="23">
        <f t="shared" ref="I38" si="11">IF(ISERROR(H38/D38),0,(H38/D38))</f>
        <v>0</v>
      </c>
      <c r="J38" s="23">
        <f t="shared" ref="J38" si="12">G38/$G$46</f>
        <v>5.4649159288831057E-3</v>
      </c>
      <c r="K38" s="108">
        <f t="shared" ref="K38" si="13">G38/$G$51</f>
        <v>5.3690821086187163E-3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1.4986743257597984E-3</v>
      </c>
      <c r="K39" s="108">
        <f t="shared" si="10"/>
        <v>1.4723932835921337E-3</v>
      </c>
    </row>
    <row r="40" spans="1:11" s="1" customFormat="1" x14ac:dyDescent="0.2">
      <c r="A40" s="110" t="s">
        <v>45</v>
      </c>
      <c r="B40" s="74"/>
      <c r="C40" s="35"/>
      <c r="D40" s="35">
        <f>SUM(D36:D39)</f>
        <v>5.8854999999999995</v>
      </c>
      <c r="E40" s="73"/>
      <c r="F40" s="35"/>
      <c r="G40" s="35">
        <f>SUM(G36:G39)</f>
        <v>5.8854999999999995</v>
      </c>
      <c r="H40" s="35">
        <f t="shared" si="1"/>
        <v>0</v>
      </c>
      <c r="I40" s="36">
        <f t="shared" si="2"/>
        <v>0</v>
      </c>
      <c r="J40" s="36">
        <f t="shared" si="9"/>
        <v>3.5281790977037174E-2</v>
      </c>
      <c r="K40" s="111">
        <f t="shared" si="10"/>
        <v>3.4663082682326013E-2</v>
      </c>
    </row>
    <row r="41" spans="1:11" s="1" customFormat="1" ht="13.5" thickBot="1" x14ac:dyDescent="0.25">
      <c r="A41" s="112" t="s">
        <v>46</v>
      </c>
      <c r="B41" s="113">
        <f>B4</f>
        <v>750</v>
      </c>
      <c r="C41" s="114">
        <v>0</v>
      </c>
      <c r="D41" s="115">
        <f>B41*C41</f>
        <v>0</v>
      </c>
      <c r="E41" s="116">
        <f t="shared" si="6"/>
        <v>750</v>
      </c>
      <c r="F41" s="114">
        <f>C41</f>
        <v>0</v>
      </c>
      <c r="G41" s="115">
        <f>E41*F41</f>
        <v>0</v>
      </c>
      <c r="H41" s="115">
        <f t="shared" si="1"/>
        <v>0</v>
      </c>
      <c r="I41" s="117">
        <f t="shared" si="2"/>
        <v>0</v>
      </c>
      <c r="J41" s="117">
        <f t="shared" si="9"/>
        <v>0</v>
      </c>
      <c r="K41" s="118">
        <f t="shared" si="10"/>
        <v>0</v>
      </c>
    </row>
    <row r="42" spans="1:11" s="1" customFormat="1" x14ac:dyDescent="0.2">
      <c r="A42" s="37" t="s">
        <v>105</v>
      </c>
      <c r="B42" s="38"/>
      <c r="C42" s="39"/>
      <c r="D42" s="39">
        <f>SUM(D14,D25,D26,D27,D33,D40,D41)</f>
        <v>154.179</v>
      </c>
      <c r="E42" s="38"/>
      <c r="F42" s="39"/>
      <c r="G42" s="39">
        <f>SUM(G14,G25,G26,G27,G33,G40,G41)</f>
        <v>158.87056580790392</v>
      </c>
      <c r="H42" s="39">
        <f t="shared" si="1"/>
        <v>4.6915658079039133</v>
      </c>
      <c r="I42" s="40">
        <f>IF(ISERROR(H42/D42),0,(H42/D42))</f>
        <v>3.0429343865921516E-2</v>
      </c>
      <c r="J42" s="40">
        <f t="shared" si="9"/>
        <v>0.95238095238095244</v>
      </c>
      <c r="K42" s="41"/>
    </row>
    <row r="43" spans="1:11" x14ac:dyDescent="0.2">
      <c r="A43" s="154" t="s">
        <v>106</v>
      </c>
      <c r="B43" s="43"/>
      <c r="C43" s="26">
        <v>0.13</v>
      </c>
      <c r="D43" s="26">
        <f>D42*C43</f>
        <v>20.04327</v>
      </c>
      <c r="E43" s="26"/>
      <c r="F43" s="26">
        <f>C43</f>
        <v>0.13</v>
      </c>
      <c r="G43" s="26">
        <f>G42*F43</f>
        <v>20.653173555027511</v>
      </c>
      <c r="H43" s="26">
        <f t="shared" si="1"/>
        <v>0.60990355502751115</v>
      </c>
      <c r="I43" s="44">
        <f t="shared" si="2"/>
        <v>3.0429343865921638E-2</v>
      </c>
      <c r="J43" s="44">
        <f t="shared" si="9"/>
        <v>0.12380952380952383</v>
      </c>
      <c r="K43" s="45"/>
    </row>
    <row r="44" spans="1:11" s="1" customFormat="1" x14ac:dyDescent="0.2">
      <c r="A44" s="46" t="s">
        <v>107</v>
      </c>
      <c r="B44" s="24"/>
      <c r="C44" s="25"/>
      <c r="D44" s="25">
        <f>SUM(D42:D43)</f>
        <v>174.22227000000001</v>
      </c>
      <c r="E44" s="25"/>
      <c r="F44" s="25"/>
      <c r="G44" s="25">
        <f>SUM(G42:G43)</f>
        <v>179.52373936293142</v>
      </c>
      <c r="H44" s="25">
        <f t="shared" si="1"/>
        <v>5.3014693629314138</v>
      </c>
      <c r="I44" s="27">
        <f t="shared" si="2"/>
        <v>3.0429343865921468E-2</v>
      </c>
      <c r="J44" s="27">
        <f t="shared" si="9"/>
        <v>1.0761904761904761</v>
      </c>
      <c r="K44" s="47"/>
    </row>
    <row r="45" spans="1:11" x14ac:dyDescent="0.2">
      <c r="A45" s="42" t="s">
        <v>108</v>
      </c>
      <c r="B45" s="43"/>
      <c r="C45" s="26">
        <v>-0.08</v>
      </c>
      <c r="D45" s="26">
        <f>D42*C45</f>
        <v>-12.33432</v>
      </c>
      <c r="E45" s="26"/>
      <c r="F45" s="26">
        <f>C45</f>
        <v>-0.08</v>
      </c>
      <c r="G45" s="26">
        <f>G42*F45</f>
        <v>-12.709645264632314</v>
      </c>
      <c r="H45" s="26">
        <f t="shared" si="1"/>
        <v>-0.37532526463231441</v>
      </c>
      <c r="I45" s="44">
        <f t="shared" si="2"/>
        <v>3.0429343865921624E-2</v>
      </c>
      <c r="J45" s="44">
        <f t="shared" si="9"/>
        <v>-7.6190476190476197E-2</v>
      </c>
      <c r="K45" s="45"/>
    </row>
    <row r="46" spans="1:11" s="1" customFormat="1" ht="13.5" thickBot="1" x14ac:dyDescent="0.25">
      <c r="A46" s="48" t="s">
        <v>109</v>
      </c>
      <c r="B46" s="49"/>
      <c r="C46" s="50"/>
      <c r="D46" s="50">
        <f>SUM(D44:D45)</f>
        <v>161.88795000000002</v>
      </c>
      <c r="E46" s="50"/>
      <c r="F46" s="50"/>
      <c r="G46" s="50">
        <f>SUM(G44:G45)</f>
        <v>166.81409409829911</v>
      </c>
      <c r="H46" s="50">
        <f t="shared" si="1"/>
        <v>4.9261440982990905</v>
      </c>
      <c r="I46" s="51">
        <f t="shared" si="2"/>
        <v>3.0429343865921398E-2</v>
      </c>
      <c r="J46" s="51">
        <f t="shared" si="9"/>
        <v>1</v>
      </c>
      <c r="K46" s="52"/>
    </row>
    <row r="47" spans="1:11" x14ac:dyDescent="0.2">
      <c r="A47" s="53" t="s">
        <v>110</v>
      </c>
      <c r="B47" s="54"/>
      <c r="C47" s="55"/>
      <c r="D47" s="55">
        <f>SUM(D18,D25,D26,D28,D33,D40,D41)</f>
        <v>157.01471249999997</v>
      </c>
      <c r="E47" s="55"/>
      <c r="F47" s="55"/>
      <c r="G47" s="55">
        <f>SUM(G18,G25,G26,G28,G33,G40,G41)</f>
        <v>161.70627830790391</v>
      </c>
      <c r="H47" s="55">
        <f>G47-D47</f>
        <v>4.6915658079039417</v>
      </c>
      <c r="I47" s="56">
        <f>IF(ISERROR(H47/D47),0,(H47/D47))</f>
        <v>2.9879784723383439E-2</v>
      </c>
      <c r="J47" s="56"/>
      <c r="K47" s="57">
        <f>G47/$G$51</f>
        <v>0.95238095238095233</v>
      </c>
    </row>
    <row r="48" spans="1:11" x14ac:dyDescent="0.2">
      <c r="A48" s="58" t="s">
        <v>106</v>
      </c>
      <c r="B48" s="59"/>
      <c r="C48" s="31">
        <v>0.13</v>
      </c>
      <c r="D48" s="31">
        <f>D47*C48</f>
        <v>20.411912624999996</v>
      </c>
      <c r="E48" s="31"/>
      <c r="F48" s="31">
        <f>C48</f>
        <v>0.13</v>
      </c>
      <c r="G48" s="31">
        <f>G47*F48</f>
        <v>21.021816180027511</v>
      </c>
      <c r="H48" s="31">
        <f>G48-D48</f>
        <v>0.6099035550275147</v>
      </c>
      <c r="I48" s="32">
        <f>IF(ISERROR(H48/D48),0,(H48/D48))</f>
        <v>2.987978472338355E-2</v>
      </c>
      <c r="J48" s="32"/>
      <c r="K48" s="60">
        <f>G48/$G$51</f>
        <v>0.12380952380952381</v>
      </c>
    </row>
    <row r="49" spans="1:11" x14ac:dyDescent="0.2">
      <c r="A49" s="61" t="s">
        <v>111</v>
      </c>
      <c r="B49" s="29"/>
      <c r="C49" s="30"/>
      <c r="D49" s="30">
        <f>SUM(D47:D48)</f>
        <v>177.42662512499996</v>
      </c>
      <c r="E49" s="30"/>
      <c r="F49" s="30"/>
      <c r="G49" s="30">
        <f>SUM(G47:G48)</f>
        <v>182.72809448793143</v>
      </c>
      <c r="H49" s="30">
        <f>G49-D49</f>
        <v>5.3014693629314706</v>
      </c>
      <c r="I49" s="33">
        <f>IF(ISERROR(H49/D49),0,(H49/D49))</f>
        <v>2.9879784723383533E-2</v>
      </c>
      <c r="J49" s="33"/>
      <c r="K49" s="62">
        <f>G49/$G$51</f>
        <v>1.0761904761904761</v>
      </c>
    </row>
    <row r="50" spans="1:11" x14ac:dyDescent="0.2">
      <c r="A50" s="58" t="s">
        <v>108</v>
      </c>
      <c r="B50" s="59"/>
      <c r="C50" s="31">
        <v>-0.08</v>
      </c>
      <c r="D50" s="31">
        <f>D47*C50</f>
        <v>-12.561176999999999</v>
      </c>
      <c r="E50" s="31"/>
      <c r="F50" s="31">
        <f>C50</f>
        <v>-0.08</v>
      </c>
      <c r="G50" s="31">
        <f>G47*F50</f>
        <v>-12.936502264632313</v>
      </c>
      <c r="H50" s="31">
        <f>G50-D50</f>
        <v>-0.37532526463231441</v>
      </c>
      <c r="I50" s="32">
        <f>IF(ISERROR(H50/D50),0,(H50/D50))</f>
        <v>2.9879784723383363E-2</v>
      </c>
      <c r="J50" s="32"/>
      <c r="K50" s="60">
        <f>G50/$G$51</f>
        <v>-7.6190476190476183E-2</v>
      </c>
    </row>
    <row r="51" spans="1:11" ht="13.5" thickBot="1" x14ac:dyDescent="0.25">
      <c r="A51" s="63" t="s">
        <v>121</v>
      </c>
      <c r="B51" s="64"/>
      <c r="C51" s="65"/>
      <c r="D51" s="65">
        <f>SUM(D49:D50)</f>
        <v>164.86544812499997</v>
      </c>
      <c r="E51" s="65"/>
      <c r="F51" s="65"/>
      <c r="G51" s="65">
        <f>SUM(G49:G50)</f>
        <v>169.79159222329912</v>
      </c>
      <c r="H51" s="65">
        <f>G51-D51</f>
        <v>4.9261440982991473</v>
      </c>
      <c r="I51" s="66">
        <f>IF(ISERROR(H51/D51),0,(H51/D51))</f>
        <v>2.9879784723383488E-2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1" tint="0.499984740745262"/>
    <pageSetUpPr fitToPage="1"/>
  </sheetPr>
  <dimension ref="A1:K68"/>
  <sheetViews>
    <sheetView tabSelected="1" topLeftCell="A19" zoomScaleNormal="100" zoomScaleSheetLayoutView="100" workbookViewId="0">
      <selection activeCell="N25" sqref="N25"/>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120</v>
      </c>
      <c r="B1" s="192"/>
      <c r="C1" s="192"/>
      <c r="D1" s="192"/>
      <c r="E1" s="192"/>
      <c r="F1" s="192"/>
      <c r="G1" s="192"/>
      <c r="H1" s="192"/>
      <c r="I1" s="192"/>
      <c r="J1" s="192"/>
      <c r="K1" s="193"/>
    </row>
    <row r="3" spans="1:11" x14ac:dyDescent="0.2">
      <c r="A3" s="13" t="s">
        <v>13</v>
      </c>
      <c r="B3" s="13" t="s">
        <v>2</v>
      </c>
    </row>
    <row r="4" spans="1:11" x14ac:dyDescent="0.2">
      <c r="A4" s="15" t="s">
        <v>62</v>
      </c>
      <c r="B4" s="15">
        <f>VLOOKUP(B3,'Data for Bill Impacts'!A19:D31,3,FALSE)</f>
        <v>1152</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5">
        <f>B4*B6</f>
        <v>1272.96</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0.24959722602331438</v>
      </c>
      <c r="K12" s="106"/>
    </row>
    <row r="13" spans="1:11" x14ac:dyDescent="0.2">
      <c r="A13" s="107" t="s">
        <v>32</v>
      </c>
      <c r="B13" s="73">
        <f>IF(B4&gt;B7,(B4)-B7,0)</f>
        <v>552</v>
      </c>
      <c r="C13" s="21">
        <v>0.121</v>
      </c>
      <c r="D13" s="22">
        <f>B13*C13</f>
        <v>66.792000000000002</v>
      </c>
      <c r="E13" s="73">
        <f t="shared" ref="E13" si="0">B13</f>
        <v>552</v>
      </c>
      <c r="F13" s="21">
        <f>C13</f>
        <v>0.121</v>
      </c>
      <c r="G13" s="22">
        <f>E13*F13</f>
        <v>66.792000000000002</v>
      </c>
      <c r="H13" s="22">
        <f t="shared" ref="H13:H46" si="1">G13-D13</f>
        <v>0</v>
      </c>
      <c r="I13" s="23">
        <f t="shared" ref="I13:I46" si="2">IF(ISERROR(H13/D13),0,(H13/D13))</f>
        <v>0</v>
      </c>
      <c r="J13" s="23">
        <f>G13/$G$46</f>
        <v>0.26975886602830446</v>
      </c>
      <c r="K13" s="108"/>
    </row>
    <row r="14" spans="1:11" s="1" customFormat="1" x14ac:dyDescent="0.2">
      <c r="A14" s="46" t="s">
        <v>33</v>
      </c>
      <c r="B14" s="24"/>
      <c r="C14" s="25"/>
      <c r="D14" s="25">
        <f>SUM(D12:D13)</f>
        <v>128.59199999999998</v>
      </c>
      <c r="E14" s="76"/>
      <c r="F14" s="25"/>
      <c r="G14" s="25">
        <f>SUM(G12:G13)</f>
        <v>128.59199999999998</v>
      </c>
      <c r="H14" s="25">
        <f t="shared" si="1"/>
        <v>0</v>
      </c>
      <c r="I14" s="27">
        <f t="shared" si="2"/>
        <v>0</v>
      </c>
      <c r="J14" s="27">
        <f>G14/$G$46</f>
        <v>0.51935609205161881</v>
      </c>
      <c r="K14" s="108"/>
    </row>
    <row r="15" spans="1:11" s="1" customFormat="1" x14ac:dyDescent="0.2">
      <c r="A15" s="109" t="s">
        <v>34</v>
      </c>
      <c r="B15" s="75">
        <f>B4*0.65</f>
        <v>748.80000000000007</v>
      </c>
      <c r="C15" s="28">
        <v>8.6999999999999994E-2</v>
      </c>
      <c r="D15" s="22">
        <f>B15*C15</f>
        <v>65.145600000000002</v>
      </c>
      <c r="E15" s="73">
        <f t="shared" ref="E15:F17" si="3">B15</f>
        <v>748.80000000000007</v>
      </c>
      <c r="F15" s="28">
        <f t="shared" si="3"/>
        <v>8.6999999999999994E-2</v>
      </c>
      <c r="G15" s="22">
        <f>E15*F15</f>
        <v>65.145600000000002</v>
      </c>
      <c r="H15" s="22">
        <f t="shared" si="1"/>
        <v>0</v>
      </c>
      <c r="I15" s="23">
        <f t="shared" si="2"/>
        <v>0</v>
      </c>
      <c r="J15" s="23"/>
      <c r="K15" s="108">
        <f t="shared" ref="K15:K26" si="4">G15/$G$51</f>
        <v>0.26471824917536579</v>
      </c>
    </row>
    <row r="16" spans="1:11" s="1" customFormat="1" x14ac:dyDescent="0.2">
      <c r="A16" s="109" t="s">
        <v>35</v>
      </c>
      <c r="B16" s="75">
        <f>B4*0.17</f>
        <v>195.84</v>
      </c>
      <c r="C16" s="28">
        <v>0.13200000000000001</v>
      </c>
      <c r="D16" s="22">
        <f>B16*C16</f>
        <v>25.85088</v>
      </c>
      <c r="E16" s="73">
        <f t="shared" si="3"/>
        <v>195.84</v>
      </c>
      <c r="F16" s="28">
        <f t="shared" si="3"/>
        <v>0.13200000000000001</v>
      </c>
      <c r="G16" s="22">
        <f>E16*F16</f>
        <v>25.85088</v>
      </c>
      <c r="H16" s="22">
        <f t="shared" si="1"/>
        <v>0</v>
      </c>
      <c r="I16" s="23">
        <f t="shared" si="2"/>
        <v>0</v>
      </c>
      <c r="J16" s="23"/>
      <c r="K16" s="108">
        <f t="shared" si="4"/>
        <v>0.10504469516348733</v>
      </c>
    </row>
    <row r="17" spans="1:11" s="1" customFormat="1" x14ac:dyDescent="0.2">
      <c r="A17" s="109" t="s">
        <v>36</v>
      </c>
      <c r="B17" s="75">
        <f>B4*0.18</f>
        <v>207.35999999999999</v>
      </c>
      <c r="C17" s="28">
        <v>0.18</v>
      </c>
      <c r="D17" s="22">
        <f>B17*C17</f>
        <v>37.324799999999996</v>
      </c>
      <c r="E17" s="73">
        <f t="shared" si="3"/>
        <v>207.35999999999999</v>
      </c>
      <c r="F17" s="28">
        <f t="shared" si="3"/>
        <v>0.18</v>
      </c>
      <c r="G17" s="22">
        <f>E17*F17</f>
        <v>37.324799999999996</v>
      </c>
      <c r="H17" s="22">
        <f t="shared" si="1"/>
        <v>0</v>
      </c>
      <c r="I17" s="23">
        <f t="shared" si="2"/>
        <v>0</v>
      </c>
      <c r="J17" s="23"/>
      <c r="K17" s="108">
        <f t="shared" si="4"/>
        <v>0.15166881119861805</v>
      </c>
    </row>
    <row r="18" spans="1:11" s="1" customFormat="1" x14ac:dyDescent="0.2">
      <c r="A18" s="61" t="s">
        <v>37</v>
      </c>
      <c r="B18" s="29"/>
      <c r="C18" s="30"/>
      <c r="D18" s="30">
        <f>SUM(D15:D17)</f>
        <v>128.32128</v>
      </c>
      <c r="E18" s="77"/>
      <c r="F18" s="30"/>
      <c r="G18" s="30">
        <f>SUM(G15:G17)</f>
        <v>128.32128</v>
      </c>
      <c r="H18" s="31">
        <f t="shared" si="1"/>
        <v>0</v>
      </c>
      <c r="I18" s="32">
        <f t="shared" si="2"/>
        <v>0</v>
      </c>
      <c r="J18" s="33">
        <f t="shared" ref="J18:J26" si="5">G18/$G$46</f>
        <v>0.51826271080519437</v>
      </c>
      <c r="K18" s="62">
        <f t="shared" si="4"/>
        <v>0.52143175553747112</v>
      </c>
    </row>
    <row r="19" spans="1:11" x14ac:dyDescent="0.2">
      <c r="A19" s="107" t="s">
        <v>116</v>
      </c>
      <c r="B19" s="73">
        <v>1</v>
      </c>
      <c r="C19" s="78">
        <f>VLOOKUP($B$3,'Data for Bill Impacts'!$A$3:$Y$15,7,0)</f>
        <v>19.829999999999998</v>
      </c>
      <c r="D19" s="22">
        <f>B19*C19</f>
        <v>19.829999999999998</v>
      </c>
      <c r="E19" s="73">
        <f t="shared" ref="E19:E41" si="6">B19</f>
        <v>1</v>
      </c>
      <c r="F19" s="122">
        <f>VLOOKUP($B$3,'Data for Bill Impacts'!$A$3:$Y$15,17,0)</f>
        <v>25.109678307903934</v>
      </c>
      <c r="G19" s="22">
        <f>E19*F19</f>
        <v>25.109678307903934</v>
      </c>
      <c r="H19" s="22">
        <f t="shared" si="1"/>
        <v>5.2796783079039358</v>
      </c>
      <c r="I19" s="23">
        <f t="shared" si="2"/>
        <v>0.26624701502289139</v>
      </c>
      <c r="J19" s="23">
        <f t="shared" si="5"/>
        <v>0.101412719287874</v>
      </c>
      <c r="K19" s="108">
        <f t="shared" si="4"/>
        <v>0.1020328322868312</v>
      </c>
    </row>
    <row r="20" spans="1:11" hidden="1" x14ac:dyDescent="0.2">
      <c r="A20" s="107" t="s">
        <v>113</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1.36</v>
      </c>
      <c r="D21" s="22">
        <f t="shared" si="7"/>
        <v>1.36</v>
      </c>
      <c r="E21" s="73">
        <f t="shared" si="6"/>
        <v>1</v>
      </c>
      <c r="F21" s="122">
        <f>VLOOKUP($B$3,'Data for Bill Impacts'!$A$3:$Y$15,22,0)</f>
        <v>-0.02</v>
      </c>
      <c r="G21" s="22">
        <f t="shared" si="8"/>
        <v>-0.02</v>
      </c>
      <c r="H21" s="22">
        <f t="shared" si="1"/>
        <v>-1.3800000000000001</v>
      </c>
      <c r="I21" s="23">
        <f t="shared" si="2"/>
        <v>-1.0147058823529411</v>
      </c>
      <c r="J21" s="23">
        <f t="shared" si="5"/>
        <v>-8.0775801302043502E-5</v>
      </c>
      <c r="K21" s="108">
        <f t="shared" si="4"/>
        <v>-8.1269724793498193E-5</v>
      </c>
    </row>
    <row r="22" spans="1:11" hidden="1" x14ac:dyDescent="0.2">
      <c r="A22" s="107" t="s">
        <v>123</v>
      </c>
      <c r="B22" s="73">
        <f>B4</f>
        <v>1152</v>
      </c>
      <c r="C22" s="78">
        <v>0</v>
      </c>
      <c r="D22" s="22">
        <f>B22*C22</f>
        <v>0</v>
      </c>
      <c r="E22" s="73">
        <f>B22</f>
        <v>1152</v>
      </c>
      <c r="F22" s="78">
        <f>C22</f>
        <v>0</v>
      </c>
      <c r="G22" s="22">
        <f>E22*F22</f>
        <v>0</v>
      </c>
      <c r="H22" s="22">
        <f>G22-D22</f>
        <v>0</v>
      </c>
      <c r="I22" s="23">
        <f>IF(ISERROR(H22/D22),0,(H22/D22))</f>
        <v>0</v>
      </c>
      <c r="J22" s="23">
        <f t="shared" si="5"/>
        <v>0</v>
      </c>
      <c r="K22" s="108">
        <f t="shared" si="4"/>
        <v>0</v>
      </c>
    </row>
    <row r="23" spans="1:11" x14ac:dyDescent="0.2">
      <c r="A23" s="107" t="s">
        <v>39</v>
      </c>
      <c r="B23" s="73">
        <f>IF($B$9="kWh",$B$4,$B$5)</f>
        <v>1152</v>
      </c>
      <c r="C23" s="78">
        <f>VLOOKUP($B$3,'Data for Bill Impacts'!$A$3:$Y$15,10,0)</f>
        <v>3.7400000000000003E-2</v>
      </c>
      <c r="D23" s="22">
        <f>B23*C23</f>
        <v>43.084800000000001</v>
      </c>
      <c r="E23" s="73">
        <f t="shared" si="6"/>
        <v>1152</v>
      </c>
      <c r="F23" s="78">
        <f>VLOOKUP($B$3,'Data for Bill Impacts'!$A$3:$Y$15,19,0)</f>
        <v>3.6299999999999999E-2</v>
      </c>
      <c r="G23" s="22">
        <f>E23*F23</f>
        <v>41.817599999999999</v>
      </c>
      <c r="H23" s="22">
        <f t="shared" si="1"/>
        <v>-1.2672000000000025</v>
      </c>
      <c r="I23" s="23">
        <f t="shared" si="2"/>
        <v>-2.9411764705882412E-2</v>
      </c>
      <c r="J23" s="23">
        <f t="shared" si="5"/>
        <v>0.1688925074264167</v>
      </c>
      <c r="K23" s="108">
        <f t="shared" si="4"/>
        <v>0.16992524217622948</v>
      </c>
    </row>
    <row r="24" spans="1:11" x14ac:dyDescent="0.2">
      <c r="A24" s="107" t="s">
        <v>124</v>
      </c>
      <c r="B24" s="73">
        <f>IF($B$9="kWh",$B$4,$B$5)</f>
        <v>1152</v>
      </c>
      <c r="C24" s="126">
        <f>VLOOKUP($B$3,'Data for Bill Impacts'!$A$3:$Y$15,14,0)</f>
        <v>0</v>
      </c>
      <c r="D24" s="22">
        <f>B24*C24</f>
        <v>0</v>
      </c>
      <c r="E24" s="73">
        <f>B24</f>
        <v>1152</v>
      </c>
      <c r="F24" s="126">
        <f>VLOOKUP($B$3,'Data for Bill Impacts'!$A$3:$Y$15,23,0)</f>
        <v>2.0000000000000001E-4</v>
      </c>
      <c r="G24" s="22">
        <f>E24*F24</f>
        <v>0.23040000000000002</v>
      </c>
      <c r="H24" s="22">
        <f>G24-D24</f>
        <v>0.23040000000000002</v>
      </c>
      <c r="I24" s="23">
        <f>IF(ISERROR(H24/D24),0,(H24/D24))</f>
        <v>0</v>
      </c>
      <c r="J24" s="23">
        <f t="shared" si="5"/>
        <v>9.3053723099954116E-4</v>
      </c>
      <c r="K24" s="108">
        <f t="shared" si="4"/>
        <v>9.3622722962109924E-4</v>
      </c>
    </row>
    <row r="25" spans="1:11" s="1" customFormat="1" x14ac:dyDescent="0.2">
      <c r="A25" s="110" t="s">
        <v>72</v>
      </c>
      <c r="B25" s="74"/>
      <c r="C25" s="35"/>
      <c r="D25" s="35">
        <f>SUM(D19:D24)</f>
        <v>64.274799999999999</v>
      </c>
      <c r="E25" s="73"/>
      <c r="F25" s="35"/>
      <c r="G25" s="35">
        <f>SUM(G19:G24)</f>
        <v>67.13767830790394</v>
      </c>
      <c r="H25" s="35">
        <f t="shared" si="1"/>
        <v>2.8628783079039408</v>
      </c>
      <c r="I25" s="36">
        <f t="shared" si="2"/>
        <v>4.454122467753989E-2</v>
      </c>
      <c r="J25" s="36">
        <f t="shared" si="5"/>
        <v>0.27115498814398825</v>
      </c>
      <c r="K25" s="111">
        <f t="shared" si="4"/>
        <v>0.27281303196788831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3.1906441514307185E-3</v>
      </c>
      <c r="K26" s="108">
        <f t="shared" si="4"/>
        <v>3.2101541293431787E-3</v>
      </c>
    </row>
    <row r="27" spans="1:11" s="1" customFormat="1" x14ac:dyDescent="0.2">
      <c r="A27" s="119" t="s">
        <v>75</v>
      </c>
      <c r="B27" s="120">
        <f>B8-B4</f>
        <v>120.96000000000004</v>
      </c>
      <c r="C27" s="121">
        <f>IF(B4&gt;B7,C13,C12)</f>
        <v>0.121</v>
      </c>
      <c r="D27" s="22">
        <f>B27*C27</f>
        <v>14.636160000000004</v>
      </c>
      <c r="E27" s="73">
        <f>B27</f>
        <v>120.96000000000004</v>
      </c>
      <c r="F27" s="121">
        <f>C27</f>
        <v>0.121</v>
      </c>
      <c r="G27" s="22">
        <f>E27*F27</f>
        <v>14.636160000000004</v>
      </c>
      <c r="H27" s="22">
        <f t="shared" si="1"/>
        <v>0</v>
      </c>
      <c r="I27" s="23">
        <f>IF(ISERROR(H27/D27),0,(H27/D27))</f>
        <v>0</v>
      </c>
      <c r="J27" s="23">
        <f t="shared" ref="J27:J46" si="9">G27/$G$46</f>
        <v>5.9112377599245862E-2</v>
      </c>
      <c r="K27" s="108">
        <f t="shared" ref="K27:K41" si="10">G27/$G$51</f>
        <v>5.947383476168034E-2</v>
      </c>
    </row>
    <row r="28" spans="1:11" s="1" customFormat="1" x14ac:dyDescent="0.2">
      <c r="A28" s="119" t="s">
        <v>74</v>
      </c>
      <c r="B28" s="120">
        <f>B8-B4</f>
        <v>120.96000000000004</v>
      </c>
      <c r="C28" s="121">
        <f>0.65*C15+0.17*C16+0.18*C17</f>
        <v>0.11139</v>
      </c>
      <c r="D28" s="22">
        <f>B28*C28</f>
        <v>13.473734400000005</v>
      </c>
      <c r="E28" s="73">
        <f>B28</f>
        <v>120.96000000000004</v>
      </c>
      <c r="F28" s="121">
        <f>C28</f>
        <v>0.11139</v>
      </c>
      <c r="G28" s="22">
        <f>E28*F28</f>
        <v>13.473734400000005</v>
      </c>
      <c r="H28" s="22">
        <f t="shared" si="1"/>
        <v>0</v>
      </c>
      <c r="I28" s="23">
        <f>IF(ISERROR(H28/D28),0,(H28/D28))</f>
        <v>0</v>
      </c>
      <c r="J28" s="23">
        <f t="shared" si="9"/>
        <v>5.4417584634545435E-2</v>
      </c>
      <c r="K28" s="108">
        <f t="shared" si="10"/>
        <v>5.4750334331434496E-2</v>
      </c>
    </row>
    <row r="29" spans="1:11" s="1" customFormat="1" x14ac:dyDescent="0.2">
      <c r="A29" s="110" t="s">
        <v>78</v>
      </c>
      <c r="B29" s="74"/>
      <c r="C29" s="35"/>
      <c r="D29" s="35">
        <f>SUM(D25,D26:D27)</f>
        <v>79.700960000000009</v>
      </c>
      <c r="E29" s="73"/>
      <c r="F29" s="35"/>
      <c r="G29" s="35">
        <f>SUM(G25,G26:G27)</f>
        <v>82.56383830790395</v>
      </c>
      <c r="H29" s="35">
        <f t="shared" si="1"/>
        <v>2.8628783079039408</v>
      </c>
      <c r="I29" s="36">
        <f>IF(ISERROR(H29/D29),0,(H29/D29))</f>
        <v>3.5920248738584085E-2</v>
      </c>
      <c r="J29" s="36">
        <f t="shared" si="9"/>
        <v>0.33345800989466484</v>
      </c>
      <c r="K29" s="111">
        <f t="shared" si="10"/>
        <v>0.33549702085891187</v>
      </c>
    </row>
    <row r="30" spans="1:11" s="1" customFormat="1" x14ac:dyDescent="0.2">
      <c r="A30" s="110" t="s">
        <v>77</v>
      </c>
      <c r="B30" s="74"/>
      <c r="C30" s="35"/>
      <c r="D30" s="35">
        <f>SUM(D25,D26,D28)</f>
        <v>78.538534400000003</v>
      </c>
      <c r="E30" s="73"/>
      <c r="F30" s="35"/>
      <c r="G30" s="35">
        <f>SUM(G25,G26,G28)</f>
        <v>81.401412707903944</v>
      </c>
      <c r="H30" s="35">
        <f t="shared" si="1"/>
        <v>2.8628783079039408</v>
      </c>
      <c r="I30" s="36">
        <f>IF(ISERROR(H30/D30),0,(H30/D30))</f>
        <v>3.6451893707656717E-2</v>
      </c>
      <c r="J30" s="36">
        <f t="shared" si="9"/>
        <v>0.32876321692996435</v>
      </c>
      <c r="K30" s="111">
        <f t="shared" si="10"/>
        <v>0.33077352042866598</v>
      </c>
    </row>
    <row r="31" spans="1:11" x14ac:dyDescent="0.2">
      <c r="A31" s="107" t="s">
        <v>40</v>
      </c>
      <c r="B31" s="73">
        <f>B8</f>
        <v>1272.96</v>
      </c>
      <c r="C31" s="78">
        <f>VLOOKUP($B$3,'Data for Bill Impacts'!$A$3:$Y$15,15,0)</f>
        <v>6.1999999999999998E-3</v>
      </c>
      <c r="D31" s="22">
        <f>B31*C31</f>
        <v>7.8923519999999998</v>
      </c>
      <c r="E31" s="73">
        <f t="shared" si="6"/>
        <v>1272.96</v>
      </c>
      <c r="F31" s="126">
        <f>VLOOKUP($B$3,'Data for Bill Impacts'!$A$3:$Y$15,24,0)</f>
        <v>6.7400000000000003E-3</v>
      </c>
      <c r="G31" s="22">
        <f>E31*F31</f>
        <v>8.5797504</v>
      </c>
      <c r="H31" s="22">
        <f t="shared" si="1"/>
        <v>0.68739840000000019</v>
      </c>
      <c r="I31" s="23">
        <f t="shared" si="2"/>
        <v>8.7096774193548415E-2</v>
      </c>
      <c r="J31" s="23">
        <f t="shared" si="9"/>
        <v>3.4651810676576411E-2</v>
      </c>
      <c r="K31" s="108">
        <f t="shared" si="10"/>
        <v>3.4863697690245297E-2</v>
      </c>
    </row>
    <row r="32" spans="1:11" x14ac:dyDescent="0.2">
      <c r="A32" s="107" t="s">
        <v>41</v>
      </c>
      <c r="B32" s="73">
        <f>B8</f>
        <v>1272.96</v>
      </c>
      <c r="C32" s="78">
        <f>VLOOKUP($B$3,'Data for Bill Impacts'!$A$3:$Y$15,16,0)</f>
        <v>4.4000000000000003E-3</v>
      </c>
      <c r="D32" s="22">
        <f>B32*C32</f>
        <v>5.6010240000000007</v>
      </c>
      <c r="E32" s="73">
        <f t="shared" si="6"/>
        <v>1272.96</v>
      </c>
      <c r="F32" s="126">
        <f>VLOOKUP($B$3,'Data for Bill Impacts'!$A$3:$Y$15,25,0)</f>
        <v>5.6299999999999996E-3</v>
      </c>
      <c r="G32" s="22">
        <f>E32*F32</f>
        <v>7.1667647999999993</v>
      </c>
      <c r="H32" s="22">
        <f t="shared" si="1"/>
        <v>1.5657407999999986</v>
      </c>
      <c r="I32" s="23">
        <f t="shared" si="2"/>
        <v>0.27954545454545426</v>
      </c>
      <c r="J32" s="23">
        <f t="shared" si="9"/>
        <v>2.8945058473163972E-2</v>
      </c>
      <c r="K32" s="108">
        <f t="shared" si="10"/>
        <v>2.9122050147786502E-2</v>
      </c>
    </row>
    <row r="33" spans="1:11" s="1" customFormat="1" x14ac:dyDescent="0.2">
      <c r="A33" s="110" t="s">
        <v>76</v>
      </c>
      <c r="B33" s="74"/>
      <c r="C33" s="35"/>
      <c r="D33" s="35">
        <f>SUM(D31:D32)</f>
        <v>13.493376000000001</v>
      </c>
      <c r="E33" s="73"/>
      <c r="F33" s="35"/>
      <c r="G33" s="35">
        <f>SUM(G31:G32)</f>
        <v>15.746515199999999</v>
      </c>
      <c r="H33" s="35">
        <f t="shared" si="1"/>
        <v>2.2531391999999979</v>
      </c>
      <c r="I33" s="36">
        <f t="shared" si="2"/>
        <v>0.16698113207547152</v>
      </c>
      <c r="J33" s="36">
        <f t="shared" si="9"/>
        <v>6.3596869149740387E-2</v>
      </c>
      <c r="K33" s="111">
        <f t="shared" si="10"/>
        <v>6.3985747838031806E-2</v>
      </c>
    </row>
    <row r="34" spans="1:11" s="1" customFormat="1" x14ac:dyDescent="0.2">
      <c r="A34" s="110" t="s">
        <v>91</v>
      </c>
      <c r="B34" s="74"/>
      <c r="C34" s="35"/>
      <c r="D34" s="35">
        <f>D29+D33</f>
        <v>93.194336000000007</v>
      </c>
      <c r="E34" s="73"/>
      <c r="F34" s="35"/>
      <c r="G34" s="35">
        <f>G29+G33</f>
        <v>98.310353507903955</v>
      </c>
      <c r="H34" s="35">
        <f t="shared" si="1"/>
        <v>5.1160175079039476</v>
      </c>
      <c r="I34" s="36">
        <f t="shared" si="2"/>
        <v>5.4896227898484598E-2</v>
      </c>
      <c r="J34" s="36">
        <f t="shared" si="9"/>
        <v>0.39705487904440523</v>
      </c>
      <c r="K34" s="111">
        <f t="shared" si="10"/>
        <v>0.39948276869694366</v>
      </c>
    </row>
    <row r="35" spans="1:11" s="1" customFormat="1" x14ac:dyDescent="0.2">
      <c r="A35" s="110" t="s">
        <v>92</v>
      </c>
      <c r="B35" s="74"/>
      <c r="C35" s="35"/>
      <c r="D35" s="35">
        <f>D30+D33</f>
        <v>92.031910400000001</v>
      </c>
      <c r="E35" s="73"/>
      <c r="F35" s="35"/>
      <c r="G35" s="35">
        <f>G30+G33</f>
        <v>97.147927907903949</v>
      </c>
      <c r="H35" s="35">
        <f t="shared" si="1"/>
        <v>5.1160175079039476</v>
      </c>
      <c r="I35" s="36">
        <f t="shared" si="2"/>
        <v>5.5589604580282052E-2</v>
      </c>
      <c r="J35" s="36">
        <f t="shared" si="9"/>
        <v>0.3923600860797048</v>
      </c>
      <c r="K35" s="111">
        <f t="shared" si="10"/>
        <v>0.39475926826669783</v>
      </c>
    </row>
    <row r="36" spans="1:11" x14ac:dyDescent="0.2">
      <c r="A36" s="107" t="s">
        <v>42</v>
      </c>
      <c r="B36" s="73">
        <f>B8</f>
        <v>1272.96</v>
      </c>
      <c r="C36" s="34">
        <v>3.5999999999999999E-3</v>
      </c>
      <c r="D36" s="22">
        <f>B36*C36</f>
        <v>4.5826560000000001</v>
      </c>
      <c r="E36" s="73">
        <f t="shared" si="6"/>
        <v>1272.96</v>
      </c>
      <c r="F36" s="34">
        <v>3.5999999999999999E-3</v>
      </c>
      <c r="G36" s="22">
        <f>E36*F36</f>
        <v>4.5826560000000001</v>
      </c>
      <c r="H36" s="22">
        <f t="shared" si="1"/>
        <v>0</v>
      </c>
      <c r="I36" s="23">
        <f t="shared" si="2"/>
        <v>0</v>
      </c>
      <c r="J36" s="23">
        <f t="shared" si="9"/>
        <v>1.8508385524580874E-2</v>
      </c>
      <c r="K36" s="108">
        <f t="shared" si="10"/>
        <v>1.8621559597163662E-2</v>
      </c>
    </row>
    <row r="37" spans="1:11" x14ac:dyDescent="0.2">
      <c r="A37" s="107" t="s">
        <v>43</v>
      </c>
      <c r="B37" s="73">
        <f>B8</f>
        <v>1272.96</v>
      </c>
      <c r="C37" s="34">
        <v>2.0999999999999999E-3</v>
      </c>
      <c r="D37" s="22">
        <f>B37*C37</f>
        <v>2.673216</v>
      </c>
      <c r="E37" s="73">
        <f t="shared" si="6"/>
        <v>1272.96</v>
      </c>
      <c r="F37" s="34">
        <v>2.0999999999999999E-3</v>
      </c>
      <c r="G37" s="22">
        <f>E37*F37</f>
        <v>2.673216</v>
      </c>
      <c r="H37" s="22">
        <f>G37-D37</f>
        <v>0</v>
      </c>
      <c r="I37" s="23">
        <f t="shared" si="2"/>
        <v>0</v>
      </c>
      <c r="J37" s="23">
        <f t="shared" si="9"/>
        <v>1.0796558222672175E-2</v>
      </c>
      <c r="K37" s="108">
        <f t="shared" si="10"/>
        <v>1.0862576431678803E-2</v>
      </c>
    </row>
    <row r="38" spans="1:11" x14ac:dyDescent="0.2">
      <c r="A38" s="107" t="s">
        <v>96</v>
      </c>
      <c r="B38" s="73">
        <f>B8</f>
        <v>1272.96</v>
      </c>
      <c r="C38" s="34">
        <v>1.1000000000000001E-3</v>
      </c>
      <c r="D38" s="22">
        <f>B38*C38</f>
        <v>1.4002560000000002</v>
      </c>
      <c r="E38" s="73">
        <f t="shared" si="6"/>
        <v>1272.96</v>
      </c>
      <c r="F38" s="34">
        <v>1.1000000000000001E-3</v>
      </c>
      <c r="G38" s="22">
        <f>E38*F38</f>
        <v>1.4002560000000002</v>
      </c>
      <c r="H38" s="22">
        <f>G38-D38</f>
        <v>0</v>
      </c>
      <c r="I38" s="23">
        <f t="shared" si="2"/>
        <v>0</v>
      </c>
      <c r="J38" s="23">
        <f t="shared" si="9"/>
        <v>5.6553400213997119E-3</v>
      </c>
      <c r="K38" s="108">
        <f t="shared" si="10"/>
        <v>5.6899209880222311E-3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1.0096975162755437E-3</v>
      </c>
      <c r="K39" s="108">
        <f t="shared" si="10"/>
        <v>1.0158715599187273E-3</v>
      </c>
    </row>
    <row r="40" spans="1:11" s="1" customFormat="1" x14ac:dyDescent="0.2">
      <c r="A40" s="110" t="s">
        <v>45</v>
      </c>
      <c r="B40" s="74"/>
      <c r="C40" s="35"/>
      <c r="D40" s="35">
        <f>SUM(D36:D39)</f>
        <v>8.9061280000000007</v>
      </c>
      <c r="E40" s="73"/>
      <c r="F40" s="35"/>
      <c r="G40" s="35">
        <f>SUM(G36:G39)</f>
        <v>8.9061280000000007</v>
      </c>
      <c r="H40" s="35">
        <f t="shared" si="1"/>
        <v>0</v>
      </c>
      <c r="I40" s="36">
        <f t="shared" si="2"/>
        <v>0</v>
      </c>
      <c r="J40" s="36">
        <f t="shared" si="9"/>
        <v>3.5969981284928308E-2</v>
      </c>
      <c r="K40" s="111">
        <f t="shared" si="10"/>
        <v>3.6189928576783423E-2</v>
      </c>
    </row>
    <row r="41" spans="1:11" s="1" customFormat="1" ht="13.5" thickBot="1" x14ac:dyDescent="0.25">
      <c r="A41" s="112" t="s">
        <v>46</v>
      </c>
      <c r="B41" s="113">
        <f>B4</f>
        <v>1152</v>
      </c>
      <c r="C41" s="114">
        <v>0</v>
      </c>
      <c r="D41" s="115">
        <f>B41*C41</f>
        <v>0</v>
      </c>
      <c r="E41" s="116">
        <f t="shared" si="6"/>
        <v>1152</v>
      </c>
      <c r="F41" s="114">
        <f>C41</f>
        <v>0</v>
      </c>
      <c r="G41" s="115">
        <f>E41*F41</f>
        <v>0</v>
      </c>
      <c r="H41" s="115">
        <f t="shared" si="1"/>
        <v>0</v>
      </c>
      <c r="I41" s="117">
        <f t="shared" si="2"/>
        <v>0</v>
      </c>
      <c r="J41" s="117">
        <f t="shared" si="9"/>
        <v>0</v>
      </c>
      <c r="K41" s="118">
        <f t="shared" si="10"/>
        <v>0</v>
      </c>
    </row>
    <row r="42" spans="1:11" s="1" customFormat="1" x14ac:dyDescent="0.2">
      <c r="A42" s="37" t="s">
        <v>105</v>
      </c>
      <c r="B42" s="38"/>
      <c r="C42" s="39"/>
      <c r="D42" s="39">
        <f>SUM(D14,D25,D26,D27,D33,D40,D41)</f>
        <v>230.692464</v>
      </c>
      <c r="E42" s="38"/>
      <c r="F42" s="39"/>
      <c r="G42" s="39">
        <f>SUM(G14,G25,G26,G27,G33,G40,G41)</f>
        <v>235.80848150790393</v>
      </c>
      <c r="H42" s="39">
        <f t="shared" si="1"/>
        <v>5.1160175079039334</v>
      </c>
      <c r="I42" s="40">
        <f>IF(ISERROR(H42/D42),0,(H42/D42))</f>
        <v>2.217678644198769E-2</v>
      </c>
      <c r="J42" s="40">
        <f t="shared" si="9"/>
        <v>0.95238095238095233</v>
      </c>
      <c r="K42" s="41"/>
    </row>
    <row r="43" spans="1:11" x14ac:dyDescent="0.2">
      <c r="A43" s="154" t="s">
        <v>106</v>
      </c>
      <c r="B43" s="43"/>
      <c r="C43" s="26">
        <v>0.13</v>
      </c>
      <c r="D43" s="26">
        <f>D42*C43</f>
        <v>29.990020320000003</v>
      </c>
      <c r="E43" s="26"/>
      <c r="F43" s="26">
        <f>C43</f>
        <v>0.13</v>
      </c>
      <c r="G43" s="26">
        <f>G42*F43</f>
        <v>30.655102596027511</v>
      </c>
      <c r="H43" s="26">
        <f t="shared" si="1"/>
        <v>0.66508227602750836</v>
      </c>
      <c r="I43" s="44">
        <f t="shared" si="2"/>
        <v>2.2176786441987589E-2</v>
      </c>
      <c r="J43" s="44">
        <f t="shared" si="9"/>
        <v>0.1238095238095238</v>
      </c>
      <c r="K43" s="45"/>
    </row>
    <row r="44" spans="1:11" s="1" customFormat="1" x14ac:dyDescent="0.2">
      <c r="A44" s="46" t="s">
        <v>107</v>
      </c>
      <c r="B44" s="24"/>
      <c r="C44" s="25"/>
      <c r="D44" s="25">
        <f>SUM(D42:D43)</f>
        <v>260.68248432000001</v>
      </c>
      <c r="E44" s="25"/>
      <c r="F44" s="25"/>
      <c r="G44" s="25">
        <f>SUM(G42:G43)</f>
        <v>266.46358410393145</v>
      </c>
      <c r="H44" s="25">
        <f t="shared" si="1"/>
        <v>5.7810997839314382</v>
      </c>
      <c r="I44" s="27">
        <f t="shared" si="2"/>
        <v>2.2176786441987666E-2</v>
      </c>
      <c r="J44" s="27">
        <f t="shared" si="9"/>
        <v>1.0761904761904761</v>
      </c>
      <c r="K44" s="47"/>
    </row>
    <row r="45" spans="1:11" x14ac:dyDescent="0.2">
      <c r="A45" s="42" t="s">
        <v>108</v>
      </c>
      <c r="B45" s="43"/>
      <c r="C45" s="26">
        <v>-0.08</v>
      </c>
      <c r="D45" s="26">
        <f>D42*C45</f>
        <v>-18.455397120000001</v>
      </c>
      <c r="E45" s="26"/>
      <c r="F45" s="26">
        <f>C45</f>
        <v>-0.08</v>
      </c>
      <c r="G45" s="26">
        <f>G42*F45</f>
        <v>-18.864678520632314</v>
      </c>
      <c r="H45" s="26">
        <f t="shared" si="1"/>
        <v>-0.40928140063231311</v>
      </c>
      <c r="I45" s="44">
        <f t="shared" si="2"/>
        <v>2.2176786441987607E-2</v>
      </c>
      <c r="J45" s="44">
        <f t="shared" si="9"/>
        <v>-7.6190476190476183E-2</v>
      </c>
      <c r="K45" s="45"/>
    </row>
    <row r="46" spans="1:11" s="1" customFormat="1" ht="13.5" thickBot="1" x14ac:dyDescent="0.25">
      <c r="A46" s="48" t="s">
        <v>109</v>
      </c>
      <c r="B46" s="49"/>
      <c r="C46" s="50"/>
      <c r="D46" s="50">
        <f>SUM(D44:D45)</f>
        <v>242.22708720000003</v>
      </c>
      <c r="E46" s="50"/>
      <c r="F46" s="50"/>
      <c r="G46" s="50">
        <f>SUM(G44:G45)</f>
        <v>247.59890558329914</v>
      </c>
      <c r="H46" s="50">
        <f t="shared" si="1"/>
        <v>5.3718183832991144</v>
      </c>
      <c r="I46" s="51">
        <f t="shared" si="2"/>
        <v>2.2176786441987624E-2</v>
      </c>
      <c r="J46" s="51">
        <f t="shared" si="9"/>
        <v>1</v>
      </c>
      <c r="K46" s="52"/>
    </row>
    <row r="47" spans="1:11" x14ac:dyDescent="0.2">
      <c r="A47" s="53" t="s">
        <v>110</v>
      </c>
      <c r="B47" s="54"/>
      <c r="C47" s="55"/>
      <c r="D47" s="55">
        <f>SUM(D18,D25,D26,D28,D33,D40,D41)</f>
        <v>229.25931840000001</v>
      </c>
      <c r="E47" s="55"/>
      <c r="F47" s="55"/>
      <c r="G47" s="55">
        <f>SUM(G18,G25,G26,G28,G33,G40,G41)</f>
        <v>234.37533590790395</v>
      </c>
      <c r="H47" s="55">
        <f>G47-D47</f>
        <v>5.1160175079039334</v>
      </c>
      <c r="I47" s="56">
        <f>IF(ISERROR(H47/D47),0,(H47/D47))</f>
        <v>2.2315417945096418E-2</v>
      </c>
      <c r="J47" s="56"/>
      <c r="K47" s="57">
        <f>G47/$G$51</f>
        <v>0.95238095238095233</v>
      </c>
    </row>
    <row r="48" spans="1:11" x14ac:dyDescent="0.2">
      <c r="A48" s="58" t="s">
        <v>106</v>
      </c>
      <c r="B48" s="59"/>
      <c r="C48" s="31">
        <v>0.13</v>
      </c>
      <c r="D48" s="31">
        <f>D47*C48</f>
        <v>29.803711392000004</v>
      </c>
      <c r="E48" s="31"/>
      <c r="F48" s="31">
        <f>C48</f>
        <v>0.13</v>
      </c>
      <c r="G48" s="31">
        <f>G47*F48</f>
        <v>30.468793668027512</v>
      </c>
      <c r="H48" s="31">
        <f>G48-D48</f>
        <v>0.66508227602750836</v>
      </c>
      <c r="I48" s="32">
        <f>IF(ISERROR(H48/D48),0,(H48/D48))</f>
        <v>2.2315417945096314E-2</v>
      </c>
      <c r="J48" s="32"/>
      <c r="K48" s="60">
        <f>G48/$G$51</f>
        <v>0.1238095238095238</v>
      </c>
    </row>
    <row r="49" spans="1:11" x14ac:dyDescent="0.2">
      <c r="A49" s="61" t="s">
        <v>111</v>
      </c>
      <c r="B49" s="29"/>
      <c r="C49" s="30"/>
      <c r="D49" s="30">
        <f>SUM(D47:D48)</f>
        <v>259.06302979200001</v>
      </c>
      <c r="E49" s="30"/>
      <c r="F49" s="30"/>
      <c r="G49" s="30">
        <f>SUM(G47:G48)</f>
        <v>264.84412957593145</v>
      </c>
      <c r="H49" s="30">
        <f>G49-D49</f>
        <v>5.7810997839314382</v>
      </c>
      <c r="I49" s="33">
        <f>IF(ISERROR(H49/D49),0,(H49/D49))</f>
        <v>2.2315417945096391E-2</v>
      </c>
      <c r="J49" s="33"/>
      <c r="K49" s="62">
        <f>G49/$G$51</f>
        <v>1.0761904761904761</v>
      </c>
    </row>
    <row r="50" spans="1:11" x14ac:dyDescent="0.2">
      <c r="A50" s="58" t="s">
        <v>108</v>
      </c>
      <c r="B50" s="59"/>
      <c r="C50" s="31">
        <v>-0.08</v>
      </c>
      <c r="D50" s="31">
        <f>D47*C50</f>
        <v>-18.340745472000002</v>
      </c>
      <c r="E50" s="31"/>
      <c r="F50" s="31">
        <f>C50</f>
        <v>-0.08</v>
      </c>
      <c r="G50" s="31">
        <f>G47*F50</f>
        <v>-18.750026872632315</v>
      </c>
      <c r="H50" s="31">
        <f>G50-D50</f>
        <v>-0.40928140063231311</v>
      </c>
      <c r="I50" s="32">
        <f>IF(ISERROR(H50/D50),0,(H50/D50))</f>
        <v>2.2315417945096332E-2</v>
      </c>
      <c r="J50" s="32"/>
      <c r="K50" s="60">
        <f>G50/$G$51</f>
        <v>-7.6190476190476183E-2</v>
      </c>
    </row>
    <row r="51" spans="1:11" ht="13.5" thickBot="1" x14ac:dyDescent="0.25">
      <c r="A51" s="63" t="s">
        <v>121</v>
      </c>
      <c r="B51" s="64"/>
      <c r="C51" s="65"/>
      <c r="D51" s="65">
        <f>SUM(D49:D50)</f>
        <v>240.72228432</v>
      </c>
      <c r="E51" s="65"/>
      <c r="F51" s="65"/>
      <c r="G51" s="65">
        <f>SUM(G49:G50)</f>
        <v>246.09410270329914</v>
      </c>
      <c r="H51" s="65">
        <f>G51-D51</f>
        <v>5.3718183832991429</v>
      </c>
      <c r="I51" s="66">
        <f>IF(ISERROR(H51/D51),0,(H51/D51))</f>
        <v>2.231541794509647E-2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101</v>
      </c>
      <c r="B1" s="192"/>
      <c r="C1" s="192"/>
      <c r="D1" s="192"/>
      <c r="E1" s="192"/>
      <c r="F1" s="192"/>
      <c r="G1" s="192"/>
      <c r="H1" s="192"/>
      <c r="I1" s="192"/>
      <c r="J1" s="192"/>
      <c r="K1" s="193"/>
    </row>
    <row r="3" spans="1:11" x14ac:dyDescent="0.2">
      <c r="A3" s="13" t="s">
        <v>13</v>
      </c>
      <c r="B3" s="13" t="s">
        <v>2</v>
      </c>
    </row>
    <row r="4" spans="1:11" x14ac:dyDescent="0.2">
      <c r="A4" s="15" t="s">
        <v>62</v>
      </c>
      <c r="B4" s="15">
        <v>2300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5">
        <f>B4*B6</f>
        <v>2541.5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0.12920819919992518</v>
      </c>
      <c r="K12" s="106"/>
    </row>
    <row r="13" spans="1:11" x14ac:dyDescent="0.2">
      <c r="A13" s="107" t="s">
        <v>32</v>
      </c>
      <c r="B13" s="73">
        <f>IF(B4&gt;B7,(B4)-B7,0)</f>
        <v>1700</v>
      </c>
      <c r="C13" s="21">
        <v>0.121</v>
      </c>
      <c r="D13" s="22">
        <f>B13*C13</f>
        <v>205.7</v>
      </c>
      <c r="E13" s="73">
        <f t="shared" ref="E13" si="0">B13</f>
        <v>1700</v>
      </c>
      <c r="F13" s="21">
        <f>C13</f>
        <v>0.121</v>
      </c>
      <c r="G13" s="22">
        <f>E13*F13</f>
        <v>205.7</v>
      </c>
      <c r="H13" s="22">
        <f t="shared" ref="H13:H46" si="1">G13-D13</f>
        <v>0</v>
      </c>
      <c r="I13" s="23">
        <f t="shared" ref="I13:I46" si="2">IF(ISERROR(H13/D13),0,(H13/D13))</f>
        <v>0</v>
      </c>
      <c r="J13" s="23">
        <f>G13/$G$46</f>
        <v>0.43006677306512314</v>
      </c>
      <c r="K13" s="108"/>
    </row>
    <row r="14" spans="1:11" s="1" customFormat="1" x14ac:dyDescent="0.2">
      <c r="A14" s="46" t="s">
        <v>33</v>
      </c>
      <c r="B14" s="24"/>
      <c r="C14" s="25"/>
      <c r="D14" s="25">
        <f>SUM(D12:D13)</f>
        <v>267.5</v>
      </c>
      <c r="E14" s="76"/>
      <c r="F14" s="25"/>
      <c r="G14" s="25">
        <f>SUM(G12:G13)</f>
        <v>267.5</v>
      </c>
      <c r="H14" s="25">
        <f t="shared" si="1"/>
        <v>0</v>
      </c>
      <c r="I14" s="27">
        <f t="shared" si="2"/>
        <v>0</v>
      </c>
      <c r="J14" s="27">
        <f>G14/$G$46</f>
        <v>0.55927497226504841</v>
      </c>
      <c r="K14" s="108"/>
    </row>
    <row r="15" spans="1:11" s="1" customFormat="1" x14ac:dyDescent="0.2">
      <c r="A15" s="109" t="s">
        <v>34</v>
      </c>
      <c r="B15" s="75">
        <f>B4*0.65</f>
        <v>1495</v>
      </c>
      <c r="C15" s="28">
        <v>8.6999999999999994E-2</v>
      </c>
      <c r="D15" s="22">
        <f>B15*C15</f>
        <v>130.065</v>
      </c>
      <c r="E15" s="73">
        <f t="shared" ref="E15:F17" si="3">B15</f>
        <v>1495</v>
      </c>
      <c r="F15" s="28">
        <f t="shared" si="3"/>
        <v>8.6999999999999994E-2</v>
      </c>
      <c r="G15" s="22">
        <f>E15*F15</f>
        <v>130.065</v>
      </c>
      <c r="H15" s="22">
        <f t="shared" si="1"/>
        <v>0</v>
      </c>
      <c r="I15" s="23">
        <f t="shared" si="2"/>
        <v>0</v>
      </c>
      <c r="J15" s="23"/>
      <c r="K15" s="108">
        <f t="shared" ref="K15:K26" si="4">G15/$G$51</f>
        <v>0.28031684115134908</v>
      </c>
    </row>
    <row r="16" spans="1:11" s="1" customFormat="1" x14ac:dyDescent="0.2">
      <c r="A16" s="109" t="s">
        <v>35</v>
      </c>
      <c r="B16" s="75">
        <f>B4*0.17</f>
        <v>391</v>
      </c>
      <c r="C16" s="28">
        <v>0.13200000000000001</v>
      </c>
      <c r="D16" s="22">
        <f>B16*C16</f>
        <v>51.612000000000002</v>
      </c>
      <c r="E16" s="73">
        <f t="shared" si="3"/>
        <v>391</v>
      </c>
      <c r="F16" s="28">
        <f t="shared" si="3"/>
        <v>0.13200000000000001</v>
      </c>
      <c r="G16" s="22">
        <f>E16*F16</f>
        <v>51.612000000000002</v>
      </c>
      <c r="H16" s="22">
        <f t="shared" si="1"/>
        <v>0</v>
      </c>
      <c r="I16" s="23">
        <f t="shared" si="2"/>
        <v>0</v>
      </c>
      <c r="J16" s="23"/>
      <c r="K16" s="108">
        <f t="shared" si="4"/>
        <v>0.11123448126324093</v>
      </c>
    </row>
    <row r="17" spans="1:11" s="1" customFormat="1" x14ac:dyDescent="0.2">
      <c r="A17" s="109" t="s">
        <v>36</v>
      </c>
      <c r="B17" s="75">
        <f>B4*0.18</f>
        <v>414</v>
      </c>
      <c r="C17" s="28">
        <v>0.18</v>
      </c>
      <c r="D17" s="22">
        <f>B17*C17</f>
        <v>74.52</v>
      </c>
      <c r="E17" s="73">
        <f t="shared" si="3"/>
        <v>414</v>
      </c>
      <c r="F17" s="28">
        <f t="shared" si="3"/>
        <v>0.18</v>
      </c>
      <c r="G17" s="22">
        <f>E17*F17</f>
        <v>74.52</v>
      </c>
      <c r="H17" s="22">
        <f t="shared" si="1"/>
        <v>0</v>
      </c>
      <c r="I17" s="23">
        <f t="shared" si="2"/>
        <v>0</v>
      </c>
      <c r="J17" s="23"/>
      <c r="K17" s="108">
        <f t="shared" si="4"/>
        <v>0.16060593551377031</v>
      </c>
    </row>
    <row r="18" spans="1:11" s="1" customFormat="1" x14ac:dyDescent="0.2">
      <c r="A18" s="61" t="s">
        <v>37</v>
      </c>
      <c r="B18" s="29"/>
      <c r="C18" s="30"/>
      <c r="D18" s="30">
        <f>SUM(D15:D17)</f>
        <v>256.197</v>
      </c>
      <c r="E18" s="77"/>
      <c r="F18" s="30"/>
      <c r="G18" s="30">
        <f>SUM(G15:G17)</f>
        <v>256.197</v>
      </c>
      <c r="H18" s="31">
        <f t="shared" si="1"/>
        <v>0</v>
      </c>
      <c r="I18" s="32">
        <f t="shared" si="2"/>
        <v>0</v>
      </c>
      <c r="J18" s="33">
        <f t="shared" ref="J18:J26" si="5">G18/$G$46</f>
        <v>0.53564325259584522</v>
      </c>
      <c r="K18" s="62">
        <f t="shared" si="4"/>
        <v>0.55215725792836035</v>
      </c>
    </row>
    <row r="19" spans="1:11" x14ac:dyDescent="0.2">
      <c r="A19" s="107" t="s">
        <v>116</v>
      </c>
      <c r="B19" s="73">
        <v>1</v>
      </c>
      <c r="C19" s="78">
        <f>VLOOKUP($B$3,'Data for Bill Impacts'!$A$3:$Y$15,7,0)</f>
        <v>19.829999999999998</v>
      </c>
      <c r="D19" s="22">
        <f>B19*C19</f>
        <v>19.829999999999998</v>
      </c>
      <c r="E19" s="73">
        <f t="shared" ref="E19:E41" si="6">B19</f>
        <v>1</v>
      </c>
      <c r="F19" s="122">
        <f>VLOOKUP($B$3,'Data for Bill Impacts'!$A$3:$Y$15,17,0)</f>
        <v>25.109678307903934</v>
      </c>
      <c r="G19" s="22">
        <f>E19*F19</f>
        <v>25.109678307903934</v>
      </c>
      <c r="H19" s="22">
        <f t="shared" si="1"/>
        <v>5.2796783079039358</v>
      </c>
      <c r="I19" s="23">
        <f t="shared" si="2"/>
        <v>0.26624701502289139</v>
      </c>
      <c r="J19" s="23">
        <f t="shared" si="5"/>
        <v>5.2497998651354245E-2</v>
      </c>
      <c r="K19" s="108">
        <f t="shared" si="4"/>
        <v>5.4116524088710899E-2</v>
      </c>
    </row>
    <row r="20" spans="1:11" hidden="1" x14ac:dyDescent="0.2">
      <c r="A20" s="107" t="s">
        <v>113</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1.36</v>
      </c>
      <c r="D21" s="22">
        <f t="shared" si="7"/>
        <v>1.36</v>
      </c>
      <c r="E21" s="73">
        <f t="shared" si="6"/>
        <v>1</v>
      </c>
      <c r="F21" s="122">
        <f>VLOOKUP($B$3,'Data for Bill Impacts'!$A$3:$Y$15,22,0)</f>
        <v>-0.02</v>
      </c>
      <c r="G21" s="22">
        <f t="shared" si="8"/>
        <v>-0.02</v>
      </c>
      <c r="H21" s="22">
        <f t="shared" si="1"/>
        <v>-1.3800000000000001</v>
      </c>
      <c r="I21" s="23">
        <f t="shared" si="2"/>
        <v>-1.0147058823529411</v>
      </c>
      <c r="J21" s="23">
        <f t="shared" si="5"/>
        <v>-4.1814951197386796E-5</v>
      </c>
      <c r="K21" s="108">
        <f t="shared" si="4"/>
        <v>-4.3104115811532557E-5</v>
      </c>
    </row>
    <row r="22" spans="1:11" hidden="1" x14ac:dyDescent="0.2">
      <c r="A22" s="107" t="s">
        <v>123</v>
      </c>
      <c r="B22" s="73">
        <f>B4</f>
        <v>2300</v>
      </c>
      <c r="C22" s="78">
        <v>0</v>
      </c>
      <c r="D22" s="22">
        <f>B22*C22</f>
        <v>0</v>
      </c>
      <c r="E22" s="73">
        <f>B22</f>
        <v>2300</v>
      </c>
      <c r="F22" s="78">
        <f>C22</f>
        <v>0</v>
      </c>
      <c r="G22" s="22">
        <f>E22*F22</f>
        <v>0</v>
      </c>
      <c r="H22" s="22">
        <f>G22-D22</f>
        <v>0</v>
      </c>
      <c r="I22" s="23">
        <f>IF(ISERROR(H22/D22),0,(H22/D22))</f>
        <v>0</v>
      </c>
      <c r="J22" s="23">
        <f t="shared" si="5"/>
        <v>0</v>
      </c>
      <c r="K22" s="108">
        <f t="shared" si="4"/>
        <v>0</v>
      </c>
    </row>
    <row r="23" spans="1:11" x14ac:dyDescent="0.2">
      <c r="A23" s="107" t="s">
        <v>39</v>
      </c>
      <c r="B23" s="73">
        <f>IF($B$9="kWh",$B$4,$B$5)</f>
        <v>2300</v>
      </c>
      <c r="C23" s="78">
        <f>VLOOKUP($B$3,'Data for Bill Impacts'!$A$3:$Y$15,10,0)</f>
        <v>3.7400000000000003E-2</v>
      </c>
      <c r="D23" s="22">
        <f>B23*C23</f>
        <v>86.02000000000001</v>
      </c>
      <c r="E23" s="73">
        <f t="shared" si="6"/>
        <v>2300</v>
      </c>
      <c r="F23" s="78">
        <f>VLOOKUP($B$3,'Data for Bill Impacts'!$A$3:$Y$15,19,0)</f>
        <v>3.6299999999999999E-2</v>
      </c>
      <c r="G23" s="22">
        <f>E23*F23</f>
        <v>83.49</v>
      </c>
      <c r="H23" s="22">
        <f t="shared" si="1"/>
        <v>-2.5300000000000153</v>
      </c>
      <c r="I23" s="23">
        <f t="shared" si="2"/>
        <v>-2.9411764705882529E-2</v>
      </c>
      <c r="J23" s="23">
        <f t="shared" si="5"/>
        <v>0.17455651377349116</v>
      </c>
      <c r="K23" s="108">
        <f t="shared" si="4"/>
        <v>0.17993813145524265</v>
      </c>
    </row>
    <row r="24" spans="1:11" x14ac:dyDescent="0.2">
      <c r="A24" s="107" t="s">
        <v>124</v>
      </c>
      <c r="B24" s="73">
        <f>IF($B$9="kWh",$B$4,$B$5)</f>
        <v>2300</v>
      </c>
      <c r="C24" s="126">
        <f>VLOOKUP($B$3,'Data for Bill Impacts'!$A$3:$Y$15,14,0)</f>
        <v>0</v>
      </c>
      <c r="D24" s="22">
        <f>B24*C24</f>
        <v>0</v>
      </c>
      <c r="E24" s="73">
        <f>B24</f>
        <v>2300</v>
      </c>
      <c r="F24" s="126">
        <f>VLOOKUP($B$3,'Data for Bill Impacts'!$A$3:$Y$15,23,0)</f>
        <v>2.0000000000000001E-4</v>
      </c>
      <c r="G24" s="22">
        <f>E24*F24</f>
        <v>0.46</v>
      </c>
      <c r="H24" s="22">
        <f>G24-D24</f>
        <v>0.46</v>
      </c>
      <c r="I24" s="23">
        <f>IF(ISERROR(H24/D24),0,(H24/D24))</f>
        <v>0</v>
      </c>
      <c r="J24" s="23">
        <f t="shared" si="5"/>
        <v>9.6174387753989636E-4</v>
      </c>
      <c r="K24" s="108">
        <f t="shared" si="4"/>
        <v>9.9139466366524888E-4</v>
      </c>
    </row>
    <row r="25" spans="1:11" s="1" customFormat="1" x14ac:dyDescent="0.2">
      <c r="A25" s="110" t="s">
        <v>72</v>
      </c>
      <c r="B25" s="74"/>
      <c r="C25" s="35"/>
      <c r="D25" s="35">
        <f>SUM(D19:D24)</f>
        <v>107.21000000000001</v>
      </c>
      <c r="E25" s="73"/>
      <c r="F25" s="35"/>
      <c r="G25" s="35">
        <f>SUM(G19:G24)</f>
        <v>109.03967830790393</v>
      </c>
      <c r="H25" s="35">
        <f t="shared" si="1"/>
        <v>1.8296783079039187</v>
      </c>
      <c r="I25" s="36">
        <f t="shared" si="2"/>
        <v>1.7066302657437912E-2</v>
      </c>
      <c r="J25" s="36">
        <f t="shared" si="5"/>
        <v>0.22797444135118791</v>
      </c>
      <c r="K25" s="111">
        <f t="shared" si="4"/>
        <v>0.23500294609180727</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1.6516905722967785E-3</v>
      </c>
      <c r="K26" s="108">
        <f t="shared" si="4"/>
        <v>1.702612574555536E-3</v>
      </c>
    </row>
    <row r="27" spans="1:11" s="1" customFormat="1" x14ac:dyDescent="0.2">
      <c r="A27" s="119" t="s">
        <v>75</v>
      </c>
      <c r="B27" s="120">
        <f>B8-B4</f>
        <v>241.5</v>
      </c>
      <c r="C27" s="121">
        <f>IF(B4&gt;B7,C13,C12)</f>
        <v>0.121</v>
      </c>
      <c r="D27" s="22">
        <f>B27*C27</f>
        <v>29.221499999999999</v>
      </c>
      <c r="E27" s="73">
        <f>B27</f>
        <v>241.5</v>
      </c>
      <c r="F27" s="121">
        <f>C27</f>
        <v>0.121</v>
      </c>
      <c r="G27" s="22">
        <f>E27*F27</f>
        <v>29.221499999999999</v>
      </c>
      <c r="H27" s="22">
        <f t="shared" si="1"/>
        <v>0</v>
      </c>
      <c r="I27" s="23">
        <f>IF(ISERROR(H27/D27),0,(H27/D27))</f>
        <v>0</v>
      </c>
      <c r="J27" s="23">
        <f t="shared" ref="J27:J46" si="9">G27/$G$46</f>
        <v>6.1094779820721909E-2</v>
      </c>
      <c r="K27" s="108">
        <f t="shared" ref="K27:K41" si="10">G27/$G$51</f>
        <v>6.2978346009334926E-2</v>
      </c>
    </row>
    <row r="28" spans="1:11" s="1" customFormat="1" x14ac:dyDescent="0.2">
      <c r="A28" s="119" t="s">
        <v>74</v>
      </c>
      <c r="B28" s="120">
        <f>B8-B4</f>
        <v>241.5</v>
      </c>
      <c r="C28" s="121">
        <f>0.65*C15+0.17*C16+0.18*C17</f>
        <v>0.11139</v>
      </c>
      <c r="D28" s="22">
        <f>B28*C28</f>
        <v>26.900684999999999</v>
      </c>
      <c r="E28" s="73">
        <f>B28</f>
        <v>241.5</v>
      </c>
      <c r="F28" s="121">
        <f>C28</f>
        <v>0.11139</v>
      </c>
      <c r="G28" s="22">
        <f>E28*F28</f>
        <v>26.900684999999999</v>
      </c>
      <c r="H28" s="22">
        <f t="shared" si="1"/>
        <v>0</v>
      </c>
      <c r="I28" s="23">
        <f>IF(ISERROR(H28/D28),0,(H28/D28))</f>
        <v>0</v>
      </c>
      <c r="J28" s="23">
        <f t="shared" si="9"/>
        <v>5.6242541522563749E-2</v>
      </c>
      <c r="K28" s="108">
        <f t="shared" si="10"/>
        <v>5.7976512082477831E-2</v>
      </c>
    </row>
    <row r="29" spans="1:11" s="1" customFormat="1" x14ac:dyDescent="0.2">
      <c r="A29" s="110" t="s">
        <v>78</v>
      </c>
      <c r="B29" s="74"/>
      <c r="C29" s="35"/>
      <c r="D29" s="35">
        <f>SUM(D25,D26:D27)</f>
        <v>137.22150000000002</v>
      </c>
      <c r="E29" s="73"/>
      <c r="F29" s="35"/>
      <c r="G29" s="35">
        <f>SUM(G25,G26:G27)</f>
        <v>139.05117830790394</v>
      </c>
      <c r="H29" s="35">
        <f t="shared" si="1"/>
        <v>1.8296783079039187</v>
      </c>
      <c r="I29" s="36">
        <f>IF(ISERROR(H29/D29),0,(H29/D29))</f>
        <v>1.3333758251468746E-2</v>
      </c>
      <c r="J29" s="36">
        <f t="shared" si="9"/>
        <v>0.29072091174420661</v>
      </c>
      <c r="K29" s="111">
        <f t="shared" si="10"/>
        <v>0.29968390467569778</v>
      </c>
    </row>
    <row r="30" spans="1:11" s="1" customFormat="1" x14ac:dyDescent="0.2">
      <c r="A30" s="110" t="s">
        <v>77</v>
      </c>
      <c r="B30" s="74"/>
      <c r="C30" s="35"/>
      <c r="D30" s="35">
        <f>SUM(D25,D26,D28)</f>
        <v>134.90068500000001</v>
      </c>
      <c r="E30" s="73"/>
      <c r="F30" s="35"/>
      <c r="G30" s="35">
        <f>SUM(G25,G26,G28)</f>
        <v>136.73036330790393</v>
      </c>
      <c r="H30" s="35">
        <f t="shared" si="1"/>
        <v>1.8296783079039187</v>
      </c>
      <c r="I30" s="36">
        <f>IF(ISERROR(H30/D30),0,(H30/D30))</f>
        <v>1.3563150608938113E-2</v>
      </c>
      <c r="J30" s="36">
        <f t="shared" si="9"/>
        <v>0.28586867344604844</v>
      </c>
      <c r="K30" s="111">
        <f t="shared" si="10"/>
        <v>0.29468207074884062</v>
      </c>
    </row>
    <row r="31" spans="1:11" x14ac:dyDescent="0.2">
      <c r="A31" s="107" t="s">
        <v>40</v>
      </c>
      <c r="B31" s="73">
        <f>B8</f>
        <v>2541.5</v>
      </c>
      <c r="C31" s="78">
        <f>VLOOKUP($B$3,'Data for Bill Impacts'!$A$3:$Y$15,15,0)</f>
        <v>6.1999999999999998E-3</v>
      </c>
      <c r="D31" s="22">
        <f>B31*C31</f>
        <v>15.757299999999999</v>
      </c>
      <c r="E31" s="73">
        <f t="shared" si="6"/>
        <v>2541.5</v>
      </c>
      <c r="F31" s="126">
        <f>VLOOKUP($B$3,'Data for Bill Impacts'!$A$3:$Y$15,24,0)</f>
        <v>6.7400000000000003E-3</v>
      </c>
      <c r="G31" s="22">
        <f>E31*F31</f>
        <v>17.129709999999999</v>
      </c>
      <c r="H31" s="22">
        <f t="shared" si="1"/>
        <v>1.3724100000000004</v>
      </c>
      <c r="I31" s="23">
        <f t="shared" si="2"/>
        <v>8.7096774193548415E-2</v>
      </c>
      <c r="J31" s="23">
        <f t="shared" si="9"/>
        <v>3.5813899383769429E-2</v>
      </c>
      <c r="K31" s="108">
        <f t="shared" si="10"/>
        <v>3.6918050182898364E-2</v>
      </c>
    </row>
    <row r="32" spans="1:11" x14ac:dyDescent="0.2">
      <c r="A32" s="107" t="s">
        <v>41</v>
      </c>
      <c r="B32" s="73">
        <f>B8</f>
        <v>2541.5</v>
      </c>
      <c r="C32" s="78">
        <f>VLOOKUP($B$3,'Data for Bill Impacts'!$A$3:$Y$15,16,0)</f>
        <v>4.4000000000000003E-3</v>
      </c>
      <c r="D32" s="22">
        <f>B32*C32</f>
        <v>11.182600000000001</v>
      </c>
      <c r="E32" s="73">
        <f t="shared" si="6"/>
        <v>2541.5</v>
      </c>
      <c r="F32" s="126">
        <f>VLOOKUP($B$3,'Data for Bill Impacts'!$A$3:$Y$15,25,0)</f>
        <v>5.6299999999999996E-3</v>
      </c>
      <c r="G32" s="22">
        <f>E32*F32</f>
        <v>14.308644999999999</v>
      </c>
      <c r="H32" s="22">
        <f t="shared" si="1"/>
        <v>3.1260449999999977</v>
      </c>
      <c r="I32" s="23">
        <f t="shared" si="2"/>
        <v>0.27954545454545432</v>
      </c>
      <c r="J32" s="23">
        <f t="shared" si="9"/>
        <v>2.9915764618786627E-2</v>
      </c>
      <c r="K32" s="108">
        <f t="shared" si="10"/>
        <v>3.083807455930531E-2</v>
      </c>
    </row>
    <row r="33" spans="1:11" s="1" customFormat="1" x14ac:dyDescent="0.2">
      <c r="A33" s="110" t="s">
        <v>76</v>
      </c>
      <c r="B33" s="74"/>
      <c r="C33" s="35"/>
      <c r="D33" s="35">
        <f>SUM(D31:D32)</f>
        <v>26.939900000000002</v>
      </c>
      <c r="E33" s="73"/>
      <c r="F33" s="35"/>
      <c r="G33" s="35">
        <f>SUM(G31:G32)</f>
        <v>31.438354999999998</v>
      </c>
      <c r="H33" s="35">
        <f t="shared" si="1"/>
        <v>4.4984549999999963</v>
      </c>
      <c r="I33" s="36">
        <f t="shared" si="2"/>
        <v>0.16698113207547155</v>
      </c>
      <c r="J33" s="36">
        <f t="shared" si="9"/>
        <v>6.5729664002556046E-2</v>
      </c>
      <c r="K33" s="111">
        <f t="shared" si="10"/>
        <v>6.7756124742203674E-2</v>
      </c>
    </row>
    <row r="34" spans="1:11" s="1" customFormat="1" x14ac:dyDescent="0.2">
      <c r="A34" s="110" t="s">
        <v>91</v>
      </c>
      <c r="B34" s="74"/>
      <c r="C34" s="35"/>
      <c r="D34" s="35">
        <f>D29+D33</f>
        <v>164.16140000000001</v>
      </c>
      <c r="E34" s="73"/>
      <c r="F34" s="35"/>
      <c r="G34" s="35">
        <f>G29+G33</f>
        <v>170.48953330790394</v>
      </c>
      <c r="H34" s="35">
        <f t="shared" si="1"/>
        <v>6.3281333079039257</v>
      </c>
      <c r="I34" s="36">
        <f t="shared" si="2"/>
        <v>3.8548241595794903E-2</v>
      </c>
      <c r="J34" s="36">
        <f t="shared" si="9"/>
        <v>0.3564505757467627</v>
      </c>
      <c r="K34" s="111">
        <f t="shared" si="10"/>
        <v>0.36744002941790144</v>
      </c>
    </row>
    <row r="35" spans="1:11" s="1" customFormat="1" x14ac:dyDescent="0.2">
      <c r="A35" s="110" t="s">
        <v>92</v>
      </c>
      <c r="B35" s="74"/>
      <c r="C35" s="35"/>
      <c r="D35" s="35">
        <f>D30+D33</f>
        <v>161.840585</v>
      </c>
      <c r="E35" s="73"/>
      <c r="F35" s="35"/>
      <c r="G35" s="35">
        <f>G30+G33</f>
        <v>168.16871830790393</v>
      </c>
      <c r="H35" s="35">
        <f t="shared" si="1"/>
        <v>6.3281333079039257</v>
      </c>
      <c r="I35" s="36">
        <f t="shared" si="2"/>
        <v>3.9101028384838858E-2</v>
      </c>
      <c r="J35" s="36">
        <f t="shared" si="9"/>
        <v>0.35159833744860453</v>
      </c>
      <c r="K35" s="111">
        <f t="shared" si="10"/>
        <v>0.36243819549104433</v>
      </c>
    </row>
    <row r="36" spans="1:11" x14ac:dyDescent="0.2">
      <c r="A36" s="107" t="s">
        <v>42</v>
      </c>
      <c r="B36" s="73">
        <f>B8</f>
        <v>2541.5</v>
      </c>
      <c r="C36" s="34">
        <v>3.5999999999999999E-3</v>
      </c>
      <c r="D36" s="22">
        <f>B36*C36</f>
        <v>9.1494</v>
      </c>
      <c r="E36" s="73">
        <f t="shared" si="6"/>
        <v>2541.5</v>
      </c>
      <c r="F36" s="34">
        <v>3.5999999999999999E-3</v>
      </c>
      <c r="G36" s="22">
        <f>E36*F36</f>
        <v>9.1494</v>
      </c>
      <c r="H36" s="22">
        <f t="shared" si="1"/>
        <v>0</v>
      </c>
      <c r="I36" s="23">
        <f t="shared" si="2"/>
        <v>0</v>
      </c>
      <c r="J36" s="23">
        <f t="shared" si="9"/>
        <v>1.9129085724268538E-2</v>
      </c>
      <c r="K36" s="108">
        <f t="shared" si="10"/>
        <v>1.97188398603018E-2</v>
      </c>
    </row>
    <row r="37" spans="1:11" x14ac:dyDescent="0.2">
      <c r="A37" s="107" t="s">
        <v>43</v>
      </c>
      <c r="B37" s="73">
        <f>B8</f>
        <v>2541.5</v>
      </c>
      <c r="C37" s="34">
        <v>2.0999999999999999E-3</v>
      </c>
      <c r="D37" s="22">
        <f>B37*C37</f>
        <v>5.3371499999999994</v>
      </c>
      <c r="E37" s="73">
        <f t="shared" si="6"/>
        <v>2541.5</v>
      </c>
      <c r="F37" s="34">
        <v>2.0999999999999999E-3</v>
      </c>
      <c r="G37" s="22">
        <f>E37*F37</f>
        <v>5.3371499999999994</v>
      </c>
      <c r="H37" s="22">
        <f>G37-D37</f>
        <v>0</v>
      </c>
      <c r="I37" s="23">
        <f t="shared" si="2"/>
        <v>0</v>
      </c>
      <c r="J37" s="23">
        <f t="shared" si="9"/>
        <v>1.1158633339156645E-2</v>
      </c>
      <c r="K37" s="108">
        <f t="shared" si="10"/>
        <v>1.1502656585176048E-2</v>
      </c>
    </row>
    <row r="38" spans="1:11" x14ac:dyDescent="0.2">
      <c r="A38" s="107" t="s">
        <v>96</v>
      </c>
      <c r="B38" s="73">
        <f>B8</f>
        <v>2541.5</v>
      </c>
      <c r="C38" s="34">
        <v>1.1000000000000001E-3</v>
      </c>
      <c r="D38" s="22">
        <f>B38*C38</f>
        <v>2.7956500000000002</v>
      </c>
      <c r="E38" s="73">
        <f t="shared" si="6"/>
        <v>2541.5</v>
      </c>
      <c r="F38" s="34">
        <v>1.1000000000000001E-3</v>
      </c>
      <c r="G38" s="22">
        <f>E38*F38</f>
        <v>2.7956500000000002</v>
      </c>
      <c r="H38" s="22">
        <f>G38-D38</f>
        <v>0</v>
      </c>
      <c r="I38" s="23">
        <f t="shared" ref="I38" si="11">IF(ISERROR(H38/D38),0,(H38/D38))</f>
        <v>0</v>
      </c>
      <c r="J38" s="23">
        <f t="shared" ref="J38" si="12">G38/$G$46</f>
        <v>5.8449984157487199E-3</v>
      </c>
      <c r="K38" s="108">
        <f t="shared" ref="K38" si="13">G38/$G$51</f>
        <v>6.0252010684255499E-3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5.2268688996733492E-4</v>
      </c>
      <c r="K39" s="108">
        <f t="shared" si="10"/>
        <v>5.3880144764415698E-4</v>
      </c>
    </row>
    <row r="40" spans="1:11" s="1" customFormat="1" x14ac:dyDescent="0.2">
      <c r="A40" s="110" t="s">
        <v>45</v>
      </c>
      <c r="B40" s="74"/>
      <c r="C40" s="35"/>
      <c r="D40" s="35">
        <f>SUM(D36:D39)</f>
        <v>17.5322</v>
      </c>
      <c r="E40" s="73"/>
      <c r="F40" s="35"/>
      <c r="G40" s="35">
        <f>SUM(G36:G39)</f>
        <v>17.5322</v>
      </c>
      <c r="H40" s="35">
        <f t="shared" si="1"/>
        <v>0</v>
      </c>
      <c r="I40" s="36">
        <f t="shared" si="2"/>
        <v>0</v>
      </c>
      <c r="J40" s="36">
        <f t="shared" si="9"/>
        <v>3.6655404369141241E-2</v>
      </c>
      <c r="K40" s="111">
        <f t="shared" si="10"/>
        <v>3.7785498961547558E-2</v>
      </c>
    </row>
    <row r="41" spans="1:11" s="1" customFormat="1" ht="13.5" thickBot="1" x14ac:dyDescent="0.25">
      <c r="A41" s="112" t="s">
        <v>46</v>
      </c>
      <c r="B41" s="113">
        <f>B4</f>
        <v>2300</v>
      </c>
      <c r="C41" s="114">
        <v>0</v>
      </c>
      <c r="D41" s="115">
        <f>B41*C41</f>
        <v>0</v>
      </c>
      <c r="E41" s="116">
        <f t="shared" si="6"/>
        <v>2300</v>
      </c>
      <c r="F41" s="114">
        <f>C41</f>
        <v>0</v>
      </c>
      <c r="G41" s="115">
        <f>E41*F41</f>
        <v>0</v>
      </c>
      <c r="H41" s="115">
        <f t="shared" si="1"/>
        <v>0</v>
      </c>
      <c r="I41" s="117">
        <f t="shared" si="2"/>
        <v>0</v>
      </c>
      <c r="J41" s="117">
        <f t="shared" si="9"/>
        <v>0</v>
      </c>
      <c r="K41" s="118">
        <f t="shared" si="10"/>
        <v>0</v>
      </c>
    </row>
    <row r="42" spans="1:11" s="1" customFormat="1" x14ac:dyDescent="0.2">
      <c r="A42" s="37" t="s">
        <v>105</v>
      </c>
      <c r="B42" s="38"/>
      <c r="C42" s="39"/>
      <c r="D42" s="39">
        <f>SUM(D14,D25,D26,D27,D33,D40,D41)</f>
        <v>449.19360000000006</v>
      </c>
      <c r="E42" s="38"/>
      <c r="F42" s="39"/>
      <c r="G42" s="39">
        <f>SUM(G14,G25,G26,G27,G33,G40,G41)</f>
        <v>455.52173330790396</v>
      </c>
      <c r="H42" s="39">
        <f t="shared" si="1"/>
        <v>6.3281333079038973</v>
      </c>
      <c r="I42" s="40">
        <f>IF(ISERROR(H42/D42),0,(H42/D42))</f>
        <v>1.40877637346211E-2</v>
      </c>
      <c r="J42" s="40">
        <f t="shared" si="9"/>
        <v>0.95238095238095233</v>
      </c>
      <c r="K42" s="41"/>
    </row>
    <row r="43" spans="1:11" x14ac:dyDescent="0.2">
      <c r="A43" s="154" t="s">
        <v>106</v>
      </c>
      <c r="B43" s="43"/>
      <c r="C43" s="26">
        <v>0.13</v>
      </c>
      <c r="D43" s="26">
        <f>D42*C43</f>
        <v>58.395168000000012</v>
      </c>
      <c r="E43" s="26"/>
      <c r="F43" s="26">
        <f>C43</f>
        <v>0.13</v>
      </c>
      <c r="G43" s="26">
        <f>G42*F43</f>
        <v>59.217825330027516</v>
      </c>
      <c r="H43" s="26">
        <f t="shared" si="1"/>
        <v>0.82265733002750352</v>
      </c>
      <c r="I43" s="44">
        <f t="shared" si="2"/>
        <v>1.4087763734621046E-2</v>
      </c>
      <c r="J43" s="44">
        <f t="shared" si="9"/>
        <v>0.12380952380952381</v>
      </c>
      <c r="K43" s="45"/>
    </row>
    <row r="44" spans="1:11" s="1" customFormat="1" x14ac:dyDescent="0.2">
      <c r="A44" s="46" t="s">
        <v>107</v>
      </c>
      <c r="B44" s="24"/>
      <c r="C44" s="25"/>
      <c r="D44" s="25">
        <f>SUM(D42:D43)</f>
        <v>507.58876800000007</v>
      </c>
      <c r="E44" s="25"/>
      <c r="F44" s="25"/>
      <c r="G44" s="25">
        <f>SUM(G42:G43)</f>
        <v>514.73955863793151</v>
      </c>
      <c r="H44" s="25">
        <f t="shared" si="1"/>
        <v>7.1507906379314363</v>
      </c>
      <c r="I44" s="27">
        <f t="shared" si="2"/>
        <v>1.4087763734621164E-2</v>
      </c>
      <c r="J44" s="27">
        <f t="shared" si="9"/>
        <v>1.0761904761904761</v>
      </c>
      <c r="K44" s="47"/>
    </row>
    <row r="45" spans="1:11" x14ac:dyDescent="0.2">
      <c r="A45" s="42" t="s">
        <v>108</v>
      </c>
      <c r="B45" s="43"/>
      <c r="C45" s="26">
        <v>-0.08</v>
      </c>
      <c r="D45" s="26">
        <f>D42*C45</f>
        <v>-35.935488000000007</v>
      </c>
      <c r="E45" s="26"/>
      <c r="F45" s="26">
        <f>C45</f>
        <v>-0.08</v>
      </c>
      <c r="G45" s="26">
        <f>G42*F45</f>
        <v>-36.441738664632318</v>
      </c>
      <c r="H45" s="26">
        <f t="shared" si="1"/>
        <v>-0.5062506646323115</v>
      </c>
      <c r="I45" s="44">
        <f t="shared" si="2"/>
        <v>1.4087763734621091E-2</v>
      </c>
      <c r="J45" s="44">
        <f t="shared" si="9"/>
        <v>-7.6190476190476197E-2</v>
      </c>
      <c r="K45" s="45"/>
    </row>
    <row r="46" spans="1:11" s="1" customFormat="1" ht="13.5" thickBot="1" x14ac:dyDescent="0.25">
      <c r="A46" s="48" t="s">
        <v>109</v>
      </c>
      <c r="B46" s="49"/>
      <c r="C46" s="50"/>
      <c r="D46" s="50">
        <f>SUM(D44:D45)</f>
        <v>471.65328000000005</v>
      </c>
      <c r="E46" s="50"/>
      <c r="F46" s="50"/>
      <c r="G46" s="50">
        <f>SUM(G44:G45)</f>
        <v>478.29781997329917</v>
      </c>
      <c r="H46" s="50">
        <f t="shared" si="1"/>
        <v>6.6445399732991177</v>
      </c>
      <c r="I46" s="51">
        <f t="shared" si="2"/>
        <v>1.4087763734621154E-2</v>
      </c>
      <c r="J46" s="51">
        <f t="shared" si="9"/>
        <v>1</v>
      </c>
      <c r="K46" s="52"/>
    </row>
    <row r="47" spans="1:11" x14ac:dyDescent="0.2">
      <c r="A47" s="53" t="s">
        <v>110</v>
      </c>
      <c r="B47" s="54"/>
      <c r="C47" s="55"/>
      <c r="D47" s="55">
        <f>SUM(D18,D25,D26,D28,D33,D40,D41)</f>
        <v>435.56978500000008</v>
      </c>
      <c r="E47" s="55"/>
      <c r="F47" s="55"/>
      <c r="G47" s="55">
        <f>SUM(G18,G25,G26,G28,G33,G40,G41)</f>
        <v>441.89791830790398</v>
      </c>
      <c r="H47" s="55">
        <f>G47-D47</f>
        <v>6.3281333079038973</v>
      </c>
      <c r="I47" s="56">
        <f>IF(ISERROR(H47/D47),0,(H47/D47))</f>
        <v>1.4528402854903942E-2</v>
      </c>
      <c r="J47" s="56"/>
      <c r="K47" s="57">
        <f>G47/$G$51</f>
        <v>0.95238095238095233</v>
      </c>
    </row>
    <row r="48" spans="1:11" x14ac:dyDescent="0.2">
      <c r="A48" s="58" t="s">
        <v>106</v>
      </c>
      <c r="B48" s="59"/>
      <c r="C48" s="31">
        <v>0.13</v>
      </c>
      <c r="D48" s="31">
        <f>D47*C48</f>
        <v>56.624072050000009</v>
      </c>
      <c r="E48" s="31"/>
      <c r="F48" s="31">
        <f>C48</f>
        <v>0.13</v>
      </c>
      <c r="G48" s="31">
        <f>G47*F48</f>
        <v>57.44672938002752</v>
      </c>
      <c r="H48" s="31">
        <f>G48-D48</f>
        <v>0.82265733002751062</v>
      </c>
      <c r="I48" s="32">
        <f>IF(ISERROR(H48/D48),0,(H48/D48))</f>
        <v>1.4528402854904011E-2</v>
      </c>
      <c r="J48" s="32"/>
      <c r="K48" s="60">
        <f>G48/$G$51</f>
        <v>0.12380952380952381</v>
      </c>
    </row>
    <row r="49" spans="1:11" x14ac:dyDescent="0.2">
      <c r="A49" s="61" t="s">
        <v>111</v>
      </c>
      <c r="B49" s="29"/>
      <c r="C49" s="30"/>
      <c r="D49" s="30">
        <f>SUM(D47:D48)</f>
        <v>492.19385705000008</v>
      </c>
      <c r="E49" s="30"/>
      <c r="F49" s="30"/>
      <c r="G49" s="30">
        <f>SUM(G47:G48)</f>
        <v>499.34464768793151</v>
      </c>
      <c r="H49" s="30">
        <f>G49-D49</f>
        <v>7.1507906379314363</v>
      </c>
      <c r="I49" s="33">
        <f>IF(ISERROR(H49/D49),0,(H49/D49))</f>
        <v>1.4528402854904008E-2</v>
      </c>
      <c r="J49" s="33"/>
      <c r="K49" s="62">
        <f>G49/$G$51</f>
        <v>1.0761904761904761</v>
      </c>
    </row>
    <row r="50" spans="1:11" x14ac:dyDescent="0.2">
      <c r="A50" s="58" t="s">
        <v>108</v>
      </c>
      <c r="B50" s="59"/>
      <c r="C50" s="31">
        <v>-0.08</v>
      </c>
      <c r="D50" s="31">
        <f>D47*C50</f>
        <v>-34.84558280000001</v>
      </c>
      <c r="E50" s="31"/>
      <c r="F50" s="31">
        <f>C50</f>
        <v>-0.08</v>
      </c>
      <c r="G50" s="31">
        <f>G47*F50</f>
        <v>-35.351833464632321</v>
      </c>
      <c r="H50" s="31">
        <f>G50-D50</f>
        <v>-0.5062506646323115</v>
      </c>
      <c r="I50" s="32">
        <f>IF(ISERROR(H50/D50),0,(H50/D50))</f>
        <v>1.4528402854903932E-2</v>
      </c>
      <c r="J50" s="32"/>
      <c r="K50" s="60">
        <f>G50/$G$51</f>
        <v>-7.6190476190476197E-2</v>
      </c>
    </row>
    <row r="51" spans="1:11" ht="13.5" thickBot="1" x14ac:dyDescent="0.25">
      <c r="A51" s="63" t="s">
        <v>121</v>
      </c>
      <c r="B51" s="64"/>
      <c r="C51" s="65"/>
      <c r="D51" s="65">
        <f>SUM(D49:D50)</f>
        <v>457.34827425000009</v>
      </c>
      <c r="E51" s="65"/>
      <c r="F51" s="65"/>
      <c r="G51" s="65">
        <f>SUM(G49:G50)</f>
        <v>463.99281422329921</v>
      </c>
      <c r="H51" s="65">
        <f>G51-D51</f>
        <v>6.6445399732991177</v>
      </c>
      <c r="I51" s="66">
        <f>IF(ISERROR(H51/D51),0,(H51/D51))</f>
        <v>1.4528402854903998E-2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98</v>
      </c>
      <c r="B1" s="192"/>
      <c r="C1" s="192"/>
      <c r="D1" s="192"/>
      <c r="E1" s="192"/>
      <c r="F1" s="192"/>
      <c r="G1" s="192"/>
      <c r="H1" s="192"/>
      <c r="I1" s="192"/>
      <c r="J1" s="192"/>
      <c r="K1" s="193"/>
    </row>
    <row r="3" spans="1:11" x14ac:dyDescent="0.2">
      <c r="A3" s="13" t="s">
        <v>13</v>
      </c>
      <c r="B3" s="13" t="s">
        <v>3</v>
      </c>
    </row>
    <row r="4" spans="1:11" x14ac:dyDescent="0.2">
      <c r="A4" s="15" t="s">
        <v>62</v>
      </c>
      <c r="B4" s="15">
        <v>50</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69">
        <f>B4*B6</f>
        <v>55.2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50</v>
      </c>
      <c r="C12" s="103">
        <v>0.10299999999999999</v>
      </c>
      <c r="D12" s="104">
        <f>B12*C12</f>
        <v>5.1499999999999995</v>
      </c>
      <c r="E12" s="102">
        <f>B12</f>
        <v>50</v>
      </c>
      <c r="F12" s="103">
        <f>C12</f>
        <v>0.10299999999999999</v>
      </c>
      <c r="G12" s="104">
        <f>E12*F12</f>
        <v>5.1499999999999995</v>
      </c>
      <c r="H12" s="104">
        <f>G12-D12</f>
        <v>0</v>
      </c>
      <c r="I12" s="105">
        <f>IF(ISERROR(H12/D12),0,(H12/D12))</f>
        <v>0</v>
      </c>
      <c r="J12" s="105">
        <f>G12/$G$46</f>
        <v>9.5610716376729923E-2</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5.1499999999999995</v>
      </c>
      <c r="E14" s="76"/>
      <c r="F14" s="25"/>
      <c r="G14" s="25">
        <f>SUM(G12:G13)</f>
        <v>5.1499999999999995</v>
      </c>
      <c r="H14" s="25">
        <f t="shared" si="1"/>
        <v>0</v>
      </c>
      <c r="I14" s="27">
        <f t="shared" si="2"/>
        <v>0</v>
      </c>
      <c r="J14" s="27">
        <f>G14/$G$46</f>
        <v>9.5610716376729923E-2</v>
      </c>
      <c r="K14" s="108"/>
    </row>
    <row r="15" spans="1:11" s="1" customFormat="1" x14ac:dyDescent="0.2">
      <c r="A15" s="109" t="s">
        <v>34</v>
      </c>
      <c r="B15" s="75">
        <f>B4*0.65</f>
        <v>32.5</v>
      </c>
      <c r="C15" s="28">
        <v>8.6999999999999994E-2</v>
      </c>
      <c r="D15" s="22">
        <f>B15*C15</f>
        <v>2.8274999999999997</v>
      </c>
      <c r="E15" s="73">
        <f t="shared" ref="E15:F17" si="3">B15</f>
        <v>32.5</v>
      </c>
      <c r="F15" s="28">
        <f t="shared" si="3"/>
        <v>8.6999999999999994E-2</v>
      </c>
      <c r="G15" s="22">
        <f>E15*F15</f>
        <v>2.8274999999999997</v>
      </c>
      <c r="H15" s="22">
        <f t="shared" si="1"/>
        <v>0</v>
      </c>
      <c r="I15" s="23">
        <f t="shared" si="2"/>
        <v>0</v>
      </c>
      <c r="J15" s="23"/>
      <c r="K15" s="108">
        <f t="shared" ref="K15:K26" si="4">G15/$G$51</f>
        <v>5.202340281027408E-2</v>
      </c>
    </row>
    <row r="16" spans="1:11" s="1" customFormat="1" x14ac:dyDescent="0.2">
      <c r="A16" s="109" t="s">
        <v>35</v>
      </c>
      <c r="B16" s="75">
        <f>B4*0.17</f>
        <v>8.5</v>
      </c>
      <c r="C16" s="28">
        <v>0.13200000000000001</v>
      </c>
      <c r="D16" s="22">
        <f>B16*C16</f>
        <v>1.1220000000000001</v>
      </c>
      <c r="E16" s="73">
        <f t="shared" si="3"/>
        <v>8.5</v>
      </c>
      <c r="F16" s="28">
        <f t="shared" si="3"/>
        <v>0.13200000000000001</v>
      </c>
      <c r="G16" s="22">
        <f>E16*F16</f>
        <v>1.1220000000000001</v>
      </c>
      <c r="H16" s="22">
        <f t="shared" si="1"/>
        <v>0</v>
      </c>
      <c r="I16" s="23">
        <f t="shared" si="2"/>
        <v>0</v>
      </c>
      <c r="J16" s="23"/>
      <c r="K16" s="108">
        <f t="shared" si="4"/>
        <v>2.0643769391026537E-2</v>
      </c>
    </row>
    <row r="17" spans="1:11" s="1" customFormat="1" x14ac:dyDescent="0.2">
      <c r="A17" s="109" t="s">
        <v>36</v>
      </c>
      <c r="B17" s="75">
        <f>B4*0.18</f>
        <v>9</v>
      </c>
      <c r="C17" s="28">
        <v>0.18</v>
      </c>
      <c r="D17" s="22">
        <f>B17*C17</f>
        <v>1.6199999999999999</v>
      </c>
      <c r="E17" s="73">
        <f t="shared" si="3"/>
        <v>9</v>
      </c>
      <c r="F17" s="28">
        <f t="shared" si="3"/>
        <v>0.18</v>
      </c>
      <c r="G17" s="22">
        <f>E17*F17</f>
        <v>1.6199999999999999</v>
      </c>
      <c r="H17" s="22">
        <f t="shared" si="1"/>
        <v>0</v>
      </c>
      <c r="I17" s="23">
        <f t="shared" si="2"/>
        <v>0</v>
      </c>
      <c r="J17" s="23"/>
      <c r="K17" s="108">
        <f t="shared" si="4"/>
        <v>2.9806511954958096E-2</v>
      </c>
    </row>
    <row r="18" spans="1:11" s="1" customFormat="1" x14ac:dyDescent="0.2">
      <c r="A18" s="61" t="s">
        <v>37</v>
      </c>
      <c r="B18" s="29"/>
      <c r="C18" s="30"/>
      <c r="D18" s="30">
        <f>SUM(D15:D17)</f>
        <v>5.5694999999999997</v>
      </c>
      <c r="E18" s="77"/>
      <c r="F18" s="30"/>
      <c r="G18" s="30">
        <f>SUM(G15:G17)</f>
        <v>5.5694999999999997</v>
      </c>
      <c r="H18" s="31">
        <f t="shared" si="1"/>
        <v>0</v>
      </c>
      <c r="I18" s="32">
        <f t="shared" si="2"/>
        <v>0</v>
      </c>
      <c r="J18" s="33">
        <f t="shared" ref="J18:J26" si="5">G18/$G$46</f>
        <v>0.10339881259421307</v>
      </c>
      <c r="K18" s="62">
        <f t="shared" si="4"/>
        <v>0.10247368415625871</v>
      </c>
    </row>
    <row r="19" spans="1:11" x14ac:dyDescent="0.2">
      <c r="A19" s="107" t="s">
        <v>38</v>
      </c>
      <c r="B19" s="73">
        <v>1</v>
      </c>
      <c r="C19" s="78">
        <f>VLOOKUP($B$3,'Data for Bill Impacts'!$A$3:$Y$15,7,0)</f>
        <v>36.28</v>
      </c>
      <c r="D19" s="22">
        <f>B19*C19</f>
        <v>36.28</v>
      </c>
      <c r="E19" s="73">
        <f t="shared" ref="E19:E41" si="6">B19</f>
        <v>1</v>
      </c>
      <c r="F19" s="78">
        <f>VLOOKUP($B$3,'Data for Bill Impacts'!$A$3:$Y$15,17,0)</f>
        <v>40.57</v>
      </c>
      <c r="G19" s="22">
        <f>E19*F19</f>
        <v>40.57</v>
      </c>
      <c r="H19" s="22">
        <f t="shared" si="1"/>
        <v>4.2899999999999991</v>
      </c>
      <c r="I19" s="23">
        <f t="shared" si="2"/>
        <v>0.11824696802646083</v>
      </c>
      <c r="J19" s="23">
        <f t="shared" si="5"/>
        <v>0.75318966279688027</v>
      </c>
      <c r="K19" s="108">
        <f t="shared" si="4"/>
        <v>0.74645073457570987</v>
      </c>
    </row>
    <row r="20" spans="1:11" hidden="1" x14ac:dyDescent="0.2">
      <c r="A20" s="107" t="s">
        <v>113</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0.84</v>
      </c>
      <c r="D21" s="22">
        <f t="shared" si="7"/>
        <v>0.84</v>
      </c>
      <c r="E21" s="73">
        <f t="shared" si="6"/>
        <v>1</v>
      </c>
      <c r="F21" s="122">
        <f>VLOOKUP($B$3,'Data for Bill Impacts'!$A$3:$Y$15,22,0)</f>
        <v>0</v>
      </c>
      <c r="G21" s="22">
        <f t="shared" si="8"/>
        <v>0</v>
      </c>
      <c r="H21" s="22">
        <f t="shared" si="1"/>
        <v>-0.84</v>
      </c>
      <c r="I21" s="23">
        <f t="shared" si="2"/>
        <v>-1</v>
      </c>
      <c r="J21" s="23">
        <f t="shared" si="5"/>
        <v>0</v>
      </c>
      <c r="K21" s="108">
        <f t="shared" si="4"/>
        <v>0</v>
      </c>
    </row>
    <row r="22" spans="1:11" hidden="1" x14ac:dyDescent="0.2">
      <c r="A22" s="107" t="s">
        <v>123</v>
      </c>
      <c r="B22" s="73">
        <f>B4</f>
        <v>50</v>
      </c>
      <c r="C22" s="78">
        <v>0</v>
      </c>
      <c r="D22" s="22">
        <f>B22*C22</f>
        <v>0</v>
      </c>
      <c r="E22" s="73">
        <f>B22</f>
        <v>50</v>
      </c>
      <c r="F22" s="78">
        <v>0</v>
      </c>
      <c r="G22" s="22">
        <f>E22*F22</f>
        <v>0</v>
      </c>
      <c r="H22" s="22">
        <f>G22-D22</f>
        <v>0</v>
      </c>
      <c r="I22" s="23">
        <f>IF(ISERROR(H22/D22),0,(H22/D22))</f>
        <v>0</v>
      </c>
      <c r="J22" s="23">
        <f t="shared" si="5"/>
        <v>0</v>
      </c>
      <c r="K22" s="108">
        <f t="shared" si="4"/>
        <v>0</v>
      </c>
    </row>
    <row r="23" spans="1:11" x14ac:dyDescent="0.2">
      <c r="A23" s="107" t="s">
        <v>39</v>
      </c>
      <c r="B23" s="73">
        <f>IF($B$9="kWh",$B$4,$B$5)</f>
        <v>50</v>
      </c>
      <c r="C23" s="78">
        <f>VLOOKUP($B$3,'Data for Bill Impacts'!$A$3:$Y$15,10,0)</f>
        <v>6.3500000000000001E-2</v>
      </c>
      <c r="D23" s="22">
        <f>B23*C23</f>
        <v>3.1749999999999998</v>
      </c>
      <c r="E23" s="73">
        <f t="shared" si="6"/>
        <v>50</v>
      </c>
      <c r="F23" s="78">
        <f>VLOOKUP($B$3,'Data for Bill Impacts'!$A$3:$Y$15,19,0)</f>
        <v>6.08E-2</v>
      </c>
      <c r="G23" s="22">
        <f>E23*F23</f>
        <v>3.04</v>
      </c>
      <c r="H23" s="22">
        <f t="shared" si="1"/>
        <v>-0.13499999999999979</v>
      </c>
      <c r="I23" s="23">
        <f t="shared" si="2"/>
        <v>-4.2519685039370016E-2</v>
      </c>
      <c r="J23" s="23">
        <f t="shared" si="5"/>
        <v>5.643817044373961E-2</v>
      </c>
      <c r="K23" s="108">
        <f t="shared" si="4"/>
        <v>5.5933207619180629E-2</v>
      </c>
    </row>
    <row r="24" spans="1:11" x14ac:dyDescent="0.2">
      <c r="A24" s="107" t="s">
        <v>124</v>
      </c>
      <c r="B24" s="73">
        <f>IF($B$9="kWh",$B$4,$B$5)</f>
        <v>50</v>
      </c>
      <c r="C24" s="78">
        <f>VLOOKUP($B$3,'Data for Bill Impacts'!$A$3:$Y$15,14,0)</f>
        <v>2.9999999999999997E-4</v>
      </c>
      <c r="D24" s="22">
        <f>B24*C24</f>
        <v>1.4999999999999999E-2</v>
      </c>
      <c r="E24" s="73">
        <f>B24</f>
        <v>50</v>
      </c>
      <c r="F24" s="126">
        <f>VLOOKUP($B$3,'Data for Bill Impacts'!$A$3:$Y$15,23,0)</f>
        <v>2.0000000000000001E-4</v>
      </c>
      <c r="G24" s="22">
        <f>E24*F24</f>
        <v>0.01</v>
      </c>
      <c r="H24" s="22">
        <f>G24-D24</f>
        <v>-4.9999999999999992E-3</v>
      </c>
      <c r="I24" s="23">
        <f>IF(ISERROR(H24/D24),0,(H24/D24))</f>
        <v>-0.33333333333333331</v>
      </c>
      <c r="J24" s="23">
        <f t="shared" si="5"/>
        <v>1.8565187645966979E-4</v>
      </c>
      <c r="K24" s="108">
        <f t="shared" si="4"/>
        <v>1.8399081453677839E-4</v>
      </c>
    </row>
    <row r="25" spans="1:11" s="1" customFormat="1" x14ac:dyDescent="0.2">
      <c r="A25" s="110" t="s">
        <v>72</v>
      </c>
      <c r="B25" s="74"/>
      <c r="C25" s="35"/>
      <c r="D25" s="35">
        <f>SUM(D19:D24)</f>
        <v>40.31</v>
      </c>
      <c r="E25" s="73"/>
      <c r="F25" s="35"/>
      <c r="G25" s="35">
        <f>SUM(G19:G24)</f>
        <v>43.62</v>
      </c>
      <c r="H25" s="35">
        <f t="shared" si="1"/>
        <v>3.3099999999999952</v>
      </c>
      <c r="I25" s="36">
        <f t="shared" si="2"/>
        <v>8.2113619449268052E-2</v>
      </c>
      <c r="J25" s="36">
        <f t="shared" si="5"/>
        <v>0.80981348511707951</v>
      </c>
      <c r="K25" s="111">
        <f t="shared" si="4"/>
        <v>0.80256793300942719</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1.4666498240313913E-2</v>
      </c>
      <c r="K26" s="108">
        <f t="shared" si="4"/>
        <v>1.4535274348405493E-2</v>
      </c>
    </row>
    <row r="27" spans="1:11" s="1" customFormat="1" x14ac:dyDescent="0.2">
      <c r="A27" s="119" t="s">
        <v>75</v>
      </c>
      <c r="B27" s="120">
        <f>B8-B4</f>
        <v>5.2000000000000028</v>
      </c>
      <c r="C27" s="121">
        <f>IF(B4&gt;B7,C13,C12)</f>
        <v>0.10299999999999999</v>
      </c>
      <c r="D27" s="22">
        <f>B27*C27</f>
        <v>0.5356000000000003</v>
      </c>
      <c r="E27" s="73">
        <f>B27</f>
        <v>5.2000000000000028</v>
      </c>
      <c r="F27" s="121">
        <f>C27</f>
        <v>0.10299999999999999</v>
      </c>
      <c r="G27" s="22">
        <f>E27*F27</f>
        <v>0.5356000000000003</v>
      </c>
      <c r="H27" s="22">
        <f t="shared" si="1"/>
        <v>0</v>
      </c>
      <c r="I27" s="23">
        <f>IF(ISERROR(H27/D27),0,(H27/D27))</f>
        <v>0</v>
      </c>
      <c r="J27" s="23">
        <f t="shared" ref="J27:J46" si="9">G27/$G$46</f>
        <v>9.9435145031799184E-3</v>
      </c>
      <c r="K27" s="108">
        <f t="shared" ref="K27:K41" si="10">G27/$G$51</f>
        <v>9.8545480265898548E-3</v>
      </c>
    </row>
    <row r="28" spans="1:11" s="1" customFormat="1" x14ac:dyDescent="0.2">
      <c r="A28" s="119" t="s">
        <v>74</v>
      </c>
      <c r="B28" s="120">
        <f>B8-B4</f>
        <v>5.2000000000000028</v>
      </c>
      <c r="C28" s="121">
        <f>0.65*C15+0.17*C16+0.18*C17</f>
        <v>0.11139</v>
      </c>
      <c r="D28" s="22">
        <f>B28*C28</f>
        <v>0.5792280000000003</v>
      </c>
      <c r="E28" s="73">
        <f>B28</f>
        <v>5.2000000000000028</v>
      </c>
      <c r="F28" s="121">
        <f>C28</f>
        <v>0.11139</v>
      </c>
      <c r="G28" s="22">
        <f>E28*F28</f>
        <v>0.5792280000000003</v>
      </c>
      <c r="H28" s="22">
        <f t="shared" si="1"/>
        <v>0</v>
      </c>
      <c r="I28" s="23">
        <f>IF(ISERROR(H28/D28),0,(H28/D28))</f>
        <v>0</v>
      </c>
      <c r="J28" s="23">
        <f t="shared" si="9"/>
        <v>1.0753476509798167E-2</v>
      </c>
      <c r="K28" s="108">
        <f t="shared" si="10"/>
        <v>1.0657263152250912E-2</v>
      </c>
    </row>
    <row r="29" spans="1:11" s="1" customFormat="1" x14ac:dyDescent="0.2">
      <c r="A29" s="110" t="s">
        <v>78</v>
      </c>
      <c r="B29" s="74"/>
      <c r="C29" s="35"/>
      <c r="D29" s="35">
        <f>SUM(D25,D26:D27)</f>
        <v>41.635600000000004</v>
      </c>
      <c r="E29" s="73"/>
      <c r="F29" s="35"/>
      <c r="G29" s="35">
        <f>SUM(G25,G26:G27)</f>
        <v>44.945599999999999</v>
      </c>
      <c r="H29" s="35">
        <f t="shared" si="1"/>
        <v>3.3099999999999952</v>
      </c>
      <c r="I29" s="36">
        <f>IF(ISERROR(H29/D29),0,(H29/D29))</f>
        <v>7.949927465918577E-2</v>
      </c>
      <c r="J29" s="36">
        <f t="shared" si="9"/>
        <v>0.83442349786057335</v>
      </c>
      <c r="K29" s="111">
        <f t="shared" si="10"/>
        <v>0.82695775538442262</v>
      </c>
    </row>
    <row r="30" spans="1:11" s="1" customFormat="1" x14ac:dyDescent="0.2">
      <c r="A30" s="110" t="s">
        <v>77</v>
      </c>
      <c r="B30" s="74"/>
      <c r="C30" s="35"/>
      <c r="D30" s="35">
        <f>SUM(D25,D26,D28)</f>
        <v>41.679228000000002</v>
      </c>
      <c r="E30" s="73"/>
      <c r="F30" s="35"/>
      <c r="G30" s="35">
        <f>SUM(G25,G26,G28)</f>
        <v>44.989227999999997</v>
      </c>
      <c r="H30" s="35">
        <f t="shared" si="1"/>
        <v>3.3099999999999952</v>
      </c>
      <c r="I30" s="36">
        <f>IF(ISERROR(H30/D30),0,(H30/D30))</f>
        <v>7.941605828207747E-2</v>
      </c>
      <c r="J30" s="36">
        <f t="shared" si="9"/>
        <v>0.83523345986719155</v>
      </c>
      <c r="K30" s="111">
        <f t="shared" si="10"/>
        <v>0.82776047051008361</v>
      </c>
    </row>
    <row r="31" spans="1:11" x14ac:dyDescent="0.2">
      <c r="A31" s="107" t="s">
        <v>40</v>
      </c>
      <c r="B31" s="73">
        <f>B8</f>
        <v>55.2</v>
      </c>
      <c r="C31" s="78">
        <f>VLOOKUP($B$3,'Data for Bill Impacts'!$A$3:$Y$15,15,0)</f>
        <v>5.1000000000000004E-3</v>
      </c>
      <c r="D31" s="22">
        <f>B31*C31</f>
        <v>0.28152000000000005</v>
      </c>
      <c r="E31" s="73">
        <f t="shared" si="6"/>
        <v>55.2</v>
      </c>
      <c r="F31" s="126">
        <f>VLOOKUP($B$3,'Data for Bill Impacts'!$A$3:$Y$15,24,0)</f>
        <v>5.6559999999999996E-3</v>
      </c>
      <c r="G31" s="22">
        <f>E31*F31</f>
        <v>0.31221119999999997</v>
      </c>
      <c r="H31" s="22">
        <f t="shared" si="1"/>
        <v>3.0691199999999919E-2</v>
      </c>
      <c r="I31" s="23">
        <f t="shared" si="2"/>
        <v>0.10901960784313695</v>
      </c>
      <c r="J31" s="23">
        <f t="shared" si="9"/>
        <v>5.7962595131725242E-3</v>
      </c>
      <c r="K31" s="108">
        <f t="shared" si="10"/>
        <v>5.7443992995505015E-3</v>
      </c>
    </row>
    <row r="32" spans="1:11" x14ac:dyDescent="0.2">
      <c r="A32" s="107" t="s">
        <v>41</v>
      </c>
      <c r="B32" s="73">
        <f>B8</f>
        <v>55.2</v>
      </c>
      <c r="C32" s="78">
        <f>VLOOKUP($B$3,'Data for Bill Impacts'!$A$3:$Y$15,16,0)</f>
        <v>4.1999999999999997E-3</v>
      </c>
      <c r="D32" s="22">
        <f>B32*C32</f>
        <v>0.23183999999999999</v>
      </c>
      <c r="E32" s="73">
        <f t="shared" si="6"/>
        <v>55.2</v>
      </c>
      <c r="F32" s="126">
        <f>VLOOKUP($B$3,'Data for Bill Impacts'!$A$3:$Y$15,25,0)</f>
        <v>4.8209999999999998E-3</v>
      </c>
      <c r="G32" s="22">
        <f>E32*F32</f>
        <v>0.2661192</v>
      </c>
      <c r="H32" s="22">
        <f t="shared" si="1"/>
        <v>3.427920000000001E-2</v>
      </c>
      <c r="I32" s="23">
        <f t="shared" si="2"/>
        <v>0.14785714285714291</v>
      </c>
      <c r="J32" s="23">
        <f t="shared" si="9"/>
        <v>4.9405528841946151E-3</v>
      </c>
      <c r="K32" s="108">
        <f t="shared" si="10"/>
        <v>4.8963488371875832E-3</v>
      </c>
    </row>
    <row r="33" spans="1:11" s="1" customFormat="1" x14ac:dyDescent="0.2">
      <c r="A33" s="110" t="s">
        <v>76</v>
      </c>
      <c r="B33" s="74"/>
      <c r="C33" s="35"/>
      <c r="D33" s="35">
        <f>SUM(D31:D32)</f>
        <v>0.51336000000000004</v>
      </c>
      <c r="E33" s="73"/>
      <c r="F33" s="35"/>
      <c r="G33" s="35">
        <f>SUM(G31:G32)</f>
        <v>0.57833040000000002</v>
      </c>
      <c r="H33" s="35">
        <f t="shared" si="1"/>
        <v>6.4970399999999984E-2</v>
      </c>
      <c r="I33" s="36">
        <f t="shared" si="2"/>
        <v>0.12655913978494621</v>
      </c>
      <c r="J33" s="36">
        <f t="shared" si="9"/>
        <v>1.0736812397367141E-2</v>
      </c>
      <c r="K33" s="111">
        <f t="shared" si="10"/>
        <v>1.0640748136738086E-2</v>
      </c>
    </row>
    <row r="34" spans="1:11" s="1" customFormat="1" x14ac:dyDescent="0.2">
      <c r="A34" s="110" t="s">
        <v>91</v>
      </c>
      <c r="B34" s="74"/>
      <c r="C34" s="35"/>
      <c r="D34" s="35">
        <f>D29+D33</f>
        <v>42.148960000000002</v>
      </c>
      <c r="E34" s="73"/>
      <c r="F34" s="35"/>
      <c r="G34" s="35">
        <f>G29+G33</f>
        <v>45.523930399999998</v>
      </c>
      <c r="H34" s="35">
        <f t="shared" si="1"/>
        <v>3.3749703999999952</v>
      </c>
      <c r="I34" s="36">
        <f t="shared" si="2"/>
        <v>8.0072447813658867E-2</v>
      </c>
      <c r="J34" s="36">
        <f t="shared" si="9"/>
        <v>0.84516031025794047</v>
      </c>
      <c r="K34" s="111">
        <f t="shared" si="10"/>
        <v>0.83759850352116061</v>
      </c>
    </row>
    <row r="35" spans="1:11" s="1" customFormat="1" x14ac:dyDescent="0.2">
      <c r="A35" s="110" t="s">
        <v>92</v>
      </c>
      <c r="B35" s="74"/>
      <c r="C35" s="35"/>
      <c r="D35" s="35">
        <f>D30+D33</f>
        <v>42.192588000000001</v>
      </c>
      <c r="E35" s="73"/>
      <c r="F35" s="35"/>
      <c r="G35" s="35">
        <f>G30+G33</f>
        <v>45.567558399999996</v>
      </c>
      <c r="H35" s="35">
        <f t="shared" si="1"/>
        <v>3.3749703999999952</v>
      </c>
      <c r="I35" s="36">
        <f t="shared" si="2"/>
        <v>7.998965126291839E-2</v>
      </c>
      <c r="J35" s="36">
        <f t="shared" si="9"/>
        <v>0.84597027226455868</v>
      </c>
      <c r="K35" s="111">
        <f t="shared" si="10"/>
        <v>0.83840121864682171</v>
      </c>
    </row>
    <row r="36" spans="1:11" x14ac:dyDescent="0.2">
      <c r="A36" s="107" t="s">
        <v>42</v>
      </c>
      <c r="B36" s="73">
        <f>B8</f>
        <v>55.2</v>
      </c>
      <c r="C36" s="34">
        <v>3.5999999999999999E-3</v>
      </c>
      <c r="D36" s="22">
        <f>B36*C36</f>
        <v>0.19872000000000001</v>
      </c>
      <c r="E36" s="73">
        <f t="shared" si="6"/>
        <v>55.2</v>
      </c>
      <c r="F36" s="34">
        <v>3.5999999999999999E-3</v>
      </c>
      <c r="G36" s="22">
        <f>E36*F36</f>
        <v>0.19872000000000001</v>
      </c>
      <c r="H36" s="22">
        <f t="shared" si="1"/>
        <v>0</v>
      </c>
      <c r="I36" s="23">
        <f t="shared" si="2"/>
        <v>0</v>
      </c>
      <c r="J36" s="23">
        <f t="shared" si="9"/>
        <v>3.689274089006558E-3</v>
      </c>
      <c r="K36" s="108">
        <f t="shared" si="10"/>
        <v>3.6562654664748602E-3</v>
      </c>
    </row>
    <row r="37" spans="1:11" x14ac:dyDescent="0.2">
      <c r="A37" s="107" t="s">
        <v>43</v>
      </c>
      <c r="B37" s="73">
        <f>B8</f>
        <v>55.2</v>
      </c>
      <c r="C37" s="34">
        <v>2.0999999999999999E-3</v>
      </c>
      <c r="D37" s="22">
        <f>B37*C37</f>
        <v>0.11592</v>
      </c>
      <c r="E37" s="73">
        <f t="shared" si="6"/>
        <v>55.2</v>
      </c>
      <c r="F37" s="34">
        <v>2.0999999999999999E-3</v>
      </c>
      <c r="G37" s="22">
        <f>E37*F37</f>
        <v>0.11592</v>
      </c>
      <c r="H37" s="22">
        <f>G37-D37</f>
        <v>0</v>
      </c>
      <c r="I37" s="23">
        <f t="shared" si="2"/>
        <v>0</v>
      </c>
      <c r="J37" s="23">
        <f t="shared" si="9"/>
        <v>2.1520765519204921E-3</v>
      </c>
      <c r="K37" s="108">
        <f t="shared" si="10"/>
        <v>2.132821522110335E-3</v>
      </c>
    </row>
    <row r="38" spans="1:11" x14ac:dyDescent="0.2">
      <c r="A38" s="107" t="s">
        <v>96</v>
      </c>
      <c r="B38" s="73">
        <f>B8</f>
        <v>55.2</v>
      </c>
      <c r="C38" s="34">
        <v>1.1000000000000001E-3</v>
      </c>
      <c r="D38" s="22">
        <f>B38*C38</f>
        <v>6.072000000000001E-2</v>
      </c>
      <c r="E38" s="73">
        <f t="shared" si="6"/>
        <v>55.2</v>
      </c>
      <c r="F38" s="34">
        <v>1.1000000000000001E-3</v>
      </c>
      <c r="G38" s="22">
        <f>E38*F38</f>
        <v>6.072000000000001E-2</v>
      </c>
      <c r="H38" s="22">
        <f>G38-D38</f>
        <v>0</v>
      </c>
      <c r="I38" s="23">
        <f t="shared" ref="I38" si="11">IF(ISERROR(H38/D38),0,(H38/D38))</f>
        <v>0</v>
      </c>
      <c r="J38" s="23">
        <f t="shared" ref="J38" si="12">G38/$G$46</f>
        <v>1.127278193863115E-3</v>
      </c>
      <c r="K38" s="108">
        <f t="shared" ref="K38" si="13">G38/$G$51</f>
        <v>1.1171922258673185E-3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4.6412969114917445E-3</v>
      </c>
      <c r="K39" s="108">
        <f t="shared" si="10"/>
        <v>4.599770363419459E-3</v>
      </c>
    </row>
    <row r="40" spans="1:11" s="1" customFormat="1" x14ac:dyDescent="0.2">
      <c r="A40" s="110" t="s">
        <v>45</v>
      </c>
      <c r="B40" s="74"/>
      <c r="C40" s="35"/>
      <c r="D40" s="35">
        <f>SUM(D36:D39)</f>
        <v>0.62536000000000003</v>
      </c>
      <c r="E40" s="73"/>
      <c r="F40" s="35"/>
      <c r="G40" s="35">
        <f>SUM(G36:G39)</f>
        <v>0.62536000000000003</v>
      </c>
      <c r="H40" s="35">
        <f t="shared" si="1"/>
        <v>0</v>
      </c>
      <c r="I40" s="36">
        <f t="shared" si="2"/>
        <v>0</v>
      </c>
      <c r="J40" s="36">
        <f t="shared" si="9"/>
        <v>1.160992574628191E-2</v>
      </c>
      <c r="K40" s="111">
        <f t="shared" si="10"/>
        <v>1.1506049577871973E-2</v>
      </c>
    </row>
    <row r="41" spans="1:11" s="1" customFormat="1" ht="13.5" thickBot="1" x14ac:dyDescent="0.25">
      <c r="A41" s="112" t="s">
        <v>46</v>
      </c>
      <c r="B41" s="113">
        <f>B4</f>
        <v>50</v>
      </c>
      <c r="C41" s="114">
        <v>0</v>
      </c>
      <c r="D41" s="115">
        <f>B41*C41</f>
        <v>0</v>
      </c>
      <c r="E41" s="116">
        <f t="shared" si="6"/>
        <v>50</v>
      </c>
      <c r="F41" s="114">
        <f>C41</f>
        <v>0</v>
      </c>
      <c r="G41" s="115">
        <f>E41*F41</f>
        <v>0</v>
      </c>
      <c r="H41" s="115">
        <f t="shared" si="1"/>
        <v>0</v>
      </c>
      <c r="I41" s="117">
        <f t="shared" si="2"/>
        <v>0</v>
      </c>
      <c r="J41" s="117">
        <f t="shared" si="9"/>
        <v>0</v>
      </c>
      <c r="K41" s="118">
        <f t="shared" si="10"/>
        <v>0</v>
      </c>
    </row>
    <row r="42" spans="1:11" s="1" customFormat="1" x14ac:dyDescent="0.2">
      <c r="A42" s="37" t="s">
        <v>105</v>
      </c>
      <c r="B42" s="38"/>
      <c r="C42" s="39"/>
      <c r="D42" s="39">
        <f>SUM(D14,D25,D26,D27,D33,D40,D41)</f>
        <v>47.924320000000002</v>
      </c>
      <c r="E42" s="38"/>
      <c r="F42" s="39"/>
      <c r="G42" s="39">
        <f>SUM(G14,G25,G26,G27,G33,G40,G41)</f>
        <v>51.299290399999997</v>
      </c>
      <c r="H42" s="39">
        <f t="shared" si="1"/>
        <v>3.3749703999999952</v>
      </c>
      <c r="I42" s="40">
        <f>IF(ISERROR(H42/D42),0,(H42/D42))</f>
        <v>7.0422916798819374E-2</v>
      </c>
      <c r="J42" s="40">
        <f t="shared" si="9"/>
        <v>0.95238095238095233</v>
      </c>
      <c r="K42" s="41"/>
    </row>
    <row r="43" spans="1:11" x14ac:dyDescent="0.2">
      <c r="A43" s="154" t="s">
        <v>106</v>
      </c>
      <c r="B43" s="43"/>
      <c r="C43" s="26">
        <v>0.13</v>
      </c>
      <c r="D43" s="26">
        <f>D42*C43</f>
        <v>6.2301616000000006</v>
      </c>
      <c r="E43" s="26"/>
      <c r="F43" s="26">
        <f>C43</f>
        <v>0.13</v>
      </c>
      <c r="G43" s="26">
        <f>G42*F43</f>
        <v>6.668907752</v>
      </c>
      <c r="H43" s="26">
        <f t="shared" si="1"/>
        <v>0.43874615199999933</v>
      </c>
      <c r="I43" s="44">
        <f t="shared" si="2"/>
        <v>7.042291679881936E-2</v>
      </c>
      <c r="J43" s="44">
        <f t="shared" si="9"/>
        <v>0.12380952380952381</v>
      </c>
      <c r="K43" s="45"/>
    </row>
    <row r="44" spans="1:11" s="1" customFormat="1" x14ac:dyDescent="0.2">
      <c r="A44" s="46" t="s">
        <v>107</v>
      </c>
      <c r="B44" s="24"/>
      <c r="C44" s="25"/>
      <c r="D44" s="25">
        <f>SUM(D42:D43)</f>
        <v>54.154481600000004</v>
      </c>
      <c r="E44" s="25"/>
      <c r="F44" s="25"/>
      <c r="G44" s="25">
        <f>SUM(G42:G43)</f>
        <v>57.968198151999999</v>
      </c>
      <c r="H44" s="25">
        <f t="shared" si="1"/>
        <v>3.8137165519999954</v>
      </c>
      <c r="I44" s="27">
        <f t="shared" si="2"/>
        <v>7.0422916798819388E-2</v>
      </c>
      <c r="J44" s="27">
        <f t="shared" si="9"/>
        <v>1.0761904761904761</v>
      </c>
      <c r="K44" s="47"/>
    </row>
    <row r="45" spans="1:11" x14ac:dyDescent="0.2">
      <c r="A45" s="42" t="s">
        <v>108</v>
      </c>
      <c r="B45" s="43"/>
      <c r="C45" s="26">
        <v>-0.08</v>
      </c>
      <c r="D45" s="26">
        <f>D42*C45</f>
        <v>-3.8339456000000003</v>
      </c>
      <c r="E45" s="26"/>
      <c r="F45" s="26">
        <f>C45</f>
        <v>-0.08</v>
      </c>
      <c r="G45" s="26">
        <f>G42*F45</f>
        <v>-4.1039432319999998</v>
      </c>
      <c r="H45" s="26">
        <f t="shared" si="1"/>
        <v>-0.26999763199999949</v>
      </c>
      <c r="I45" s="44">
        <f t="shared" si="2"/>
        <v>7.0422916798819332E-2</v>
      </c>
      <c r="J45" s="44">
        <f t="shared" si="9"/>
        <v>-7.6190476190476183E-2</v>
      </c>
      <c r="K45" s="45"/>
    </row>
    <row r="46" spans="1:11" s="1" customFormat="1" ht="13.5" thickBot="1" x14ac:dyDescent="0.25">
      <c r="A46" s="48" t="s">
        <v>109</v>
      </c>
      <c r="B46" s="49"/>
      <c r="C46" s="50"/>
      <c r="D46" s="50">
        <f>SUM(D44:D45)</f>
        <v>50.320536000000004</v>
      </c>
      <c r="E46" s="50"/>
      <c r="F46" s="50"/>
      <c r="G46" s="50">
        <f>SUM(G44:G45)</f>
        <v>53.86425492</v>
      </c>
      <c r="H46" s="50">
        <f t="shared" si="1"/>
        <v>3.5437189199999963</v>
      </c>
      <c r="I46" s="51">
        <f t="shared" si="2"/>
        <v>7.0422916798819388E-2</v>
      </c>
      <c r="J46" s="51">
        <f t="shared" si="9"/>
        <v>1</v>
      </c>
      <c r="K46" s="52"/>
    </row>
    <row r="47" spans="1:11" x14ac:dyDescent="0.2">
      <c r="A47" s="53" t="s">
        <v>110</v>
      </c>
      <c r="B47" s="54"/>
      <c r="C47" s="55"/>
      <c r="D47" s="55">
        <f>SUM(D18,D25,D26,D28,D33,D40,D41)</f>
        <v>48.387447999999999</v>
      </c>
      <c r="E47" s="55"/>
      <c r="F47" s="55"/>
      <c r="G47" s="55">
        <f>SUM(G18,G25,G26,G28,G33,G40,G41)</f>
        <v>51.762418399999994</v>
      </c>
      <c r="H47" s="55">
        <f>G47-D47</f>
        <v>3.3749703999999952</v>
      </c>
      <c r="I47" s="56">
        <f>IF(ISERROR(H47/D47),0,(H47/D47))</f>
        <v>6.9748881982781882E-2</v>
      </c>
      <c r="J47" s="56"/>
      <c r="K47" s="57">
        <f>G47/$G$51</f>
        <v>0.95238095238095233</v>
      </c>
    </row>
    <row r="48" spans="1:11" x14ac:dyDescent="0.2">
      <c r="A48" s="155" t="s">
        <v>106</v>
      </c>
      <c r="B48" s="59"/>
      <c r="C48" s="31">
        <v>0.13</v>
      </c>
      <c r="D48" s="31">
        <f>D47*C48</f>
        <v>6.2903682400000003</v>
      </c>
      <c r="E48" s="31"/>
      <c r="F48" s="31">
        <f>C48</f>
        <v>0.13</v>
      </c>
      <c r="G48" s="31">
        <f>G47*F48</f>
        <v>6.7291143919999996</v>
      </c>
      <c r="H48" s="31">
        <f>G48-D48</f>
        <v>0.43874615199999933</v>
      </c>
      <c r="I48" s="32">
        <f>IF(ISERROR(H48/D48),0,(H48/D48))</f>
        <v>6.9748881982781868E-2</v>
      </c>
      <c r="J48" s="32"/>
      <c r="K48" s="60">
        <f>G48/$G$51</f>
        <v>0.12380952380952381</v>
      </c>
    </row>
    <row r="49" spans="1:11" x14ac:dyDescent="0.2">
      <c r="A49" s="61" t="s">
        <v>111</v>
      </c>
      <c r="B49" s="29"/>
      <c r="C49" s="30"/>
      <c r="D49" s="30">
        <f>SUM(D47:D48)</f>
        <v>54.677816239999999</v>
      </c>
      <c r="E49" s="30"/>
      <c r="F49" s="30"/>
      <c r="G49" s="30">
        <f>SUM(G47:G48)</f>
        <v>58.491532791999994</v>
      </c>
      <c r="H49" s="30">
        <f>G49-D49</f>
        <v>3.8137165519999954</v>
      </c>
      <c r="I49" s="33">
        <f>IF(ISERROR(H49/D49),0,(H49/D49))</f>
        <v>6.9748881982781896E-2</v>
      </c>
      <c r="J49" s="33"/>
      <c r="K49" s="62">
        <f>G49/$G$51</f>
        <v>1.0761904761904761</v>
      </c>
    </row>
    <row r="50" spans="1:11" x14ac:dyDescent="0.2">
      <c r="A50" s="58" t="s">
        <v>108</v>
      </c>
      <c r="B50" s="59"/>
      <c r="C50" s="31">
        <v>-0.08</v>
      </c>
      <c r="D50" s="31">
        <f>D47*C50</f>
        <v>-3.87099584</v>
      </c>
      <c r="E50" s="31"/>
      <c r="F50" s="31">
        <f>C50</f>
        <v>-0.08</v>
      </c>
      <c r="G50" s="31">
        <f>G47*F50</f>
        <v>-4.1409934719999999</v>
      </c>
      <c r="H50" s="31">
        <f>G50-D50</f>
        <v>-0.26999763199999993</v>
      </c>
      <c r="I50" s="32">
        <f>IF(ISERROR(H50/D50),0,(H50/D50))</f>
        <v>6.9748881982781966E-2</v>
      </c>
      <c r="J50" s="32"/>
      <c r="K50" s="60">
        <f>G50/$G$51</f>
        <v>-7.6190476190476197E-2</v>
      </c>
    </row>
    <row r="51" spans="1:11" ht="13.5" thickBot="1" x14ac:dyDescent="0.25">
      <c r="A51" s="63" t="s">
        <v>121</v>
      </c>
      <c r="B51" s="64"/>
      <c r="C51" s="65"/>
      <c r="D51" s="65">
        <f>SUM(D49:D50)</f>
        <v>50.806820399999999</v>
      </c>
      <c r="E51" s="65"/>
      <c r="F51" s="65"/>
      <c r="G51" s="65">
        <f>SUM(G49:G50)</f>
        <v>54.350539319999996</v>
      </c>
      <c r="H51" s="65">
        <f>G51-D51</f>
        <v>3.5437189199999963</v>
      </c>
      <c r="I51" s="66">
        <f>IF(ISERROR(H51/D51),0,(H51/D51))</f>
        <v>6.974888198278191E-2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100</v>
      </c>
      <c r="B1" s="192"/>
      <c r="C1" s="192"/>
      <c r="D1" s="192"/>
      <c r="E1" s="192"/>
      <c r="F1" s="192"/>
      <c r="G1" s="192"/>
      <c r="H1" s="192"/>
      <c r="I1" s="192"/>
      <c r="J1" s="192"/>
      <c r="K1" s="193"/>
    </row>
    <row r="3" spans="1:11" x14ac:dyDescent="0.2">
      <c r="A3" s="13" t="s">
        <v>13</v>
      </c>
      <c r="B3" s="13" t="s">
        <v>3</v>
      </c>
    </row>
    <row r="4" spans="1:11" x14ac:dyDescent="0.2">
      <c r="A4" s="15" t="s">
        <v>62</v>
      </c>
      <c r="B4" s="15">
        <v>350</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69">
        <f>B4*B6</f>
        <v>386.40000000000003</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350</v>
      </c>
      <c r="C12" s="103">
        <v>0.10299999999999999</v>
      </c>
      <c r="D12" s="104">
        <f>B12*C12</f>
        <v>36.049999999999997</v>
      </c>
      <c r="E12" s="102">
        <f>B12</f>
        <v>350</v>
      </c>
      <c r="F12" s="103">
        <f>C12</f>
        <v>0.10299999999999999</v>
      </c>
      <c r="G12" s="104">
        <f>E12*F12</f>
        <v>36.049999999999997</v>
      </c>
      <c r="H12" s="104">
        <f>G12-D12</f>
        <v>0</v>
      </c>
      <c r="I12" s="105">
        <f>IF(ISERROR(H12/D12),0,(H12/D12))</f>
        <v>0</v>
      </c>
      <c r="J12" s="105">
        <f>G12/$G$46</f>
        <v>0.31373256310051867</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36.049999999999997</v>
      </c>
      <c r="E14" s="76"/>
      <c r="F14" s="25"/>
      <c r="G14" s="25">
        <f>SUM(G12:G13)</f>
        <v>36.049999999999997</v>
      </c>
      <c r="H14" s="25">
        <f t="shared" si="1"/>
        <v>0</v>
      </c>
      <c r="I14" s="27">
        <f t="shared" si="2"/>
        <v>0</v>
      </c>
      <c r="J14" s="27">
        <f>G14/$G$46</f>
        <v>0.31373256310051867</v>
      </c>
      <c r="K14" s="108"/>
    </row>
    <row r="15" spans="1:11" s="1" customFormat="1" x14ac:dyDescent="0.2">
      <c r="A15" s="109" t="s">
        <v>34</v>
      </c>
      <c r="B15" s="75">
        <f>B4*0.65</f>
        <v>227.5</v>
      </c>
      <c r="C15" s="28">
        <v>8.6999999999999994E-2</v>
      </c>
      <c r="D15" s="22">
        <f>B15*C15</f>
        <v>19.792499999999997</v>
      </c>
      <c r="E15" s="73">
        <f t="shared" ref="E15:F17" si="3">B15</f>
        <v>227.5</v>
      </c>
      <c r="F15" s="28">
        <f t="shared" si="3"/>
        <v>8.6999999999999994E-2</v>
      </c>
      <c r="G15" s="22">
        <f>E15*F15</f>
        <v>19.792499999999997</v>
      </c>
      <c r="H15" s="22">
        <f t="shared" si="1"/>
        <v>0</v>
      </c>
      <c r="I15" s="23">
        <f t="shared" si="2"/>
        <v>0</v>
      </c>
      <c r="J15" s="23"/>
      <c r="K15" s="108">
        <f t="shared" ref="K15:K26" si="4">G15/$G$51</f>
        <v>0.16729245463779446</v>
      </c>
    </row>
    <row r="16" spans="1:11" s="1" customFormat="1" x14ac:dyDescent="0.2">
      <c r="A16" s="109" t="s">
        <v>35</v>
      </c>
      <c r="B16" s="75">
        <f>B4*0.17</f>
        <v>59.500000000000007</v>
      </c>
      <c r="C16" s="28">
        <v>0.13200000000000001</v>
      </c>
      <c r="D16" s="22">
        <f>B16*C16</f>
        <v>7.854000000000001</v>
      </c>
      <c r="E16" s="73">
        <f t="shared" si="3"/>
        <v>59.500000000000007</v>
      </c>
      <c r="F16" s="28">
        <f t="shared" si="3"/>
        <v>0.13200000000000001</v>
      </c>
      <c r="G16" s="22">
        <f>E16*F16</f>
        <v>7.854000000000001</v>
      </c>
      <c r="H16" s="22">
        <f t="shared" si="1"/>
        <v>0</v>
      </c>
      <c r="I16" s="23">
        <f t="shared" si="2"/>
        <v>0</v>
      </c>
      <c r="J16" s="23"/>
      <c r="K16" s="108">
        <f t="shared" si="4"/>
        <v>6.6384485978286625E-2</v>
      </c>
    </row>
    <row r="17" spans="1:11" s="1" customFormat="1" x14ac:dyDescent="0.2">
      <c r="A17" s="109" t="s">
        <v>36</v>
      </c>
      <c r="B17" s="75">
        <f>B4*0.18</f>
        <v>63</v>
      </c>
      <c r="C17" s="28">
        <v>0.18</v>
      </c>
      <c r="D17" s="22">
        <f>B17*C17</f>
        <v>11.34</v>
      </c>
      <c r="E17" s="73">
        <f t="shared" si="3"/>
        <v>63</v>
      </c>
      <c r="F17" s="28">
        <f t="shared" si="3"/>
        <v>0.18</v>
      </c>
      <c r="G17" s="22">
        <f>E17*F17</f>
        <v>11.34</v>
      </c>
      <c r="H17" s="22">
        <f t="shared" si="1"/>
        <v>0</v>
      </c>
      <c r="I17" s="23">
        <f t="shared" si="2"/>
        <v>0</v>
      </c>
      <c r="J17" s="23"/>
      <c r="K17" s="108">
        <f t="shared" si="4"/>
        <v>9.5849257829611692E-2</v>
      </c>
    </row>
    <row r="18" spans="1:11" s="1" customFormat="1" x14ac:dyDescent="0.2">
      <c r="A18" s="61" t="s">
        <v>37</v>
      </c>
      <c r="B18" s="29"/>
      <c r="C18" s="30"/>
      <c r="D18" s="30">
        <f>SUM(D15:D17)</f>
        <v>38.986499999999992</v>
      </c>
      <c r="E18" s="77"/>
      <c r="F18" s="30"/>
      <c r="G18" s="30">
        <f>SUM(G15:G17)</f>
        <v>38.986499999999992</v>
      </c>
      <c r="H18" s="31">
        <f t="shared" si="1"/>
        <v>0</v>
      </c>
      <c r="I18" s="32">
        <f t="shared" si="2"/>
        <v>0</v>
      </c>
      <c r="J18" s="33">
        <f t="shared" ref="J18:J26" si="5">G18/$G$46</f>
        <v>0.33928806023074531</v>
      </c>
      <c r="K18" s="62">
        <f t="shared" si="4"/>
        <v>0.3295261984456927</v>
      </c>
    </row>
    <row r="19" spans="1:11" x14ac:dyDescent="0.2">
      <c r="A19" s="107" t="s">
        <v>38</v>
      </c>
      <c r="B19" s="73">
        <v>1</v>
      </c>
      <c r="C19" s="78">
        <f>VLOOKUP($B$3,'Data for Bill Impacts'!$A$3:$Y$15,7,0)</f>
        <v>36.28</v>
      </c>
      <c r="D19" s="22">
        <f>B19*C19</f>
        <v>36.28</v>
      </c>
      <c r="E19" s="73">
        <f t="shared" ref="E19:E41" si="6">B19</f>
        <v>1</v>
      </c>
      <c r="F19" s="78">
        <f>VLOOKUP($B$3,'Data for Bill Impacts'!$A$3:$Y$15,17,0)</f>
        <v>40.57</v>
      </c>
      <c r="G19" s="22">
        <f>E19*F19</f>
        <v>40.57</v>
      </c>
      <c r="H19" s="22">
        <f t="shared" si="1"/>
        <v>4.2899999999999991</v>
      </c>
      <c r="I19" s="23">
        <f t="shared" si="2"/>
        <v>0.11824696802646083</v>
      </c>
      <c r="J19" s="23">
        <f t="shared" si="5"/>
        <v>0.35306879570008443</v>
      </c>
      <c r="K19" s="108">
        <f t="shared" si="4"/>
        <v>0.34291044004826687</v>
      </c>
    </row>
    <row r="20" spans="1:11" hidden="1" x14ac:dyDescent="0.2">
      <c r="A20" s="107" t="s">
        <v>113</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0.84</v>
      </c>
      <c r="D21" s="22">
        <f t="shared" si="7"/>
        <v>0.84</v>
      </c>
      <c r="E21" s="73">
        <f t="shared" si="6"/>
        <v>1</v>
      </c>
      <c r="F21" s="122">
        <f>VLOOKUP($B$3,'Data for Bill Impacts'!$A$3:$Y$15,22,0)</f>
        <v>0</v>
      </c>
      <c r="G21" s="22">
        <f t="shared" si="8"/>
        <v>0</v>
      </c>
      <c r="H21" s="22">
        <f t="shared" si="1"/>
        <v>-0.84</v>
      </c>
      <c r="I21" s="23">
        <f t="shared" si="2"/>
        <v>-1</v>
      </c>
      <c r="J21" s="23">
        <f t="shared" si="5"/>
        <v>0</v>
      </c>
      <c r="K21" s="108">
        <f t="shared" si="4"/>
        <v>0</v>
      </c>
    </row>
    <row r="22" spans="1:11" hidden="1" x14ac:dyDescent="0.2">
      <c r="A22" s="107" t="s">
        <v>123</v>
      </c>
      <c r="B22" s="73">
        <f>B4</f>
        <v>350</v>
      </c>
      <c r="C22" s="78">
        <v>0</v>
      </c>
      <c r="D22" s="22">
        <f>B22*C22</f>
        <v>0</v>
      </c>
      <c r="E22" s="73">
        <f>B22</f>
        <v>350</v>
      </c>
      <c r="F22" s="78">
        <v>0</v>
      </c>
      <c r="G22" s="22">
        <f>E22*F22</f>
        <v>0</v>
      </c>
      <c r="H22" s="22">
        <f>G22-D22</f>
        <v>0</v>
      </c>
      <c r="I22" s="23">
        <f>IF(ISERROR(H22/D22),0,(H22/D22))</f>
        <v>0</v>
      </c>
      <c r="J22" s="23">
        <f t="shared" si="5"/>
        <v>0</v>
      </c>
      <c r="K22" s="108">
        <f t="shared" si="4"/>
        <v>0</v>
      </c>
    </row>
    <row r="23" spans="1:11" x14ac:dyDescent="0.2">
      <c r="A23" s="107" t="s">
        <v>39</v>
      </c>
      <c r="B23" s="73">
        <f>IF($B$9="kWh",$B$4,$B$5)</f>
        <v>350</v>
      </c>
      <c r="C23" s="78">
        <f>VLOOKUP($B$3,'Data for Bill Impacts'!$A$3:$Y$15,10,0)</f>
        <v>6.3500000000000001E-2</v>
      </c>
      <c r="D23" s="22">
        <f>B23*C23</f>
        <v>22.225000000000001</v>
      </c>
      <c r="E23" s="73">
        <f t="shared" si="6"/>
        <v>350</v>
      </c>
      <c r="F23" s="78">
        <f>VLOOKUP($B$3,'Data for Bill Impacts'!$A$3:$Y$15,19,0)</f>
        <v>6.08E-2</v>
      </c>
      <c r="G23" s="22">
        <f>E23*F23</f>
        <v>21.28</v>
      </c>
      <c r="H23" s="22">
        <f t="shared" si="1"/>
        <v>-0.94500000000000028</v>
      </c>
      <c r="I23" s="23">
        <f t="shared" si="2"/>
        <v>-4.2519685039370092E-2</v>
      </c>
      <c r="J23" s="23">
        <f t="shared" si="5"/>
        <v>0.18519359064574306</v>
      </c>
      <c r="K23" s="108">
        <f t="shared" si="4"/>
        <v>0.17986527395186391</v>
      </c>
    </row>
    <row r="24" spans="1:11" x14ac:dyDescent="0.2">
      <c r="A24" s="107" t="s">
        <v>124</v>
      </c>
      <c r="B24" s="73">
        <f>IF($B$9="kWh",$B$4,$B$5)</f>
        <v>350</v>
      </c>
      <c r="C24" s="78">
        <f>VLOOKUP($B$3,'Data for Bill Impacts'!$A$3:$Y$15,14,0)</f>
        <v>2.9999999999999997E-4</v>
      </c>
      <c r="D24" s="22">
        <f>B24*C24</f>
        <v>0.105</v>
      </c>
      <c r="E24" s="73">
        <f>B24</f>
        <v>350</v>
      </c>
      <c r="F24" s="126">
        <f>VLOOKUP($B$3,'Data for Bill Impacts'!$A$3:$Y$15,23,0)</f>
        <v>2.0000000000000001E-4</v>
      </c>
      <c r="G24" s="22">
        <f>E24*F24</f>
        <v>7.0000000000000007E-2</v>
      </c>
      <c r="H24" s="22">
        <f>G24-D24</f>
        <v>-3.4999999999999989E-2</v>
      </c>
      <c r="I24" s="23">
        <f>IF(ISERROR(H24/D24),0,(H24/D24))</f>
        <v>-0.33333333333333326</v>
      </c>
      <c r="J24" s="23">
        <f t="shared" si="5"/>
        <v>6.0918944291362851E-4</v>
      </c>
      <c r="K24" s="108">
        <f t="shared" si="4"/>
        <v>5.916620853679735E-4</v>
      </c>
    </row>
    <row r="25" spans="1:11" s="1" customFormat="1" x14ac:dyDescent="0.2">
      <c r="A25" s="110" t="s">
        <v>72</v>
      </c>
      <c r="B25" s="74"/>
      <c r="C25" s="35"/>
      <c r="D25" s="35">
        <f>SUM(D19:D24)</f>
        <v>59.45</v>
      </c>
      <c r="E25" s="73"/>
      <c r="F25" s="35"/>
      <c r="G25" s="35">
        <f>SUM(G19:G24)</f>
        <v>61.92</v>
      </c>
      <c r="H25" s="35">
        <f t="shared" si="1"/>
        <v>2.4699999999999989</v>
      </c>
      <c r="I25" s="36">
        <f t="shared" si="2"/>
        <v>4.1547518923465074E-2</v>
      </c>
      <c r="J25" s="36">
        <f t="shared" si="5"/>
        <v>0.53887157578874112</v>
      </c>
      <c r="K25" s="111">
        <f t="shared" si="4"/>
        <v>0.52336737608549877</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6.8751379985966645E-3</v>
      </c>
      <c r="K26" s="108">
        <f t="shared" si="4"/>
        <v>6.6773292491528425E-3</v>
      </c>
    </row>
    <row r="27" spans="1:11" s="1" customFormat="1" x14ac:dyDescent="0.2">
      <c r="A27" s="119" t="s">
        <v>75</v>
      </c>
      <c r="B27" s="120">
        <f>B8-B4</f>
        <v>36.400000000000034</v>
      </c>
      <c r="C27" s="121">
        <f>IF(B4&gt;B7,C13,C12)</f>
        <v>0.10299999999999999</v>
      </c>
      <c r="D27" s="22">
        <f>B27*C27</f>
        <v>3.7492000000000032</v>
      </c>
      <c r="E27" s="73">
        <f>B27</f>
        <v>36.400000000000034</v>
      </c>
      <c r="F27" s="121">
        <f>C27</f>
        <v>0.10299999999999999</v>
      </c>
      <c r="G27" s="22">
        <f>E27*F27</f>
        <v>3.7492000000000032</v>
      </c>
      <c r="H27" s="22">
        <f t="shared" si="1"/>
        <v>0</v>
      </c>
      <c r="I27" s="23">
        <f>IF(ISERROR(H27/D27),0,(H27/D27))</f>
        <v>0</v>
      </c>
      <c r="J27" s="23">
        <f t="shared" ref="J27:J46" si="9">G27/$G$46</f>
        <v>3.2628186562453969E-2</v>
      </c>
      <c r="K27" s="108">
        <f t="shared" ref="K27:K41" si="10">G27/$G$51</f>
        <v>3.168942129230868E-2</v>
      </c>
    </row>
    <row r="28" spans="1:11" s="1" customFormat="1" x14ac:dyDescent="0.2">
      <c r="A28" s="119" t="s">
        <v>74</v>
      </c>
      <c r="B28" s="120">
        <f>B8-B4</f>
        <v>36.400000000000034</v>
      </c>
      <c r="C28" s="121">
        <f>0.65*C15+0.17*C16+0.18*C17</f>
        <v>0.11139</v>
      </c>
      <c r="D28" s="22">
        <f>B28*C28</f>
        <v>4.0545960000000036</v>
      </c>
      <c r="E28" s="73">
        <f>B28</f>
        <v>36.400000000000034</v>
      </c>
      <c r="F28" s="121">
        <f>C28</f>
        <v>0.11139</v>
      </c>
      <c r="G28" s="22">
        <f>E28*F28</f>
        <v>4.0545960000000036</v>
      </c>
      <c r="H28" s="22">
        <f t="shared" si="1"/>
        <v>0</v>
      </c>
      <c r="I28" s="23">
        <f>IF(ISERROR(H28/D28),0,(H28/D28))</f>
        <v>0</v>
      </c>
      <c r="J28" s="23">
        <f t="shared" si="9"/>
        <v>3.5285958263997552E-2</v>
      </c>
      <c r="K28" s="108">
        <f t="shared" si="10"/>
        <v>3.4270724638352082E-2</v>
      </c>
    </row>
    <row r="29" spans="1:11" s="1" customFormat="1" x14ac:dyDescent="0.2">
      <c r="A29" s="110" t="s">
        <v>78</v>
      </c>
      <c r="B29" s="74"/>
      <c r="C29" s="35"/>
      <c r="D29" s="35">
        <f>SUM(D25,D26:D27)</f>
        <v>63.989200000000004</v>
      </c>
      <c r="E29" s="73"/>
      <c r="F29" s="35"/>
      <c r="G29" s="35">
        <f>SUM(G25,G26:G27)</f>
        <v>66.45920000000001</v>
      </c>
      <c r="H29" s="35">
        <f t="shared" si="1"/>
        <v>2.470000000000006</v>
      </c>
      <c r="I29" s="36">
        <f>IF(ISERROR(H29/D29),0,(H29/D29))</f>
        <v>3.8600263794515415E-2</v>
      </c>
      <c r="J29" s="36">
        <f t="shared" si="9"/>
        <v>0.57837490034979178</v>
      </c>
      <c r="K29" s="111">
        <f t="shared" si="10"/>
        <v>0.56173412662696032</v>
      </c>
    </row>
    <row r="30" spans="1:11" s="1" customFormat="1" x14ac:dyDescent="0.2">
      <c r="A30" s="110" t="s">
        <v>77</v>
      </c>
      <c r="B30" s="74"/>
      <c r="C30" s="35"/>
      <c r="D30" s="35">
        <f>SUM(D25,D26,D28)</f>
        <v>64.294596000000013</v>
      </c>
      <c r="E30" s="73"/>
      <c r="F30" s="35"/>
      <c r="G30" s="35">
        <f>SUM(G25,G26,G28)</f>
        <v>66.764596000000012</v>
      </c>
      <c r="H30" s="35">
        <f t="shared" si="1"/>
        <v>2.4699999999999989</v>
      </c>
      <c r="I30" s="36">
        <f>IF(ISERROR(H30/D30),0,(H30/D30))</f>
        <v>3.8416914541309168E-2</v>
      </c>
      <c r="J30" s="36">
        <f t="shared" si="9"/>
        <v>0.58103267205133535</v>
      </c>
      <c r="K30" s="111">
        <f t="shared" si="10"/>
        <v>0.56431542997300377</v>
      </c>
    </row>
    <row r="31" spans="1:11" x14ac:dyDescent="0.2">
      <c r="A31" s="107" t="s">
        <v>40</v>
      </c>
      <c r="B31" s="73">
        <f>B8</f>
        <v>386.40000000000003</v>
      </c>
      <c r="C31" s="78">
        <f>VLOOKUP($B$3,'Data for Bill Impacts'!$A$3:$Y$15,15,0)</f>
        <v>5.1000000000000004E-3</v>
      </c>
      <c r="D31" s="22">
        <f>B31*C31</f>
        <v>1.9706400000000004</v>
      </c>
      <c r="E31" s="73">
        <f t="shared" si="6"/>
        <v>386.40000000000003</v>
      </c>
      <c r="F31" s="126">
        <f>VLOOKUP($B$3,'Data for Bill Impacts'!$A$3:$Y$15,24,0)</f>
        <v>5.6559999999999996E-3</v>
      </c>
      <c r="G31" s="22">
        <f>E31*F31</f>
        <v>2.1854784</v>
      </c>
      <c r="H31" s="22">
        <f t="shared" si="1"/>
        <v>0.21483839999999965</v>
      </c>
      <c r="I31" s="23">
        <f t="shared" si="2"/>
        <v>0.10901960784313705</v>
      </c>
      <c r="J31" s="23">
        <f t="shared" si="9"/>
        <v>1.9019576699939544E-2</v>
      </c>
      <c r="K31" s="108">
        <f t="shared" si="10"/>
        <v>1.847235296672374E-2</v>
      </c>
    </row>
    <row r="32" spans="1:11" x14ac:dyDescent="0.2">
      <c r="A32" s="107" t="s">
        <v>41</v>
      </c>
      <c r="B32" s="73">
        <f>B8</f>
        <v>386.40000000000003</v>
      </c>
      <c r="C32" s="78">
        <f>VLOOKUP($B$3,'Data for Bill Impacts'!$A$3:$Y$15,16,0)</f>
        <v>4.1999999999999997E-3</v>
      </c>
      <c r="D32" s="22">
        <f>B32*C32</f>
        <v>1.6228800000000001</v>
      </c>
      <c r="E32" s="73">
        <f t="shared" si="6"/>
        <v>386.40000000000003</v>
      </c>
      <c r="F32" s="126">
        <f>VLOOKUP($B$3,'Data for Bill Impacts'!$A$3:$Y$15,25,0)</f>
        <v>4.8209999999999998E-3</v>
      </c>
      <c r="G32" s="22">
        <f>E32*F32</f>
        <v>1.8628344000000001</v>
      </c>
      <c r="H32" s="22">
        <f t="shared" si="1"/>
        <v>0.23995440000000001</v>
      </c>
      <c r="I32" s="23">
        <f t="shared" si="2"/>
        <v>0.14785714285714285</v>
      </c>
      <c r="J32" s="23">
        <f t="shared" si="9"/>
        <v>1.6211700719662048E-2</v>
      </c>
      <c r="K32" s="108">
        <f t="shared" si="10"/>
        <v>1.574526408284568E-2</v>
      </c>
    </row>
    <row r="33" spans="1:11" s="1" customFormat="1" x14ac:dyDescent="0.2">
      <c r="A33" s="110" t="s">
        <v>76</v>
      </c>
      <c r="B33" s="74"/>
      <c r="C33" s="35"/>
      <c r="D33" s="35">
        <f>SUM(D31:D32)</f>
        <v>3.5935200000000007</v>
      </c>
      <c r="E33" s="73"/>
      <c r="F33" s="35"/>
      <c r="G33" s="35">
        <f>SUM(G31:G32)</f>
        <v>4.0483127999999997</v>
      </c>
      <c r="H33" s="35">
        <f t="shared" si="1"/>
        <v>0.454792799999999</v>
      </c>
      <c r="I33" s="36">
        <f t="shared" si="2"/>
        <v>0.12655913978494593</v>
      </c>
      <c r="J33" s="36">
        <f t="shared" si="9"/>
        <v>3.5231277419601588E-2</v>
      </c>
      <c r="K33" s="111">
        <f t="shared" si="10"/>
        <v>3.4217617049569417E-2</v>
      </c>
    </row>
    <row r="34" spans="1:11" s="1" customFormat="1" x14ac:dyDescent="0.2">
      <c r="A34" s="110" t="s">
        <v>91</v>
      </c>
      <c r="B34" s="74"/>
      <c r="C34" s="35"/>
      <c r="D34" s="35">
        <f>D29+D33</f>
        <v>67.582720000000009</v>
      </c>
      <c r="E34" s="73"/>
      <c r="F34" s="35"/>
      <c r="G34" s="35">
        <f>G29+G33</f>
        <v>70.507512800000015</v>
      </c>
      <c r="H34" s="35">
        <f t="shared" si="1"/>
        <v>2.9247928000000059</v>
      </c>
      <c r="I34" s="36">
        <f t="shared" si="2"/>
        <v>4.3277228261898983E-2</v>
      </c>
      <c r="J34" s="36">
        <f t="shared" si="9"/>
        <v>0.61360617776939341</v>
      </c>
      <c r="K34" s="111">
        <f t="shared" si="10"/>
        <v>0.59595174367652981</v>
      </c>
    </row>
    <row r="35" spans="1:11" s="1" customFormat="1" x14ac:dyDescent="0.2">
      <c r="A35" s="110" t="s">
        <v>92</v>
      </c>
      <c r="B35" s="74"/>
      <c r="C35" s="35"/>
      <c r="D35" s="35">
        <f>D30+D33</f>
        <v>67.888116000000011</v>
      </c>
      <c r="E35" s="73"/>
      <c r="F35" s="35"/>
      <c r="G35" s="35">
        <f>G30+G33</f>
        <v>70.812908800000017</v>
      </c>
      <c r="H35" s="35">
        <f t="shared" si="1"/>
        <v>2.9247928000000059</v>
      </c>
      <c r="I35" s="36">
        <f t="shared" si="2"/>
        <v>4.3082544815354805E-2</v>
      </c>
      <c r="J35" s="36">
        <f t="shared" si="9"/>
        <v>0.61626394947093699</v>
      </c>
      <c r="K35" s="111">
        <f t="shared" si="10"/>
        <v>0.59853304702257315</v>
      </c>
    </row>
    <row r="36" spans="1:11" x14ac:dyDescent="0.2">
      <c r="A36" s="107" t="s">
        <v>42</v>
      </c>
      <c r="B36" s="73">
        <f>B8</f>
        <v>386.40000000000003</v>
      </c>
      <c r="C36" s="34">
        <v>3.5999999999999999E-3</v>
      </c>
      <c r="D36" s="22">
        <f>B36*C36</f>
        <v>1.3910400000000001</v>
      </c>
      <c r="E36" s="73">
        <f t="shared" si="6"/>
        <v>386.40000000000003</v>
      </c>
      <c r="F36" s="34">
        <v>3.5999999999999999E-3</v>
      </c>
      <c r="G36" s="22">
        <f>E36*F36</f>
        <v>1.3910400000000001</v>
      </c>
      <c r="H36" s="22">
        <f t="shared" si="1"/>
        <v>0</v>
      </c>
      <c r="I36" s="23">
        <f t="shared" si="2"/>
        <v>0</v>
      </c>
      <c r="J36" s="23">
        <f t="shared" si="9"/>
        <v>1.2105812609579625E-2</v>
      </c>
      <c r="K36" s="108">
        <f t="shared" si="10"/>
        <v>1.1757508960432367E-2</v>
      </c>
    </row>
    <row r="37" spans="1:11" x14ac:dyDescent="0.2">
      <c r="A37" s="107" t="s">
        <v>43</v>
      </c>
      <c r="B37" s="73">
        <f>B8</f>
        <v>386.40000000000003</v>
      </c>
      <c r="C37" s="34">
        <v>2.0999999999999999E-3</v>
      </c>
      <c r="D37" s="22">
        <f>B37*C37</f>
        <v>0.81144000000000005</v>
      </c>
      <c r="E37" s="73">
        <f t="shared" si="6"/>
        <v>386.40000000000003</v>
      </c>
      <c r="F37" s="34">
        <v>2.0999999999999999E-3</v>
      </c>
      <c r="G37" s="22">
        <f>E37*F37</f>
        <v>0.81144000000000005</v>
      </c>
      <c r="H37" s="22">
        <f>G37-D37</f>
        <v>0</v>
      </c>
      <c r="I37" s="23">
        <f t="shared" si="2"/>
        <v>0</v>
      </c>
      <c r="J37" s="23">
        <f t="shared" si="9"/>
        <v>7.0617240222547815E-3</v>
      </c>
      <c r="K37" s="108">
        <f t="shared" si="10"/>
        <v>6.8585468935855477E-3</v>
      </c>
    </row>
    <row r="38" spans="1:11" x14ac:dyDescent="0.2">
      <c r="A38" s="107" t="s">
        <v>96</v>
      </c>
      <c r="B38" s="73">
        <f>B8</f>
        <v>386.40000000000003</v>
      </c>
      <c r="C38" s="34">
        <v>1.1000000000000001E-3</v>
      </c>
      <c r="D38" s="22">
        <f>B38*C38</f>
        <v>0.42504000000000008</v>
      </c>
      <c r="E38" s="73">
        <f t="shared" si="6"/>
        <v>386.40000000000003</v>
      </c>
      <c r="F38" s="34">
        <v>1.1000000000000001E-3</v>
      </c>
      <c r="G38" s="22">
        <f>E38*F38</f>
        <v>0.42504000000000008</v>
      </c>
      <c r="H38" s="22">
        <f>G38-D38</f>
        <v>0</v>
      </c>
      <c r="I38" s="23">
        <f t="shared" ref="I38" si="11">IF(ISERROR(H38/D38),0,(H38/D38))</f>
        <v>0</v>
      </c>
      <c r="J38" s="23">
        <f t="shared" ref="J38" si="12">G38/$G$46</f>
        <v>3.6989982973715529E-3</v>
      </c>
      <c r="K38" s="108">
        <f t="shared" ref="K38" si="13">G38/$G$51</f>
        <v>3.5925721823543352E-3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2.1756765818343876E-3</v>
      </c>
      <c r="K39" s="108">
        <f t="shared" si="10"/>
        <v>2.1130788763141905E-3</v>
      </c>
    </row>
    <row r="40" spans="1:11" s="1" customFormat="1" x14ac:dyDescent="0.2">
      <c r="A40" s="110" t="s">
        <v>45</v>
      </c>
      <c r="B40" s="74"/>
      <c r="C40" s="35"/>
      <c r="D40" s="35">
        <f>SUM(D36:D39)</f>
        <v>2.8775200000000001</v>
      </c>
      <c r="E40" s="73"/>
      <c r="F40" s="35"/>
      <c r="G40" s="35">
        <f>SUM(G36:G39)</f>
        <v>2.8775200000000001</v>
      </c>
      <c r="H40" s="35">
        <f t="shared" si="1"/>
        <v>0</v>
      </c>
      <c r="I40" s="36">
        <f t="shared" si="2"/>
        <v>0</v>
      </c>
      <c r="J40" s="36">
        <f t="shared" si="9"/>
        <v>2.5042211511040347E-2</v>
      </c>
      <c r="K40" s="111">
        <f t="shared" si="10"/>
        <v>2.4321706912686442E-2</v>
      </c>
    </row>
    <row r="41" spans="1:11" s="1" customFormat="1" ht="13.5" thickBot="1" x14ac:dyDescent="0.25">
      <c r="A41" s="112" t="s">
        <v>46</v>
      </c>
      <c r="B41" s="113">
        <f>B4</f>
        <v>350</v>
      </c>
      <c r="C41" s="114">
        <v>0</v>
      </c>
      <c r="D41" s="115">
        <f>B41*C41</f>
        <v>0</v>
      </c>
      <c r="E41" s="116">
        <f t="shared" si="6"/>
        <v>350</v>
      </c>
      <c r="F41" s="114">
        <f>C41</f>
        <v>0</v>
      </c>
      <c r="G41" s="115">
        <f>E41*F41</f>
        <v>0</v>
      </c>
      <c r="H41" s="115">
        <f t="shared" si="1"/>
        <v>0</v>
      </c>
      <c r="I41" s="117">
        <f t="shared" si="2"/>
        <v>0</v>
      </c>
      <c r="J41" s="117">
        <f t="shared" si="9"/>
        <v>0</v>
      </c>
      <c r="K41" s="118">
        <f t="shared" si="10"/>
        <v>0</v>
      </c>
    </row>
    <row r="42" spans="1:11" s="1" customFormat="1" x14ac:dyDescent="0.2">
      <c r="A42" s="37" t="s">
        <v>105</v>
      </c>
      <c r="B42" s="38"/>
      <c r="C42" s="39"/>
      <c r="D42" s="39">
        <f>SUM(D14,D25,D26,D27,D33,D40,D41)</f>
        <v>106.51024000000001</v>
      </c>
      <c r="E42" s="38"/>
      <c r="F42" s="39"/>
      <c r="G42" s="39">
        <f>SUM(G14,G25,G26,G27,G33,G40,G41)</f>
        <v>109.43503280000002</v>
      </c>
      <c r="H42" s="39">
        <f t="shared" si="1"/>
        <v>2.9247928000000059</v>
      </c>
      <c r="I42" s="40">
        <f>IF(ISERROR(H42/D42),0,(H42/D42))</f>
        <v>2.7460202887534622E-2</v>
      </c>
      <c r="J42" s="40">
        <f t="shared" si="9"/>
        <v>0.95238095238095244</v>
      </c>
      <c r="K42" s="41"/>
    </row>
    <row r="43" spans="1:11" x14ac:dyDescent="0.2">
      <c r="A43" s="154" t="s">
        <v>106</v>
      </c>
      <c r="B43" s="43"/>
      <c r="C43" s="26">
        <v>0.13</v>
      </c>
      <c r="D43" s="26">
        <f>D42*C43</f>
        <v>13.846331200000002</v>
      </c>
      <c r="E43" s="26"/>
      <c r="F43" s="26">
        <f>C43</f>
        <v>0.13</v>
      </c>
      <c r="G43" s="26">
        <f>G42*F43</f>
        <v>14.226554264000002</v>
      </c>
      <c r="H43" s="26">
        <f t="shared" si="1"/>
        <v>0.38022306400000083</v>
      </c>
      <c r="I43" s="44">
        <f t="shared" si="2"/>
        <v>2.7460202887534625E-2</v>
      </c>
      <c r="J43" s="44">
        <f t="shared" si="9"/>
        <v>0.12380952380952381</v>
      </c>
      <c r="K43" s="45"/>
    </row>
    <row r="44" spans="1:11" s="1" customFormat="1" x14ac:dyDescent="0.2">
      <c r="A44" s="46" t="s">
        <v>107</v>
      </c>
      <c r="B44" s="24"/>
      <c r="C44" s="25"/>
      <c r="D44" s="25">
        <f>SUM(D42:D43)</f>
        <v>120.35657120000002</v>
      </c>
      <c r="E44" s="25"/>
      <c r="F44" s="25"/>
      <c r="G44" s="25">
        <f>SUM(G42:G43)</f>
        <v>123.66158706400002</v>
      </c>
      <c r="H44" s="25">
        <f t="shared" si="1"/>
        <v>3.3050158639999978</v>
      </c>
      <c r="I44" s="27">
        <f t="shared" si="2"/>
        <v>2.7460202887534545E-2</v>
      </c>
      <c r="J44" s="27">
        <f t="shared" si="9"/>
        <v>1.0761904761904761</v>
      </c>
      <c r="K44" s="47"/>
    </row>
    <row r="45" spans="1:11" x14ac:dyDescent="0.2">
      <c r="A45" s="42" t="s">
        <v>108</v>
      </c>
      <c r="B45" s="43"/>
      <c r="C45" s="26">
        <v>-0.08</v>
      </c>
      <c r="D45" s="26">
        <f>D42*C45</f>
        <v>-8.5208192000000018</v>
      </c>
      <c r="E45" s="26"/>
      <c r="F45" s="26">
        <f>C45</f>
        <v>-0.08</v>
      </c>
      <c r="G45" s="26">
        <f>G42*F45</f>
        <v>-8.7548026240000016</v>
      </c>
      <c r="H45" s="26">
        <f t="shared" si="1"/>
        <v>-0.23398342399999983</v>
      </c>
      <c r="I45" s="44">
        <f t="shared" si="2"/>
        <v>2.7460202887534542E-2</v>
      </c>
      <c r="J45" s="44">
        <f t="shared" si="9"/>
        <v>-7.6190476190476197E-2</v>
      </c>
      <c r="K45" s="45"/>
    </row>
    <row r="46" spans="1:11" s="1" customFormat="1" ht="13.5" thickBot="1" x14ac:dyDescent="0.25">
      <c r="A46" s="48" t="s">
        <v>109</v>
      </c>
      <c r="B46" s="49"/>
      <c r="C46" s="50"/>
      <c r="D46" s="50">
        <f>SUM(D44:D45)</f>
        <v>111.83575200000001</v>
      </c>
      <c r="E46" s="50"/>
      <c r="F46" s="50"/>
      <c r="G46" s="50">
        <f>SUM(G44:G45)</f>
        <v>114.90678444000001</v>
      </c>
      <c r="H46" s="50">
        <f t="shared" si="1"/>
        <v>3.0710324399999962</v>
      </c>
      <c r="I46" s="51">
        <f t="shared" si="2"/>
        <v>2.7460202887534532E-2</v>
      </c>
      <c r="J46" s="51">
        <f t="shared" si="9"/>
        <v>1</v>
      </c>
      <c r="K46" s="52"/>
    </row>
    <row r="47" spans="1:11" x14ac:dyDescent="0.2">
      <c r="A47" s="53" t="s">
        <v>110</v>
      </c>
      <c r="B47" s="54"/>
      <c r="C47" s="55"/>
      <c r="D47" s="55">
        <f>SUM(D18,D25,D26,D28,D33,D40,D41)</f>
        <v>109.75213600000001</v>
      </c>
      <c r="E47" s="55"/>
      <c r="F47" s="55"/>
      <c r="G47" s="55">
        <f>SUM(G18,G25,G26,G28,G33,G40,G41)</f>
        <v>112.67692880000001</v>
      </c>
      <c r="H47" s="55">
        <f>G47-D47</f>
        <v>2.9247928000000059</v>
      </c>
      <c r="I47" s="56">
        <f>IF(ISERROR(H47/D47),0,(H47/D47))</f>
        <v>2.6649074055378801E-2</v>
      </c>
      <c r="J47" s="56"/>
      <c r="K47" s="57">
        <f>G47/$G$51</f>
        <v>0.95238095238095244</v>
      </c>
    </row>
    <row r="48" spans="1:11" x14ac:dyDescent="0.2">
      <c r="A48" s="58" t="s">
        <v>106</v>
      </c>
      <c r="B48" s="59"/>
      <c r="C48" s="31">
        <v>0.13</v>
      </c>
      <c r="D48" s="31">
        <f>D47*C48</f>
        <v>14.267777680000002</v>
      </c>
      <c r="E48" s="31"/>
      <c r="F48" s="31">
        <f>C48</f>
        <v>0.13</v>
      </c>
      <c r="G48" s="31">
        <f>G47*F48</f>
        <v>14.648000744000003</v>
      </c>
      <c r="H48" s="31">
        <f>G48-D48</f>
        <v>0.38022306400000083</v>
      </c>
      <c r="I48" s="32">
        <f>IF(ISERROR(H48/D48),0,(H48/D48))</f>
        <v>2.6649074055378804E-2</v>
      </c>
      <c r="J48" s="32"/>
      <c r="K48" s="60">
        <f>G48/$G$51</f>
        <v>0.12380952380952381</v>
      </c>
    </row>
    <row r="49" spans="1:11" x14ac:dyDescent="0.2">
      <c r="A49" s="61" t="s">
        <v>111</v>
      </c>
      <c r="B49" s="29"/>
      <c r="C49" s="30"/>
      <c r="D49" s="30">
        <f>SUM(D47:D48)</f>
        <v>124.01991368</v>
      </c>
      <c r="E49" s="30"/>
      <c r="F49" s="30"/>
      <c r="G49" s="30">
        <f>SUM(G47:G48)</f>
        <v>127.32492954400001</v>
      </c>
      <c r="H49" s="30">
        <f>G49-D49</f>
        <v>3.305015864000012</v>
      </c>
      <c r="I49" s="33">
        <f>IF(ISERROR(H49/D49),0,(H49/D49))</f>
        <v>2.6649074055378846E-2</v>
      </c>
      <c r="J49" s="33"/>
      <c r="K49" s="62">
        <f>G49/$G$51</f>
        <v>1.0761904761904761</v>
      </c>
    </row>
    <row r="50" spans="1:11" x14ac:dyDescent="0.2">
      <c r="A50" s="58" t="s">
        <v>108</v>
      </c>
      <c r="B50" s="59"/>
      <c r="C50" s="31">
        <v>-0.08</v>
      </c>
      <c r="D50" s="31">
        <f>D47*C50</f>
        <v>-8.78017088</v>
      </c>
      <c r="E50" s="31"/>
      <c r="F50" s="31">
        <f>C50</f>
        <v>-0.08</v>
      </c>
      <c r="G50" s="31">
        <f>G47*F50</f>
        <v>-9.0141543040000016</v>
      </c>
      <c r="H50" s="31">
        <f>G50-D50</f>
        <v>-0.23398342400000161</v>
      </c>
      <c r="I50" s="32">
        <f>IF(ISERROR(H50/D50),0,(H50/D50))</f>
        <v>2.6649074055378932E-2</v>
      </c>
      <c r="J50" s="32"/>
      <c r="K50" s="60">
        <f>G50/$G$51</f>
        <v>-7.6190476190476197E-2</v>
      </c>
    </row>
    <row r="51" spans="1:11" ht="13.5" thickBot="1" x14ac:dyDescent="0.25">
      <c r="A51" s="63" t="s">
        <v>121</v>
      </c>
      <c r="B51" s="64"/>
      <c r="C51" s="65"/>
      <c r="D51" s="65">
        <f>SUM(D49:D50)</f>
        <v>115.2397428</v>
      </c>
      <c r="E51" s="65"/>
      <c r="F51" s="65"/>
      <c r="G51" s="65">
        <f>SUM(G49:G50)</f>
        <v>118.31077524000001</v>
      </c>
      <c r="H51" s="65">
        <f>G51-D51</f>
        <v>3.0710324400000104</v>
      </c>
      <c r="I51" s="66">
        <f>IF(ISERROR(H51/D51),0,(H51/D51))</f>
        <v>2.6649074055378839E-2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1" tint="0.499984740745262"/>
    <pageSetUpPr fitToPage="1"/>
  </sheetPr>
  <dimension ref="A1:K68"/>
  <sheetViews>
    <sheetView tabSelected="1" view="pageBreakPreview" topLeftCell="A4" zoomScaleNormal="100" zoomScaleSheetLayoutView="100" workbookViewId="0">
      <selection activeCell="N25" sqref="N25"/>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120</v>
      </c>
      <c r="B1" s="192"/>
      <c r="C1" s="192"/>
      <c r="D1" s="192"/>
      <c r="E1" s="192"/>
      <c r="F1" s="192"/>
      <c r="G1" s="192"/>
      <c r="H1" s="192"/>
      <c r="I1" s="192"/>
      <c r="J1" s="192"/>
      <c r="K1" s="193"/>
    </row>
    <row r="3" spans="1:11" x14ac:dyDescent="0.2">
      <c r="A3" s="13" t="s">
        <v>13</v>
      </c>
      <c r="B3" s="13" t="s">
        <v>3</v>
      </c>
    </row>
    <row r="4" spans="1:11" x14ac:dyDescent="0.2">
      <c r="A4" s="15" t="s">
        <v>62</v>
      </c>
      <c r="B4" s="15">
        <f>VLOOKUP(B3,'Data for Bill Impacts'!A19:D31,3,FALSE)</f>
        <v>352</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69">
        <f>B4*B6</f>
        <v>388.60800000000006</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352</v>
      </c>
      <c r="C12" s="103">
        <v>0.10299999999999999</v>
      </c>
      <c r="D12" s="104">
        <f>B12*C12</f>
        <v>36.256</v>
      </c>
      <c r="E12" s="102">
        <f>B12</f>
        <v>352</v>
      </c>
      <c r="F12" s="103">
        <f>C12</f>
        <v>0.10299999999999999</v>
      </c>
      <c r="G12" s="104">
        <f>E12*F12</f>
        <v>36.256</v>
      </c>
      <c r="H12" s="104">
        <f>G12-D12</f>
        <v>0</v>
      </c>
      <c r="I12" s="105">
        <f>IF(ISERROR(H12/D12),0,(H12/D12))</f>
        <v>0</v>
      </c>
      <c r="J12" s="105">
        <f>G12/$G$46</f>
        <v>0.31441180978306149</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36.256</v>
      </c>
      <c r="E14" s="76"/>
      <c r="F14" s="25"/>
      <c r="G14" s="25">
        <f>SUM(G12:G13)</f>
        <v>36.256</v>
      </c>
      <c r="H14" s="25">
        <f t="shared" si="1"/>
        <v>0</v>
      </c>
      <c r="I14" s="27">
        <f t="shared" si="2"/>
        <v>0</v>
      </c>
      <c r="J14" s="27">
        <f>G14/$G$46</f>
        <v>0.31441180978306149</v>
      </c>
      <c r="K14" s="108"/>
    </row>
    <row r="15" spans="1:11" s="1" customFormat="1" x14ac:dyDescent="0.2">
      <c r="A15" s="109" t="s">
        <v>34</v>
      </c>
      <c r="B15" s="75">
        <f>B4*0.65</f>
        <v>228.8</v>
      </c>
      <c r="C15" s="28">
        <v>8.6999999999999994E-2</v>
      </c>
      <c r="D15" s="22">
        <f>B15*C15</f>
        <v>19.9056</v>
      </c>
      <c r="E15" s="73">
        <f t="shared" ref="E15:F17" si="3">B15</f>
        <v>228.8</v>
      </c>
      <c r="F15" s="28">
        <f t="shared" si="3"/>
        <v>8.6999999999999994E-2</v>
      </c>
      <c r="G15" s="22">
        <f>E15*F15</f>
        <v>19.9056</v>
      </c>
      <c r="H15" s="22">
        <f t="shared" si="1"/>
        <v>0</v>
      </c>
      <c r="I15" s="23">
        <f t="shared" si="2"/>
        <v>0</v>
      </c>
      <c r="J15" s="23"/>
      <c r="K15" s="108">
        <f t="shared" ref="K15:K26" si="4">G15/$G$51</f>
        <v>0.16764420827844839</v>
      </c>
    </row>
    <row r="16" spans="1:11" s="1" customFormat="1" x14ac:dyDescent="0.2">
      <c r="A16" s="109" t="s">
        <v>35</v>
      </c>
      <c r="B16" s="75">
        <f>B4*0.17</f>
        <v>59.84</v>
      </c>
      <c r="C16" s="28">
        <v>0.13200000000000001</v>
      </c>
      <c r="D16" s="22">
        <f>B16*C16</f>
        <v>7.898880000000001</v>
      </c>
      <c r="E16" s="73">
        <f t="shared" si="3"/>
        <v>59.84</v>
      </c>
      <c r="F16" s="28">
        <f t="shared" si="3"/>
        <v>0.13200000000000001</v>
      </c>
      <c r="G16" s="22">
        <f>E16*F16</f>
        <v>7.898880000000001</v>
      </c>
      <c r="H16" s="22">
        <f t="shared" si="1"/>
        <v>0</v>
      </c>
      <c r="I16" s="23">
        <f t="shared" si="2"/>
        <v>0</v>
      </c>
      <c r="J16" s="23"/>
      <c r="K16" s="108">
        <f t="shared" si="4"/>
        <v>6.6524067794312691E-2</v>
      </c>
    </row>
    <row r="17" spans="1:11" s="1" customFormat="1" x14ac:dyDescent="0.2">
      <c r="A17" s="109" t="s">
        <v>36</v>
      </c>
      <c r="B17" s="75">
        <f>B4*0.18</f>
        <v>63.36</v>
      </c>
      <c r="C17" s="28">
        <v>0.18</v>
      </c>
      <c r="D17" s="22">
        <f>B17*C17</f>
        <v>11.4048</v>
      </c>
      <c r="E17" s="73">
        <f t="shared" si="3"/>
        <v>63.36</v>
      </c>
      <c r="F17" s="28">
        <f t="shared" si="3"/>
        <v>0.18</v>
      </c>
      <c r="G17" s="22">
        <f>E17*F17</f>
        <v>11.4048</v>
      </c>
      <c r="H17" s="22">
        <f t="shared" si="1"/>
        <v>0</v>
      </c>
      <c r="I17" s="23">
        <f t="shared" si="2"/>
        <v>0</v>
      </c>
      <c r="J17" s="23"/>
      <c r="K17" s="108">
        <f t="shared" si="4"/>
        <v>9.6050793072002261E-2</v>
      </c>
    </row>
    <row r="18" spans="1:11" s="1" customFormat="1" x14ac:dyDescent="0.2">
      <c r="A18" s="61" t="s">
        <v>37</v>
      </c>
      <c r="B18" s="29"/>
      <c r="C18" s="30"/>
      <c r="D18" s="30">
        <f>SUM(D15:D17)</f>
        <v>39.20928</v>
      </c>
      <c r="E18" s="77"/>
      <c r="F18" s="30"/>
      <c r="G18" s="30">
        <f>SUM(G15:G17)</f>
        <v>39.20928</v>
      </c>
      <c r="H18" s="31">
        <f t="shared" si="1"/>
        <v>0</v>
      </c>
      <c r="I18" s="32">
        <f t="shared" si="2"/>
        <v>0</v>
      </c>
      <c r="J18" s="33">
        <f t="shared" ref="J18:J26" si="5">G18/$G$46</f>
        <v>0.34002263584208953</v>
      </c>
      <c r="K18" s="62">
        <f t="shared" si="4"/>
        <v>0.33021906914476334</v>
      </c>
    </row>
    <row r="19" spans="1:11" x14ac:dyDescent="0.2">
      <c r="A19" s="107" t="s">
        <v>38</v>
      </c>
      <c r="B19" s="73">
        <v>1</v>
      </c>
      <c r="C19" s="78">
        <f>VLOOKUP($B$3,'Data for Bill Impacts'!$A$3:$Y$15,7,0)</f>
        <v>36.28</v>
      </c>
      <c r="D19" s="22">
        <f>B19*C19</f>
        <v>36.28</v>
      </c>
      <c r="E19" s="73">
        <f t="shared" ref="E19:E41" si="6">B19</f>
        <v>1</v>
      </c>
      <c r="F19" s="78">
        <f>VLOOKUP($B$3,'Data for Bill Impacts'!$A$3:$Y$15,17,0)</f>
        <v>40.57</v>
      </c>
      <c r="G19" s="22">
        <f>E19*F19</f>
        <v>40.57</v>
      </c>
      <c r="H19" s="22">
        <f t="shared" si="1"/>
        <v>4.2899999999999991</v>
      </c>
      <c r="I19" s="23">
        <f t="shared" si="2"/>
        <v>0.11824696802646083</v>
      </c>
      <c r="J19" s="23">
        <f t="shared" si="5"/>
        <v>0.35182279134208971</v>
      </c>
      <c r="K19" s="108">
        <f t="shared" si="4"/>
        <v>0.34167900137934309</v>
      </c>
    </row>
    <row r="20" spans="1:11" hidden="1" x14ac:dyDescent="0.2">
      <c r="A20" s="107" t="s">
        <v>113</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0.84</v>
      </c>
      <c r="D21" s="22">
        <f t="shared" si="7"/>
        <v>0.84</v>
      </c>
      <c r="E21" s="73">
        <f t="shared" si="6"/>
        <v>1</v>
      </c>
      <c r="F21" s="122">
        <f>VLOOKUP($B$3,'Data for Bill Impacts'!$A$3:$Y$15,22,0)</f>
        <v>0</v>
      </c>
      <c r="G21" s="22">
        <f t="shared" si="8"/>
        <v>0</v>
      </c>
      <c r="H21" s="22">
        <f t="shared" si="1"/>
        <v>-0.84</v>
      </c>
      <c r="I21" s="23">
        <f t="shared" si="2"/>
        <v>-1</v>
      </c>
      <c r="J21" s="23">
        <f t="shared" si="5"/>
        <v>0</v>
      </c>
      <c r="K21" s="108">
        <f t="shared" si="4"/>
        <v>0</v>
      </c>
    </row>
    <row r="22" spans="1:11" hidden="1" x14ac:dyDescent="0.2">
      <c r="A22" s="107" t="s">
        <v>123</v>
      </c>
      <c r="B22" s="73">
        <f>B4</f>
        <v>352</v>
      </c>
      <c r="C22" s="78">
        <v>0</v>
      </c>
      <c r="D22" s="22">
        <f>B22*C22</f>
        <v>0</v>
      </c>
      <c r="E22" s="73">
        <f>B22</f>
        <v>352</v>
      </c>
      <c r="F22" s="78">
        <v>0</v>
      </c>
      <c r="G22" s="22">
        <f>E22*F22</f>
        <v>0</v>
      </c>
      <c r="H22" s="22">
        <f>G22-D22</f>
        <v>0</v>
      </c>
      <c r="I22" s="23">
        <f>IF(ISERROR(H22/D22),0,(H22/D22))</f>
        <v>0</v>
      </c>
      <c r="J22" s="23">
        <f t="shared" si="5"/>
        <v>0</v>
      </c>
      <c r="K22" s="108">
        <f t="shared" si="4"/>
        <v>0</v>
      </c>
    </row>
    <row r="23" spans="1:11" x14ac:dyDescent="0.2">
      <c r="A23" s="107" t="s">
        <v>39</v>
      </c>
      <c r="B23" s="73">
        <f>IF($B$9="kWh",$B$4,$B$5)</f>
        <v>352</v>
      </c>
      <c r="C23" s="78">
        <f>VLOOKUP($B$3,'Data for Bill Impacts'!$A$3:$Y$15,10,0)</f>
        <v>6.3500000000000001E-2</v>
      </c>
      <c r="D23" s="22">
        <f>B23*C23</f>
        <v>22.352</v>
      </c>
      <c r="E23" s="73">
        <f t="shared" si="6"/>
        <v>352</v>
      </c>
      <c r="F23" s="78">
        <f>VLOOKUP($B$3,'Data for Bill Impacts'!$A$3:$Y$15,19,0)</f>
        <v>6.08E-2</v>
      </c>
      <c r="G23" s="22">
        <f>E23*F23</f>
        <v>21.401599999999998</v>
      </c>
      <c r="H23" s="22">
        <f t="shared" si="1"/>
        <v>-0.95040000000000191</v>
      </c>
      <c r="I23" s="23">
        <f t="shared" si="2"/>
        <v>-4.2519685039370161E-2</v>
      </c>
      <c r="J23" s="23">
        <f t="shared" si="5"/>
        <v>0.1855945440272829</v>
      </c>
      <c r="K23" s="108">
        <f t="shared" si="4"/>
        <v>0.18024346354252277</v>
      </c>
    </row>
    <row r="24" spans="1:11" x14ac:dyDescent="0.2">
      <c r="A24" s="107" t="s">
        <v>124</v>
      </c>
      <c r="B24" s="73">
        <f>IF($B$9="kWh",$B$4,$B$5)</f>
        <v>352</v>
      </c>
      <c r="C24" s="78">
        <f>VLOOKUP($B$3,'Data for Bill Impacts'!$A$3:$Y$15,14,0)</f>
        <v>2.9999999999999997E-4</v>
      </c>
      <c r="D24" s="22">
        <f>B24*C24</f>
        <v>0.10559999999999999</v>
      </c>
      <c r="E24" s="73">
        <f>B24</f>
        <v>352</v>
      </c>
      <c r="F24" s="126">
        <f>VLOOKUP($B$3,'Data for Bill Impacts'!$A$3:$Y$15,23,0)</f>
        <v>2.0000000000000001E-4</v>
      </c>
      <c r="G24" s="22">
        <f>E24*F24</f>
        <v>7.0400000000000004E-2</v>
      </c>
      <c r="H24" s="22">
        <f>G24-D24</f>
        <v>-3.5199999999999981E-2</v>
      </c>
      <c r="I24" s="23">
        <f>IF(ISERROR(H24/D24),0,(H24/D24))</f>
        <v>-0.3333333333333332</v>
      </c>
      <c r="J24" s="23">
        <f t="shared" si="5"/>
        <v>6.1050836851079908E-4</v>
      </c>
      <c r="K24" s="108">
        <f t="shared" si="4"/>
        <v>5.9290613007408814E-4</v>
      </c>
    </row>
    <row r="25" spans="1:11" s="1" customFormat="1" x14ac:dyDescent="0.2">
      <c r="A25" s="110" t="s">
        <v>72</v>
      </c>
      <c r="B25" s="74"/>
      <c r="C25" s="35"/>
      <c r="D25" s="35">
        <f>SUM(D19:D24)</f>
        <v>59.577600000000011</v>
      </c>
      <c r="E25" s="73"/>
      <c r="F25" s="35"/>
      <c r="G25" s="35">
        <f>SUM(G19:G24)</f>
        <v>62.041999999999994</v>
      </c>
      <c r="H25" s="35">
        <f t="shared" si="1"/>
        <v>2.4643999999999835</v>
      </c>
      <c r="I25" s="36">
        <f t="shared" si="2"/>
        <v>4.1364539692770153E-2</v>
      </c>
      <c r="J25" s="36">
        <f t="shared" si="5"/>
        <v>0.53802784373788337</v>
      </c>
      <c r="K25" s="111">
        <f t="shared" si="4"/>
        <v>0.5225153710519399</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6.8508751580047059E-3</v>
      </c>
      <c r="K26" s="108">
        <f t="shared" si="4"/>
        <v>6.6533500391836586E-3</v>
      </c>
    </row>
    <row r="27" spans="1:11" s="1" customFormat="1" x14ac:dyDescent="0.2">
      <c r="A27" s="119" t="s">
        <v>75</v>
      </c>
      <c r="B27" s="120">
        <f>B8-B4</f>
        <v>36.608000000000061</v>
      </c>
      <c r="C27" s="121">
        <f>IF(B4&gt;B7,C13,C12)</f>
        <v>0.10299999999999999</v>
      </c>
      <c r="D27" s="22">
        <f>B27*C27</f>
        <v>3.770624000000006</v>
      </c>
      <c r="E27" s="73">
        <f>B27</f>
        <v>36.608000000000061</v>
      </c>
      <c r="F27" s="121">
        <f>C27</f>
        <v>0.10299999999999999</v>
      </c>
      <c r="G27" s="22">
        <f>E27*F27</f>
        <v>3.770624000000006</v>
      </c>
      <c r="H27" s="22">
        <f t="shared" si="1"/>
        <v>0</v>
      </c>
      <c r="I27" s="23">
        <f>IF(ISERROR(H27/D27),0,(H27/D27))</f>
        <v>0</v>
      </c>
      <c r="J27" s="23">
        <f t="shared" ref="J27:J46" si="9">G27/$G$46</f>
        <v>3.2698828217438448E-2</v>
      </c>
      <c r="K27" s="108">
        <f t="shared" ref="K27:K41" si="10">G27/$G$51</f>
        <v>3.175605232676821E-2</v>
      </c>
    </row>
    <row r="28" spans="1:11" s="1" customFormat="1" x14ac:dyDescent="0.2">
      <c r="A28" s="119" t="s">
        <v>74</v>
      </c>
      <c r="B28" s="120">
        <f>B8-B4</f>
        <v>36.608000000000061</v>
      </c>
      <c r="C28" s="121">
        <f>0.65*C15+0.17*C16+0.18*C17</f>
        <v>0.11139</v>
      </c>
      <c r="D28" s="22">
        <f>B28*C28</f>
        <v>4.0777651200000067</v>
      </c>
      <c r="E28" s="73">
        <f>B28</f>
        <v>36.608000000000061</v>
      </c>
      <c r="F28" s="121">
        <f>C28</f>
        <v>0.11139</v>
      </c>
      <c r="G28" s="22">
        <f>E28*F28</f>
        <v>4.0777651200000067</v>
      </c>
      <c r="H28" s="22">
        <f t="shared" si="1"/>
        <v>0</v>
      </c>
      <c r="I28" s="23">
        <f>IF(ISERROR(H28/D28),0,(H28/D28))</f>
        <v>0</v>
      </c>
      <c r="J28" s="23">
        <f t="shared" si="9"/>
        <v>3.5362354127577371E-2</v>
      </c>
      <c r="K28" s="108">
        <f t="shared" si="10"/>
        <v>3.4342783191055444E-2</v>
      </c>
    </row>
    <row r="29" spans="1:11" s="1" customFormat="1" x14ac:dyDescent="0.2">
      <c r="A29" s="110" t="s">
        <v>78</v>
      </c>
      <c r="B29" s="74"/>
      <c r="C29" s="35"/>
      <c r="D29" s="35">
        <f>SUM(D25,D26:D27)</f>
        <v>64.138224000000022</v>
      </c>
      <c r="E29" s="73"/>
      <c r="F29" s="35"/>
      <c r="G29" s="35">
        <f>SUM(G25,G26:G27)</f>
        <v>66.602624000000006</v>
      </c>
      <c r="H29" s="35">
        <f t="shared" si="1"/>
        <v>2.4643999999999835</v>
      </c>
      <c r="I29" s="36">
        <f>IF(ISERROR(H29/D29),0,(H29/D29))</f>
        <v>3.8423265352654334E-2</v>
      </c>
      <c r="J29" s="36">
        <f t="shared" si="9"/>
        <v>0.57757754711332665</v>
      </c>
      <c r="K29" s="111">
        <f t="shared" si="10"/>
        <v>0.56092477341789182</v>
      </c>
    </row>
    <row r="30" spans="1:11" s="1" customFormat="1" x14ac:dyDescent="0.2">
      <c r="A30" s="110" t="s">
        <v>77</v>
      </c>
      <c r="B30" s="74"/>
      <c r="C30" s="35"/>
      <c r="D30" s="35">
        <f>SUM(D25,D26,D28)</f>
        <v>64.445365120000019</v>
      </c>
      <c r="E30" s="73"/>
      <c r="F30" s="35"/>
      <c r="G30" s="35">
        <f>SUM(G25,G26,G28)</f>
        <v>66.909765120000003</v>
      </c>
      <c r="H30" s="35">
        <f t="shared" si="1"/>
        <v>2.4643999999999835</v>
      </c>
      <c r="I30" s="36">
        <f>IF(ISERROR(H30/D30),0,(H30/D30))</f>
        <v>3.8240143343298089E-2</v>
      </c>
      <c r="J30" s="36">
        <f t="shared" si="9"/>
        <v>0.5802410730234655</v>
      </c>
      <c r="K30" s="111">
        <f t="shared" si="10"/>
        <v>0.563511504282179</v>
      </c>
    </row>
    <row r="31" spans="1:11" x14ac:dyDescent="0.2">
      <c r="A31" s="107" t="s">
        <v>40</v>
      </c>
      <c r="B31" s="73">
        <f>B8</f>
        <v>388.60800000000006</v>
      </c>
      <c r="C31" s="78">
        <f>VLOOKUP($B$3,'Data for Bill Impacts'!$A$3:$Y$15,15,0)</f>
        <v>5.1000000000000004E-3</v>
      </c>
      <c r="D31" s="22">
        <f>B31*C31</f>
        <v>1.9819008000000005</v>
      </c>
      <c r="E31" s="73">
        <f t="shared" si="6"/>
        <v>388.60800000000006</v>
      </c>
      <c r="F31" s="126">
        <f>VLOOKUP($B$3,'Data for Bill Impacts'!$A$3:$Y$15,24,0)</f>
        <v>5.6559999999999996E-3</v>
      </c>
      <c r="G31" s="22">
        <f>E31*F31</f>
        <v>2.1979668480000001</v>
      </c>
      <c r="H31" s="22">
        <f t="shared" si="1"/>
        <v>0.21606604799999962</v>
      </c>
      <c r="I31" s="23">
        <f t="shared" si="2"/>
        <v>0.10901960784313704</v>
      </c>
      <c r="J31" s="23">
        <f t="shared" si="9"/>
        <v>1.906075503427988E-2</v>
      </c>
      <c r="K31" s="108">
        <f t="shared" si="10"/>
        <v>1.8511193435778714E-2</v>
      </c>
    </row>
    <row r="32" spans="1:11" x14ac:dyDescent="0.2">
      <c r="A32" s="107" t="s">
        <v>41</v>
      </c>
      <c r="B32" s="73">
        <f>B8</f>
        <v>388.60800000000006</v>
      </c>
      <c r="C32" s="78">
        <f>VLOOKUP($B$3,'Data for Bill Impacts'!$A$3:$Y$15,16,0)</f>
        <v>4.1999999999999997E-3</v>
      </c>
      <c r="D32" s="22">
        <f>B32*C32</f>
        <v>1.6321536000000001</v>
      </c>
      <c r="E32" s="73">
        <f t="shared" si="6"/>
        <v>388.60800000000006</v>
      </c>
      <c r="F32" s="126">
        <f>VLOOKUP($B$3,'Data for Bill Impacts'!$A$3:$Y$15,25,0)</f>
        <v>4.8209999999999998E-3</v>
      </c>
      <c r="G32" s="22">
        <f>E32*F32</f>
        <v>1.8734791680000003</v>
      </c>
      <c r="H32" s="22">
        <f t="shared" si="1"/>
        <v>0.24132556800000016</v>
      </c>
      <c r="I32" s="23">
        <f t="shared" si="2"/>
        <v>0.14785714285714294</v>
      </c>
      <c r="J32" s="23">
        <f t="shared" si="9"/>
        <v>1.6246799862139907E-2</v>
      </c>
      <c r="K32" s="108">
        <f t="shared" si="10"/>
        <v>1.5778370501041229E-2</v>
      </c>
    </row>
    <row r="33" spans="1:11" s="1" customFormat="1" x14ac:dyDescent="0.2">
      <c r="A33" s="110" t="s">
        <v>76</v>
      </c>
      <c r="B33" s="74"/>
      <c r="C33" s="35"/>
      <c r="D33" s="35">
        <f>SUM(D31:D32)</f>
        <v>3.6140544000000006</v>
      </c>
      <c r="E33" s="73"/>
      <c r="F33" s="35"/>
      <c r="G33" s="35">
        <f>SUM(G31:G32)</f>
        <v>4.0714460160000003</v>
      </c>
      <c r="H33" s="35">
        <f t="shared" si="1"/>
        <v>0.45739161599999978</v>
      </c>
      <c r="I33" s="36">
        <f t="shared" si="2"/>
        <v>0.12655913978494615</v>
      </c>
      <c r="J33" s="36">
        <f t="shared" si="9"/>
        <v>3.5307554896419784E-2</v>
      </c>
      <c r="K33" s="111">
        <f t="shared" si="10"/>
        <v>3.4289563936819943E-2</v>
      </c>
    </row>
    <row r="34" spans="1:11" s="1" customFormat="1" x14ac:dyDescent="0.2">
      <c r="A34" s="110" t="s">
        <v>91</v>
      </c>
      <c r="B34" s="74"/>
      <c r="C34" s="35"/>
      <c r="D34" s="35">
        <f>D29+D33</f>
        <v>67.752278400000023</v>
      </c>
      <c r="E34" s="73"/>
      <c r="F34" s="35"/>
      <c r="G34" s="35">
        <f>G29+G33</f>
        <v>70.674070016000002</v>
      </c>
      <c r="H34" s="35">
        <f t="shared" si="1"/>
        <v>2.9217916159999788</v>
      </c>
      <c r="I34" s="36">
        <f t="shared" si="2"/>
        <v>4.3124625252454654E-2</v>
      </c>
      <c r="J34" s="36">
        <f t="shared" si="9"/>
        <v>0.61288510200974633</v>
      </c>
      <c r="K34" s="111">
        <f t="shared" si="10"/>
        <v>0.59521433735471174</v>
      </c>
    </row>
    <row r="35" spans="1:11" s="1" customFormat="1" x14ac:dyDescent="0.2">
      <c r="A35" s="110" t="s">
        <v>92</v>
      </c>
      <c r="B35" s="74"/>
      <c r="C35" s="35"/>
      <c r="D35" s="35">
        <f>D30+D33</f>
        <v>68.05941952000002</v>
      </c>
      <c r="E35" s="73"/>
      <c r="F35" s="35"/>
      <c r="G35" s="35">
        <f>G30+G33</f>
        <v>70.981211135999999</v>
      </c>
      <c r="H35" s="35">
        <f t="shared" si="1"/>
        <v>2.9217916159999788</v>
      </c>
      <c r="I35" s="36">
        <f t="shared" si="2"/>
        <v>4.2930010814173601E-2</v>
      </c>
      <c r="J35" s="36">
        <f t="shared" si="9"/>
        <v>0.61554862791988529</v>
      </c>
      <c r="K35" s="111">
        <f t="shared" si="10"/>
        <v>0.59780106821899892</v>
      </c>
    </row>
    <row r="36" spans="1:11" x14ac:dyDescent="0.2">
      <c r="A36" s="107" t="s">
        <v>42</v>
      </c>
      <c r="B36" s="73">
        <f>B8</f>
        <v>388.60800000000006</v>
      </c>
      <c r="C36" s="34">
        <v>3.5999999999999999E-3</v>
      </c>
      <c r="D36" s="22">
        <f>B36*C36</f>
        <v>1.3989888000000001</v>
      </c>
      <c r="E36" s="73">
        <f t="shared" si="6"/>
        <v>388.60800000000006</v>
      </c>
      <c r="F36" s="34">
        <v>3.5999999999999999E-3</v>
      </c>
      <c r="G36" s="22">
        <f>E36*F36</f>
        <v>1.3989888000000001</v>
      </c>
      <c r="H36" s="22">
        <f t="shared" si="1"/>
        <v>0</v>
      </c>
      <c r="I36" s="23">
        <f t="shared" si="2"/>
        <v>0</v>
      </c>
      <c r="J36" s="23">
        <f t="shared" si="9"/>
        <v>1.2132022299046599E-2</v>
      </c>
      <c r="K36" s="108">
        <f t="shared" si="10"/>
        <v>1.1782230616832279E-2</v>
      </c>
    </row>
    <row r="37" spans="1:11" x14ac:dyDescent="0.2">
      <c r="A37" s="107" t="s">
        <v>43</v>
      </c>
      <c r="B37" s="73">
        <f>B8</f>
        <v>388.60800000000006</v>
      </c>
      <c r="C37" s="34">
        <v>2.0999999999999999E-3</v>
      </c>
      <c r="D37" s="22">
        <f>B37*C37</f>
        <v>0.81607680000000005</v>
      </c>
      <c r="E37" s="73">
        <f t="shared" si="6"/>
        <v>388.60800000000006</v>
      </c>
      <c r="F37" s="34">
        <v>2.0999999999999999E-3</v>
      </c>
      <c r="G37" s="22">
        <f>E37*F37</f>
        <v>0.81607680000000005</v>
      </c>
      <c r="H37" s="22">
        <f>G37-D37</f>
        <v>0</v>
      </c>
      <c r="I37" s="23">
        <f t="shared" si="2"/>
        <v>0</v>
      </c>
      <c r="J37" s="23">
        <f t="shared" si="9"/>
        <v>7.0770130077771835E-3</v>
      </c>
      <c r="K37" s="108">
        <f t="shared" si="10"/>
        <v>6.8729678598188296E-3</v>
      </c>
    </row>
    <row r="38" spans="1:11" x14ac:dyDescent="0.2">
      <c r="A38" s="107" t="s">
        <v>96</v>
      </c>
      <c r="B38" s="73">
        <f>B8</f>
        <v>388.60800000000006</v>
      </c>
      <c r="C38" s="34">
        <v>1.1000000000000001E-3</v>
      </c>
      <c r="D38" s="22">
        <f>B38*C38</f>
        <v>0.42746880000000009</v>
      </c>
      <c r="E38" s="73">
        <f t="shared" si="6"/>
        <v>388.60800000000006</v>
      </c>
      <c r="F38" s="34">
        <v>1.1000000000000001E-3</v>
      </c>
      <c r="G38" s="22">
        <f>E38*F38</f>
        <v>0.42746880000000009</v>
      </c>
      <c r="H38" s="22">
        <f>G38-D38</f>
        <v>0</v>
      </c>
      <c r="I38" s="23">
        <f t="shared" si="2"/>
        <v>0</v>
      </c>
      <c r="J38" s="23">
        <f t="shared" si="9"/>
        <v>3.7070068135975727E-3</v>
      </c>
      <c r="K38" s="108">
        <f t="shared" si="10"/>
        <v>3.6001260218098637E-3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2.1679984677230079E-3</v>
      </c>
      <c r="K39" s="108">
        <f t="shared" si="10"/>
        <v>2.1054905187290057E-3</v>
      </c>
    </row>
    <row r="40" spans="1:11" s="1" customFormat="1" x14ac:dyDescent="0.2">
      <c r="A40" s="110" t="s">
        <v>45</v>
      </c>
      <c r="B40" s="74"/>
      <c r="C40" s="35"/>
      <c r="D40" s="35">
        <f>SUM(D36:D39)</f>
        <v>2.8925344000000002</v>
      </c>
      <c r="E40" s="73"/>
      <c r="F40" s="35"/>
      <c r="G40" s="35">
        <f>SUM(G36:G39)</f>
        <v>2.8925344000000002</v>
      </c>
      <c r="H40" s="35">
        <f t="shared" si="1"/>
        <v>0</v>
      </c>
      <c r="I40" s="36">
        <f t="shared" si="2"/>
        <v>0</v>
      </c>
      <c r="J40" s="36">
        <f t="shared" si="9"/>
        <v>2.5084040588144361E-2</v>
      </c>
      <c r="K40" s="111">
        <f t="shared" si="10"/>
        <v>2.4360815017189976E-2</v>
      </c>
    </row>
    <row r="41" spans="1:11" s="1" customFormat="1" ht="13.5" thickBot="1" x14ac:dyDescent="0.25">
      <c r="A41" s="112" t="s">
        <v>46</v>
      </c>
      <c r="B41" s="113">
        <f>B4</f>
        <v>352</v>
      </c>
      <c r="C41" s="114">
        <v>0</v>
      </c>
      <c r="D41" s="115">
        <f>B41*C41</f>
        <v>0</v>
      </c>
      <c r="E41" s="116">
        <f t="shared" si="6"/>
        <v>352</v>
      </c>
      <c r="F41" s="114">
        <f>C41</f>
        <v>0</v>
      </c>
      <c r="G41" s="115">
        <f>E41*F41</f>
        <v>0</v>
      </c>
      <c r="H41" s="115">
        <f t="shared" si="1"/>
        <v>0</v>
      </c>
      <c r="I41" s="117">
        <f t="shared" si="2"/>
        <v>0</v>
      </c>
      <c r="J41" s="117">
        <f t="shared" si="9"/>
        <v>0</v>
      </c>
      <c r="K41" s="118">
        <f t="shared" si="10"/>
        <v>0</v>
      </c>
    </row>
    <row r="42" spans="1:11" s="1" customFormat="1" x14ac:dyDescent="0.2">
      <c r="A42" s="37" t="s">
        <v>105</v>
      </c>
      <c r="B42" s="38"/>
      <c r="C42" s="39"/>
      <c r="D42" s="39">
        <f>SUM(D14,D25,D26,D27,D33,D40,D41)</f>
        <v>106.90081280000004</v>
      </c>
      <c r="E42" s="38"/>
      <c r="F42" s="39"/>
      <c r="G42" s="39">
        <f>SUM(G14,G25,G26,G27,G33,G40,G41)</f>
        <v>109.82260441600002</v>
      </c>
      <c r="H42" s="39">
        <f t="shared" si="1"/>
        <v>2.9217916159999788</v>
      </c>
      <c r="I42" s="40">
        <f>IF(ISERROR(H42/D42),0,(H42/D42))</f>
        <v>2.7331799819579835E-2</v>
      </c>
      <c r="J42" s="40">
        <f t="shared" si="9"/>
        <v>0.95238095238095233</v>
      </c>
      <c r="K42" s="41"/>
    </row>
    <row r="43" spans="1:11" x14ac:dyDescent="0.2">
      <c r="A43" s="154" t="s">
        <v>106</v>
      </c>
      <c r="B43" s="43"/>
      <c r="C43" s="26">
        <v>0.13</v>
      </c>
      <c r="D43" s="26">
        <f>D42*C43</f>
        <v>13.897105664000005</v>
      </c>
      <c r="E43" s="26"/>
      <c r="F43" s="26">
        <f>C43</f>
        <v>0.13</v>
      </c>
      <c r="G43" s="26">
        <f>G42*F43</f>
        <v>14.276938574080003</v>
      </c>
      <c r="H43" s="26">
        <f t="shared" si="1"/>
        <v>0.37983291007999753</v>
      </c>
      <c r="I43" s="44">
        <f t="shared" si="2"/>
        <v>2.7331799819579856E-2</v>
      </c>
      <c r="J43" s="44">
        <f t="shared" si="9"/>
        <v>0.12380952380952381</v>
      </c>
      <c r="K43" s="45"/>
    </row>
    <row r="44" spans="1:11" s="1" customFormat="1" x14ac:dyDescent="0.2">
      <c r="A44" s="46" t="s">
        <v>107</v>
      </c>
      <c r="B44" s="24"/>
      <c r="C44" s="25"/>
      <c r="D44" s="25">
        <f>SUM(D42:D43)</f>
        <v>120.79791846400005</v>
      </c>
      <c r="E44" s="25"/>
      <c r="F44" s="25"/>
      <c r="G44" s="25">
        <f>SUM(G42:G43)</f>
        <v>124.09954299008002</v>
      </c>
      <c r="H44" s="25">
        <f t="shared" si="1"/>
        <v>3.3016245260799764</v>
      </c>
      <c r="I44" s="27">
        <f t="shared" si="2"/>
        <v>2.7331799819579838E-2</v>
      </c>
      <c r="J44" s="27">
        <f t="shared" si="9"/>
        <v>1.0761904761904761</v>
      </c>
      <c r="K44" s="47"/>
    </row>
    <row r="45" spans="1:11" x14ac:dyDescent="0.2">
      <c r="A45" s="42" t="s">
        <v>108</v>
      </c>
      <c r="B45" s="43"/>
      <c r="C45" s="26">
        <v>-0.08</v>
      </c>
      <c r="D45" s="26">
        <f>D42*C45</f>
        <v>-8.5520650240000027</v>
      </c>
      <c r="E45" s="26"/>
      <c r="F45" s="26">
        <f>C45</f>
        <v>-0.08</v>
      </c>
      <c r="G45" s="26">
        <f>G42*F45</f>
        <v>-8.785808353280002</v>
      </c>
      <c r="H45" s="26">
        <f t="shared" si="1"/>
        <v>-0.2337433292799993</v>
      </c>
      <c r="I45" s="44">
        <f t="shared" si="2"/>
        <v>2.7331799819579953E-2</v>
      </c>
      <c r="J45" s="44">
        <f t="shared" si="9"/>
        <v>-7.6190476190476197E-2</v>
      </c>
      <c r="K45" s="45"/>
    </row>
    <row r="46" spans="1:11" s="1" customFormat="1" ht="13.5" thickBot="1" x14ac:dyDescent="0.25">
      <c r="A46" s="48" t="s">
        <v>109</v>
      </c>
      <c r="B46" s="49"/>
      <c r="C46" s="50"/>
      <c r="D46" s="50">
        <f>SUM(D44:D45)</f>
        <v>112.24585344000005</v>
      </c>
      <c r="E46" s="50"/>
      <c r="F46" s="50"/>
      <c r="G46" s="50">
        <f>SUM(G44:G45)</f>
        <v>115.31373463680002</v>
      </c>
      <c r="H46" s="50">
        <f t="shared" si="1"/>
        <v>3.0678811967999735</v>
      </c>
      <c r="I46" s="51">
        <f t="shared" si="2"/>
        <v>2.7331799819579797E-2</v>
      </c>
      <c r="J46" s="51">
        <f t="shared" si="9"/>
        <v>1</v>
      </c>
      <c r="K46" s="52"/>
    </row>
    <row r="47" spans="1:11" x14ac:dyDescent="0.2">
      <c r="A47" s="53" t="s">
        <v>110</v>
      </c>
      <c r="B47" s="54"/>
      <c r="C47" s="55"/>
      <c r="D47" s="55">
        <f>SUM(D18,D25,D26,D28,D33,D40,D41)</f>
        <v>110.16123392000003</v>
      </c>
      <c r="E47" s="55"/>
      <c r="F47" s="55"/>
      <c r="G47" s="55">
        <f>SUM(G18,G25,G26,G28,G33,G40,G41)</f>
        <v>113.08302553600001</v>
      </c>
      <c r="H47" s="55">
        <f>G47-D47</f>
        <v>2.9217916159999788</v>
      </c>
      <c r="I47" s="56">
        <f>IF(ISERROR(H47/D47),0,(H47/D47))</f>
        <v>2.6522865730805152E-2</v>
      </c>
      <c r="J47" s="56"/>
      <c r="K47" s="57">
        <f>G47/$G$51</f>
        <v>0.95238095238095233</v>
      </c>
    </row>
    <row r="48" spans="1:11" x14ac:dyDescent="0.2">
      <c r="A48" s="58" t="s">
        <v>106</v>
      </c>
      <c r="B48" s="59"/>
      <c r="C48" s="31">
        <v>0.13</v>
      </c>
      <c r="D48" s="31">
        <f>D47*C48</f>
        <v>14.320960409600005</v>
      </c>
      <c r="E48" s="31"/>
      <c r="F48" s="31">
        <f>C48</f>
        <v>0.13</v>
      </c>
      <c r="G48" s="31">
        <f>G47*F48</f>
        <v>14.700793319680001</v>
      </c>
      <c r="H48" s="31">
        <f>G48-D48</f>
        <v>0.37983291007999576</v>
      </c>
      <c r="I48" s="32">
        <f>IF(ISERROR(H48/D48),0,(H48/D48))</f>
        <v>2.6522865730805045E-2</v>
      </c>
      <c r="J48" s="32"/>
      <c r="K48" s="60">
        <f>G48/$G$51</f>
        <v>0.1238095238095238</v>
      </c>
    </row>
    <row r="49" spans="1:11" x14ac:dyDescent="0.2">
      <c r="A49" s="61" t="s">
        <v>111</v>
      </c>
      <c r="B49" s="29"/>
      <c r="C49" s="30"/>
      <c r="D49" s="30">
        <f>SUM(D47:D48)</f>
        <v>124.48219432960003</v>
      </c>
      <c r="E49" s="30"/>
      <c r="F49" s="30"/>
      <c r="G49" s="30">
        <f>SUM(G47:G48)</f>
        <v>127.78381885568001</v>
      </c>
      <c r="H49" s="30">
        <f>G49-D49</f>
        <v>3.3016245260799764</v>
      </c>
      <c r="I49" s="33">
        <f>IF(ISERROR(H49/D49),0,(H49/D49))</f>
        <v>2.6522865730805152E-2</v>
      </c>
      <c r="J49" s="33"/>
      <c r="K49" s="62">
        <f>G49/$G$51</f>
        <v>1.0761904761904761</v>
      </c>
    </row>
    <row r="50" spans="1:11" x14ac:dyDescent="0.2">
      <c r="A50" s="58" t="s">
        <v>108</v>
      </c>
      <c r="B50" s="59"/>
      <c r="C50" s="31">
        <v>-0.08</v>
      </c>
      <c r="D50" s="31">
        <f>D47*C50</f>
        <v>-8.8128987136000028</v>
      </c>
      <c r="E50" s="31"/>
      <c r="F50" s="31">
        <f>C50</f>
        <v>-0.08</v>
      </c>
      <c r="G50" s="31">
        <f>G47*F50</f>
        <v>-9.0466420428800003</v>
      </c>
      <c r="H50" s="31">
        <f>G50-D50</f>
        <v>-0.23374332927999752</v>
      </c>
      <c r="I50" s="32">
        <f>IF(ISERROR(H50/D50),0,(H50/D50))</f>
        <v>2.6522865730805062E-2</v>
      </c>
      <c r="J50" s="32"/>
      <c r="K50" s="60">
        <f>G50/$G$51</f>
        <v>-7.6190476190476183E-2</v>
      </c>
    </row>
    <row r="51" spans="1:11" ht="13.5" thickBot="1" x14ac:dyDescent="0.25">
      <c r="A51" s="63" t="s">
        <v>121</v>
      </c>
      <c r="B51" s="64"/>
      <c r="C51" s="65"/>
      <c r="D51" s="65">
        <f>SUM(D49:D50)</f>
        <v>115.66929561600003</v>
      </c>
      <c r="E51" s="65"/>
      <c r="F51" s="65"/>
      <c r="G51" s="65">
        <f>SUM(G49:G50)</f>
        <v>118.73717681280002</v>
      </c>
      <c r="H51" s="65">
        <f>G51-D51</f>
        <v>3.0678811967999877</v>
      </c>
      <c r="I51" s="66">
        <f>IF(ISERROR(H51/D51),0,(H51/D51))</f>
        <v>2.6522865730805239E-2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1" tint="0.499984740745262"/>
    <pageSetUpPr fitToPage="1"/>
  </sheetPr>
  <dimension ref="A1:K68"/>
  <sheetViews>
    <sheetView tabSelected="1" view="pageBreakPreview" topLeftCell="A13" zoomScaleNormal="100" zoomScaleSheetLayoutView="100" workbookViewId="0">
      <selection activeCell="N25" sqref="N25"/>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101</v>
      </c>
      <c r="B1" s="192"/>
      <c r="C1" s="192"/>
      <c r="D1" s="192"/>
      <c r="E1" s="192"/>
      <c r="F1" s="192"/>
      <c r="G1" s="192"/>
      <c r="H1" s="192"/>
      <c r="I1" s="192"/>
      <c r="J1" s="192"/>
      <c r="K1" s="193"/>
    </row>
    <row r="3" spans="1:11" x14ac:dyDescent="0.2">
      <c r="A3" s="13" t="s">
        <v>13</v>
      </c>
      <c r="B3" s="13" t="s">
        <v>3</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69">
        <f>B4*B6</f>
        <v>1104</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0.24075620973843256</v>
      </c>
      <c r="K12" s="106"/>
    </row>
    <row r="13" spans="1:11" x14ac:dyDescent="0.2">
      <c r="A13" s="107" t="s">
        <v>32</v>
      </c>
      <c r="B13" s="73">
        <f>IF(B4&gt;B7,(B4)-B7,0)</f>
        <v>400</v>
      </c>
      <c r="C13" s="21">
        <v>0.121</v>
      </c>
      <c r="D13" s="22">
        <f>B13*C13</f>
        <v>48.4</v>
      </c>
      <c r="E13" s="73">
        <f t="shared" ref="E13" si="0">B13</f>
        <v>400</v>
      </c>
      <c r="F13" s="21">
        <f>C13</f>
        <v>0.121</v>
      </c>
      <c r="G13" s="22">
        <f>E13*F13</f>
        <v>48.4</v>
      </c>
      <c r="H13" s="22">
        <f t="shared" ref="H13:H46" si="1">G13-D13</f>
        <v>0</v>
      </c>
      <c r="I13" s="23">
        <f t="shared" ref="I13:I46" si="2">IF(ISERROR(H13/D13),0,(H13/D13))</f>
        <v>0</v>
      </c>
      <c r="J13" s="23">
        <f>G13/$G$46</f>
        <v>0.18855340697961387</v>
      </c>
      <c r="K13" s="108"/>
    </row>
    <row r="14" spans="1:11" s="1" customFormat="1" x14ac:dyDescent="0.2">
      <c r="A14" s="46" t="s">
        <v>33</v>
      </c>
      <c r="B14" s="24"/>
      <c r="C14" s="25"/>
      <c r="D14" s="25">
        <f>SUM(D12:D13)</f>
        <v>110.19999999999999</v>
      </c>
      <c r="E14" s="76"/>
      <c r="F14" s="25"/>
      <c r="G14" s="25">
        <f>SUM(G12:G13)</f>
        <v>110.19999999999999</v>
      </c>
      <c r="H14" s="25">
        <f t="shared" si="1"/>
        <v>0</v>
      </c>
      <c r="I14" s="27">
        <f t="shared" si="2"/>
        <v>0</v>
      </c>
      <c r="J14" s="27">
        <f>G14/$G$46</f>
        <v>0.42930961671804641</v>
      </c>
      <c r="K14" s="108"/>
    </row>
    <row r="15" spans="1:11" s="1" customFormat="1" x14ac:dyDescent="0.2">
      <c r="A15" s="109" t="s">
        <v>34</v>
      </c>
      <c r="B15" s="75">
        <f>B4*0.65</f>
        <v>650</v>
      </c>
      <c r="C15" s="28">
        <v>8.6999999999999994E-2</v>
      </c>
      <c r="D15" s="22">
        <f>B15*C15</f>
        <v>56.55</v>
      </c>
      <c r="E15" s="73">
        <f t="shared" ref="E15:F17" si="3">B15</f>
        <v>650</v>
      </c>
      <c r="F15" s="28">
        <f t="shared" si="3"/>
        <v>8.6999999999999994E-2</v>
      </c>
      <c r="G15" s="22">
        <f>E15*F15</f>
        <v>56.55</v>
      </c>
      <c r="H15" s="22">
        <f t="shared" si="1"/>
        <v>0</v>
      </c>
      <c r="I15" s="23">
        <f t="shared" si="2"/>
        <v>0</v>
      </c>
      <c r="J15" s="23"/>
      <c r="K15" s="108">
        <f t="shared" ref="K15:K26" si="4">G15/$G$51</f>
        <v>0.22013202858094291</v>
      </c>
    </row>
    <row r="16" spans="1:11" s="1" customFormat="1" x14ac:dyDescent="0.2">
      <c r="A16" s="109" t="s">
        <v>35</v>
      </c>
      <c r="B16" s="75">
        <f>B4*0.17</f>
        <v>170</v>
      </c>
      <c r="C16" s="28">
        <v>0.13200000000000001</v>
      </c>
      <c r="D16" s="22">
        <f>B16*C16</f>
        <v>22.44</v>
      </c>
      <c r="E16" s="73">
        <f t="shared" si="3"/>
        <v>170</v>
      </c>
      <c r="F16" s="28">
        <f t="shared" si="3"/>
        <v>0.13200000000000001</v>
      </c>
      <c r="G16" s="22">
        <f>E16*F16</f>
        <v>22.44</v>
      </c>
      <c r="H16" s="22">
        <f t="shared" si="1"/>
        <v>0</v>
      </c>
      <c r="I16" s="23">
        <f t="shared" si="2"/>
        <v>0</v>
      </c>
      <c r="J16" s="23"/>
      <c r="K16" s="108">
        <f t="shared" si="4"/>
        <v>8.7352125930262772E-2</v>
      </c>
    </row>
    <row r="17" spans="1:11" s="1" customFormat="1" x14ac:dyDescent="0.2">
      <c r="A17" s="109" t="s">
        <v>36</v>
      </c>
      <c r="B17" s="75">
        <f>B4*0.18</f>
        <v>180</v>
      </c>
      <c r="C17" s="28">
        <v>0.18</v>
      </c>
      <c r="D17" s="22">
        <f>B17*C17</f>
        <v>32.4</v>
      </c>
      <c r="E17" s="73">
        <f t="shared" si="3"/>
        <v>180</v>
      </c>
      <c r="F17" s="28">
        <f t="shared" si="3"/>
        <v>0.18</v>
      </c>
      <c r="G17" s="22">
        <f>E17*F17</f>
        <v>32.4</v>
      </c>
      <c r="H17" s="22">
        <f t="shared" si="1"/>
        <v>0</v>
      </c>
      <c r="I17" s="23">
        <f t="shared" si="2"/>
        <v>0</v>
      </c>
      <c r="J17" s="23"/>
      <c r="K17" s="108">
        <f t="shared" si="4"/>
        <v>0.12612339038059328</v>
      </c>
    </row>
    <row r="18" spans="1:11" s="1" customFormat="1" x14ac:dyDescent="0.2">
      <c r="A18" s="61" t="s">
        <v>37</v>
      </c>
      <c r="B18" s="29"/>
      <c r="C18" s="30"/>
      <c r="D18" s="30">
        <f>SUM(D15:D17)</f>
        <v>111.38999999999999</v>
      </c>
      <c r="E18" s="77"/>
      <c r="F18" s="30"/>
      <c r="G18" s="30">
        <f>SUM(G15:G17)</f>
        <v>111.38999999999999</v>
      </c>
      <c r="H18" s="31">
        <f t="shared" si="1"/>
        <v>0</v>
      </c>
      <c r="I18" s="32">
        <f t="shared" si="2"/>
        <v>0</v>
      </c>
      <c r="J18" s="33">
        <f t="shared" ref="J18:J26" si="5">G18/$G$46</f>
        <v>0.43394553726155344</v>
      </c>
      <c r="K18" s="62">
        <f t="shared" si="4"/>
        <v>0.43360754489179892</v>
      </c>
    </row>
    <row r="19" spans="1:11" x14ac:dyDescent="0.2">
      <c r="A19" s="107" t="s">
        <v>38</v>
      </c>
      <c r="B19" s="73">
        <v>1</v>
      </c>
      <c r="C19" s="78">
        <f>VLOOKUP($B$3,'Data for Bill Impacts'!$A$3:$Y$15,7,0)</f>
        <v>36.28</v>
      </c>
      <c r="D19" s="22">
        <f>B19*C19</f>
        <v>36.28</v>
      </c>
      <c r="E19" s="73">
        <f t="shared" ref="E19:E41" si="6">B19</f>
        <v>1</v>
      </c>
      <c r="F19" s="78">
        <f>VLOOKUP($B$3,'Data for Bill Impacts'!$A$3:$Y$15,17,0)</f>
        <v>40.57</v>
      </c>
      <c r="G19" s="22">
        <f>E19*F19</f>
        <v>40.57</v>
      </c>
      <c r="H19" s="22">
        <f t="shared" si="1"/>
        <v>4.2899999999999991</v>
      </c>
      <c r="I19" s="23">
        <f t="shared" si="2"/>
        <v>0.11824696802646083</v>
      </c>
      <c r="J19" s="23">
        <f t="shared" si="5"/>
        <v>0.15804982894964742</v>
      </c>
      <c r="K19" s="108">
        <f t="shared" si="4"/>
        <v>0.15792672678211944</v>
      </c>
    </row>
    <row r="20" spans="1:11" hidden="1" x14ac:dyDescent="0.2">
      <c r="A20" s="107" t="s">
        <v>113</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0.84</v>
      </c>
      <c r="D21" s="22">
        <f t="shared" si="7"/>
        <v>0.84</v>
      </c>
      <c r="E21" s="73">
        <f t="shared" si="6"/>
        <v>1</v>
      </c>
      <c r="F21" s="122">
        <f>VLOOKUP($B$3,'Data for Bill Impacts'!$A$3:$Y$15,22,0)</f>
        <v>0</v>
      </c>
      <c r="G21" s="22">
        <f t="shared" si="8"/>
        <v>0</v>
      </c>
      <c r="H21" s="22">
        <f t="shared" si="1"/>
        <v>-0.84</v>
      </c>
      <c r="I21" s="23">
        <f t="shared" si="2"/>
        <v>-1</v>
      </c>
      <c r="J21" s="23">
        <f t="shared" si="5"/>
        <v>0</v>
      </c>
      <c r="K21" s="108">
        <f t="shared" si="4"/>
        <v>0</v>
      </c>
    </row>
    <row r="22" spans="1:11" hidden="1" x14ac:dyDescent="0.2">
      <c r="A22" s="107" t="s">
        <v>123</v>
      </c>
      <c r="B22" s="73">
        <f>B4</f>
        <v>1000</v>
      </c>
      <c r="C22" s="78">
        <v>0</v>
      </c>
      <c r="D22" s="22">
        <f>B22*C22</f>
        <v>0</v>
      </c>
      <c r="E22" s="73">
        <f>B22</f>
        <v>1000</v>
      </c>
      <c r="F22" s="78">
        <v>0</v>
      </c>
      <c r="G22" s="22">
        <f>E22*F22</f>
        <v>0</v>
      </c>
      <c r="H22" s="22">
        <f>G22-D22</f>
        <v>0</v>
      </c>
      <c r="I22" s="23">
        <f>IF(ISERROR(H22/D22),0,(H22/D22))</f>
        <v>0</v>
      </c>
      <c r="J22" s="23">
        <f t="shared" si="5"/>
        <v>0</v>
      </c>
      <c r="K22" s="108">
        <f t="shared" si="4"/>
        <v>0</v>
      </c>
    </row>
    <row r="23" spans="1:11" x14ac:dyDescent="0.2">
      <c r="A23" s="107" t="s">
        <v>39</v>
      </c>
      <c r="B23" s="73">
        <f>IF($B$9="kWh",$B$4,$B$5)</f>
        <v>1000</v>
      </c>
      <c r="C23" s="78">
        <f>VLOOKUP($B$3,'Data for Bill Impacts'!$A$3:$Y$15,10,0)</f>
        <v>6.3500000000000001E-2</v>
      </c>
      <c r="D23" s="22">
        <f>B23*C23</f>
        <v>63.5</v>
      </c>
      <c r="E23" s="73">
        <f t="shared" si="6"/>
        <v>1000</v>
      </c>
      <c r="F23" s="78">
        <f>VLOOKUP($B$3,'Data for Bill Impacts'!$A$3:$Y$15,19,0)</f>
        <v>6.08E-2</v>
      </c>
      <c r="G23" s="22">
        <f>E23*F23</f>
        <v>60.8</v>
      </c>
      <c r="H23" s="22">
        <f t="shared" si="1"/>
        <v>-2.7000000000000028</v>
      </c>
      <c r="I23" s="23">
        <f t="shared" si="2"/>
        <v>-4.2519685039370127E-2</v>
      </c>
      <c r="J23" s="23">
        <f t="shared" si="5"/>
        <v>0.236860478189267</v>
      </c>
      <c r="K23" s="108">
        <f t="shared" si="4"/>
        <v>0.23667599182531088</v>
      </c>
    </row>
    <row r="24" spans="1:11" x14ac:dyDescent="0.2">
      <c r="A24" s="107" t="s">
        <v>124</v>
      </c>
      <c r="B24" s="73">
        <f>IF($B$9="kWh",$B$4,$B$5)</f>
        <v>1000</v>
      </c>
      <c r="C24" s="78">
        <f>VLOOKUP($B$3,'Data for Bill Impacts'!$A$3:$Y$15,14,0)</f>
        <v>2.9999999999999997E-4</v>
      </c>
      <c r="D24" s="22">
        <f>B24*C24</f>
        <v>0.3</v>
      </c>
      <c r="E24" s="73">
        <f>B24</f>
        <v>1000</v>
      </c>
      <c r="F24" s="126">
        <f>VLOOKUP($B$3,'Data for Bill Impacts'!$A$3:$Y$15,23,0)</f>
        <v>2.0000000000000001E-4</v>
      </c>
      <c r="G24" s="22">
        <f>E24*F24</f>
        <v>0.2</v>
      </c>
      <c r="H24" s="22">
        <f>G24-D24</f>
        <v>-9.9999999999999978E-2</v>
      </c>
      <c r="I24" s="23">
        <f>IF(ISERROR(H24/D24),0,(H24/D24))</f>
        <v>-0.33333333333333326</v>
      </c>
      <c r="J24" s="23">
        <f t="shared" si="5"/>
        <v>7.791463098331152E-4</v>
      </c>
      <c r="K24" s="108">
        <f t="shared" si="4"/>
        <v>7.7853944679378586E-4</v>
      </c>
    </row>
    <row r="25" spans="1:11" s="1" customFormat="1" x14ac:dyDescent="0.2">
      <c r="A25" s="110" t="s">
        <v>72</v>
      </c>
      <c r="B25" s="74"/>
      <c r="C25" s="35"/>
      <c r="D25" s="35">
        <f>SUM(D19:D24)</f>
        <v>100.92</v>
      </c>
      <c r="E25" s="73"/>
      <c r="F25" s="35"/>
      <c r="G25" s="35">
        <f>SUM(G19:G24)</f>
        <v>101.57000000000001</v>
      </c>
      <c r="H25" s="35">
        <f t="shared" si="1"/>
        <v>0.65000000000000568</v>
      </c>
      <c r="I25" s="36">
        <f t="shared" si="2"/>
        <v>6.4407451446691008E-3</v>
      </c>
      <c r="J25" s="36">
        <f t="shared" si="5"/>
        <v>0.39568945344874756</v>
      </c>
      <c r="K25" s="111">
        <f t="shared" si="4"/>
        <v>0.39538125805422414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3.077627923840805E-3</v>
      </c>
      <c r="K26" s="108">
        <f t="shared" si="4"/>
        <v>3.0752308148354539E-3</v>
      </c>
    </row>
    <row r="27" spans="1:11" s="1" customFormat="1" x14ac:dyDescent="0.2">
      <c r="A27" s="119" t="s">
        <v>75</v>
      </c>
      <c r="B27" s="120">
        <f>B8-B4</f>
        <v>104</v>
      </c>
      <c r="C27" s="121">
        <f>IF(B4&gt;B7,C13,C12)</f>
        <v>0.121</v>
      </c>
      <c r="D27" s="22">
        <f>B27*C27</f>
        <v>12.584</v>
      </c>
      <c r="E27" s="73">
        <f>B27</f>
        <v>104</v>
      </c>
      <c r="F27" s="121">
        <f>C27</f>
        <v>0.121</v>
      </c>
      <c r="G27" s="22">
        <f>E27*F27</f>
        <v>12.584</v>
      </c>
      <c r="H27" s="22">
        <f t="shared" si="1"/>
        <v>0</v>
      </c>
      <c r="I27" s="23">
        <f>IF(ISERROR(H27/D27),0,(H27/D27))</f>
        <v>0</v>
      </c>
      <c r="J27" s="23">
        <f t="shared" ref="J27:J46" si="9">G27/$G$46</f>
        <v>4.9023885814699603E-2</v>
      </c>
      <c r="K27" s="108">
        <f t="shared" ref="K27:K41" si="10">G27/$G$51</f>
        <v>4.8985701992264999E-2</v>
      </c>
    </row>
    <row r="28" spans="1:11" s="1" customFormat="1" x14ac:dyDescent="0.2">
      <c r="A28" s="119" t="s">
        <v>74</v>
      </c>
      <c r="B28" s="120">
        <f>B8-B4</f>
        <v>104</v>
      </c>
      <c r="C28" s="121">
        <f>0.65*C15+0.17*C16+0.18*C17</f>
        <v>0.11139</v>
      </c>
      <c r="D28" s="22">
        <f>B28*C28</f>
        <v>11.58456</v>
      </c>
      <c r="E28" s="73">
        <f>B28</f>
        <v>104</v>
      </c>
      <c r="F28" s="121">
        <f>C28</f>
        <v>0.11139</v>
      </c>
      <c r="G28" s="22">
        <f>E28*F28</f>
        <v>11.58456</v>
      </c>
      <c r="H28" s="22">
        <f t="shared" si="1"/>
        <v>0</v>
      </c>
      <c r="I28" s="23">
        <f>IF(ISERROR(H28/D28),0,(H28/D28))</f>
        <v>0</v>
      </c>
      <c r="J28" s="23">
        <f t="shared" si="9"/>
        <v>4.5130335875201558E-2</v>
      </c>
      <c r="K28" s="108">
        <f t="shared" si="10"/>
        <v>4.5095184668747096E-2</v>
      </c>
    </row>
    <row r="29" spans="1:11" s="1" customFormat="1" x14ac:dyDescent="0.2">
      <c r="A29" s="110" t="s">
        <v>78</v>
      </c>
      <c r="B29" s="74"/>
      <c r="C29" s="35"/>
      <c r="D29" s="35">
        <f>SUM(D25,D26:D27)</f>
        <v>114.29400000000001</v>
      </c>
      <c r="E29" s="73"/>
      <c r="F29" s="35"/>
      <c r="G29" s="35">
        <f>SUM(G25,G26:G27)</f>
        <v>114.94400000000002</v>
      </c>
      <c r="H29" s="35">
        <f t="shared" si="1"/>
        <v>0.65000000000000568</v>
      </c>
      <c r="I29" s="36">
        <f>IF(ISERROR(H29/D29),0,(H29/D29))</f>
        <v>5.6870876861428036E-3</v>
      </c>
      <c r="J29" s="36">
        <f t="shared" si="9"/>
        <v>0.447790967187288</v>
      </c>
      <c r="K29" s="111">
        <f t="shared" si="10"/>
        <v>0.44744219086132464</v>
      </c>
    </row>
    <row r="30" spans="1:11" s="1" customFormat="1" x14ac:dyDescent="0.2">
      <c r="A30" s="110" t="s">
        <v>77</v>
      </c>
      <c r="B30" s="74"/>
      <c r="C30" s="35"/>
      <c r="D30" s="35">
        <f>SUM(D25,D26,D28)</f>
        <v>113.29456</v>
      </c>
      <c r="E30" s="73"/>
      <c r="F30" s="35"/>
      <c r="G30" s="35">
        <f>SUM(G25,G26,G28)</f>
        <v>113.94456000000001</v>
      </c>
      <c r="H30" s="35">
        <f t="shared" si="1"/>
        <v>0.65000000000000568</v>
      </c>
      <c r="I30" s="36">
        <f>IF(ISERROR(H30/D30),0,(H30/D30))</f>
        <v>5.7372569344901082E-3</v>
      </c>
      <c r="J30" s="36">
        <f t="shared" si="9"/>
        <v>0.44389741724778992</v>
      </c>
      <c r="K30" s="111">
        <f t="shared" si="10"/>
        <v>0.44355167353780672</v>
      </c>
    </row>
    <row r="31" spans="1:11" x14ac:dyDescent="0.2">
      <c r="A31" s="107" t="s">
        <v>40</v>
      </c>
      <c r="B31" s="73">
        <f>B8</f>
        <v>1104</v>
      </c>
      <c r="C31" s="78">
        <f>VLOOKUP($B$3,'Data for Bill Impacts'!$A$3:$Y$15,15,0)</f>
        <v>5.1000000000000004E-3</v>
      </c>
      <c r="D31" s="22">
        <f>B31*C31</f>
        <v>5.6304000000000007</v>
      </c>
      <c r="E31" s="73">
        <f t="shared" si="6"/>
        <v>1104</v>
      </c>
      <c r="F31" s="126">
        <f>VLOOKUP($B$3,'Data for Bill Impacts'!$A$3:$Y$15,24,0)</f>
        <v>5.6559999999999996E-3</v>
      </c>
      <c r="G31" s="22">
        <f>E31*F31</f>
        <v>6.2442239999999991</v>
      </c>
      <c r="H31" s="22">
        <f t="shared" si="1"/>
        <v>0.61382399999999837</v>
      </c>
      <c r="I31" s="23">
        <f t="shared" si="2"/>
        <v>0.10901960784313695</v>
      </c>
      <c r="J31" s="23">
        <f t="shared" si="9"/>
        <v>2.4325820436856865E-2</v>
      </c>
      <c r="K31" s="108">
        <f t="shared" si="10"/>
        <v>2.4306873493082398E-2</v>
      </c>
    </row>
    <row r="32" spans="1:11" x14ac:dyDescent="0.2">
      <c r="A32" s="107" t="s">
        <v>41</v>
      </c>
      <c r="B32" s="73">
        <f>B8</f>
        <v>1104</v>
      </c>
      <c r="C32" s="78">
        <f>VLOOKUP($B$3,'Data for Bill Impacts'!$A$3:$Y$15,16,0)</f>
        <v>4.1999999999999997E-3</v>
      </c>
      <c r="D32" s="22">
        <f>B32*C32</f>
        <v>4.6368</v>
      </c>
      <c r="E32" s="73">
        <f t="shared" si="6"/>
        <v>1104</v>
      </c>
      <c r="F32" s="126">
        <f>VLOOKUP($B$3,'Data for Bill Impacts'!$A$3:$Y$15,25,0)</f>
        <v>4.8209999999999998E-3</v>
      </c>
      <c r="G32" s="22">
        <f>E32*F32</f>
        <v>5.3223839999999996</v>
      </c>
      <c r="H32" s="22">
        <f t="shared" si="1"/>
        <v>0.68558399999999953</v>
      </c>
      <c r="I32" s="23">
        <f t="shared" si="2"/>
        <v>0.14785714285714274</v>
      </c>
      <c r="J32" s="23">
        <f t="shared" si="9"/>
        <v>2.0734579265574073E-2</v>
      </c>
      <c r="K32" s="108">
        <f t="shared" si="10"/>
        <v>2.0718429474920481E-2</v>
      </c>
    </row>
    <row r="33" spans="1:11" s="1" customFormat="1" x14ac:dyDescent="0.2">
      <c r="A33" s="110" t="s">
        <v>76</v>
      </c>
      <c r="B33" s="74"/>
      <c r="C33" s="35"/>
      <c r="D33" s="35">
        <f>SUM(D31:D32)</f>
        <v>10.267200000000001</v>
      </c>
      <c r="E33" s="73"/>
      <c r="F33" s="35"/>
      <c r="G33" s="35">
        <f>SUM(G31:G32)</f>
        <v>11.566607999999999</v>
      </c>
      <c r="H33" s="35">
        <f t="shared" si="1"/>
        <v>1.2994079999999979</v>
      </c>
      <c r="I33" s="36">
        <f t="shared" si="2"/>
        <v>0.12655913978494601</v>
      </c>
      <c r="J33" s="36">
        <f t="shared" si="9"/>
        <v>4.5060399702430934E-2</v>
      </c>
      <c r="K33" s="111">
        <f t="shared" si="10"/>
        <v>4.5025302968002882E-2</v>
      </c>
    </row>
    <row r="34" spans="1:11" s="1" customFormat="1" x14ac:dyDescent="0.2">
      <c r="A34" s="110" t="s">
        <v>91</v>
      </c>
      <c r="B34" s="74"/>
      <c r="C34" s="35"/>
      <c r="D34" s="35">
        <f>D29+D33</f>
        <v>124.56120000000001</v>
      </c>
      <c r="E34" s="73"/>
      <c r="F34" s="35"/>
      <c r="G34" s="35">
        <f>G29+G33</f>
        <v>126.51060800000002</v>
      </c>
      <c r="H34" s="35">
        <f t="shared" si="1"/>
        <v>1.9494080000000054</v>
      </c>
      <c r="I34" s="36">
        <f t="shared" si="2"/>
        <v>1.5650202470753372E-2</v>
      </c>
      <c r="J34" s="36">
        <f t="shared" si="9"/>
        <v>0.49285136688971892</v>
      </c>
      <c r="K34" s="111">
        <f t="shared" si="10"/>
        <v>0.49246749382932753</v>
      </c>
    </row>
    <row r="35" spans="1:11" s="1" customFormat="1" x14ac:dyDescent="0.2">
      <c r="A35" s="110" t="s">
        <v>92</v>
      </c>
      <c r="B35" s="74"/>
      <c r="C35" s="35"/>
      <c r="D35" s="35">
        <f>D30+D33</f>
        <v>123.56176000000001</v>
      </c>
      <c r="E35" s="73"/>
      <c r="F35" s="35"/>
      <c r="G35" s="35">
        <f>G30+G33</f>
        <v>125.51116800000001</v>
      </c>
      <c r="H35" s="35">
        <f t="shared" si="1"/>
        <v>1.9494080000000054</v>
      </c>
      <c r="I35" s="36">
        <f t="shared" si="2"/>
        <v>1.5776790489225836E-2</v>
      </c>
      <c r="J35" s="36">
        <f t="shared" si="9"/>
        <v>0.48895781695022089</v>
      </c>
      <c r="K35" s="111">
        <f t="shared" si="10"/>
        <v>0.48857697650580961</v>
      </c>
    </row>
    <row r="36" spans="1:11" x14ac:dyDescent="0.2">
      <c r="A36" s="107" t="s">
        <v>42</v>
      </c>
      <c r="B36" s="73">
        <f>B8</f>
        <v>1104</v>
      </c>
      <c r="C36" s="34">
        <v>3.5999999999999999E-3</v>
      </c>
      <c r="D36" s="22">
        <f>B36*C36</f>
        <v>3.9743999999999997</v>
      </c>
      <c r="E36" s="73">
        <f t="shared" si="6"/>
        <v>1104</v>
      </c>
      <c r="F36" s="34">
        <v>3.5999999999999999E-3</v>
      </c>
      <c r="G36" s="22">
        <f>E36*F36</f>
        <v>3.9743999999999997</v>
      </c>
      <c r="H36" s="22">
        <f t="shared" si="1"/>
        <v>0</v>
      </c>
      <c r="I36" s="23">
        <f t="shared" si="2"/>
        <v>0</v>
      </c>
      <c r="J36" s="23">
        <f t="shared" si="9"/>
        <v>1.5483195469003662E-2</v>
      </c>
      <c r="K36" s="108">
        <f t="shared" si="10"/>
        <v>1.547113588668611E-2</v>
      </c>
    </row>
    <row r="37" spans="1:11" x14ac:dyDescent="0.2">
      <c r="A37" s="107" t="s">
        <v>43</v>
      </c>
      <c r="B37" s="73">
        <f>B8</f>
        <v>1104</v>
      </c>
      <c r="C37" s="34">
        <v>2.0999999999999999E-3</v>
      </c>
      <c r="D37" s="22">
        <f>B37*C37</f>
        <v>2.3184</v>
      </c>
      <c r="E37" s="73">
        <f t="shared" si="6"/>
        <v>1104</v>
      </c>
      <c r="F37" s="34">
        <v>2.0999999999999999E-3</v>
      </c>
      <c r="G37" s="22">
        <f>E37*F37</f>
        <v>2.3184</v>
      </c>
      <c r="H37" s="22">
        <f>G37-D37</f>
        <v>0</v>
      </c>
      <c r="I37" s="23">
        <f t="shared" si="2"/>
        <v>0</v>
      </c>
      <c r="J37" s="23">
        <f t="shared" si="9"/>
        <v>9.0318640235854709E-3</v>
      </c>
      <c r="K37" s="108">
        <f t="shared" si="10"/>
        <v>9.024829267233565E-3</v>
      </c>
    </row>
    <row r="38" spans="1:11" x14ac:dyDescent="0.2">
      <c r="A38" s="107" t="s">
        <v>96</v>
      </c>
      <c r="B38" s="73">
        <f>B8</f>
        <v>1104</v>
      </c>
      <c r="C38" s="34">
        <v>1.1000000000000001E-3</v>
      </c>
      <c r="D38" s="22">
        <f>B38*C38</f>
        <v>1.2144000000000001</v>
      </c>
      <c r="E38" s="73">
        <f t="shared" si="6"/>
        <v>1104</v>
      </c>
      <c r="F38" s="34">
        <v>1.1000000000000001E-3</v>
      </c>
      <c r="G38" s="22">
        <f>E38*F38</f>
        <v>1.2144000000000001</v>
      </c>
      <c r="H38" s="22">
        <f>G38-D38</f>
        <v>0</v>
      </c>
      <c r="I38" s="23">
        <f t="shared" ref="I38" si="11">IF(ISERROR(H38/D38),0,(H38/D38))</f>
        <v>0</v>
      </c>
      <c r="J38" s="23">
        <f t="shared" ref="J38" si="12">G38/$G$46</f>
        <v>4.7309763933066759E-3</v>
      </c>
      <c r="K38" s="108">
        <f t="shared" ref="K38" si="13">G38/$G$51</f>
        <v>4.7272915209318677E-3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9.7393288729139395E-4</v>
      </c>
      <c r="K39" s="108">
        <f t="shared" si="10"/>
        <v>9.7317430849223224E-4</v>
      </c>
    </row>
    <row r="40" spans="1:11" s="1" customFormat="1" x14ac:dyDescent="0.2">
      <c r="A40" s="110" t="s">
        <v>45</v>
      </c>
      <c r="B40" s="74"/>
      <c r="C40" s="35"/>
      <c r="D40" s="35">
        <f>SUM(D36:D39)</f>
        <v>7.7572000000000001</v>
      </c>
      <c r="E40" s="73"/>
      <c r="F40" s="35"/>
      <c r="G40" s="35">
        <f>SUM(G36:G39)</f>
        <v>7.7572000000000001</v>
      </c>
      <c r="H40" s="35">
        <f t="shared" si="1"/>
        <v>0</v>
      </c>
      <c r="I40" s="36">
        <f t="shared" si="2"/>
        <v>0</v>
      </c>
      <c r="J40" s="36">
        <f t="shared" si="9"/>
        <v>3.0219968773187205E-2</v>
      </c>
      <c r="K40" s="111">
        <f t="shared" si="10"/>
        <v>3.0196430983343778E-2</v>
      </c>
    </row>
    <row r="41" spans="1:11" s="1" customFormat="1" ht="13.5" thickBot="1" x14ac:dyDescent="0.25">
      <c r="A41" s="112" t="s">
        <v>46</v>
      </c>
      <c r="B41" s="113">
        <f>B4</f>
        <v>1000</v>
      </c>
      <c r="C41" s="114">
        <v>0</v>
      </c>
      <c r="D41" s="115">
        <f>B41*C41</f>
        <v>0</v>
      </c>
      <c r="E41" s="116">
        <f t="shared" si="6"/>
        <v>1000</v>
      </c>
      <c r="F41" s="114">
        <f>C41</f>
        <v>0</v>
      </c>
      <c r="G41" s="115">
        <f>E41*F41</f>
        <v>0</v>
      </c>
      <c r="H41" s="115">
        <f t="shared" si="1"/>
        <v>0</v>
      </c>
      <c r="I41" s="117">
        <f t="shared" si="2"/>
        <v>0</v>
      </c>
      <c r="J41" s="117">
        <f t="shared" si="9"/>
        <v>0</v>
      </c>
      <c r="K41" s="118">
        <f t="shared" si="10"/>
        <v>0</v>
      </c>
    </row>
    <row r="42" spans="1:11" s="1" customFormat="1" x14ac:dyDescent="0.2">
      <c r="A42" s="37" t="s">
        <v>105</v>
      </c>
      <c r="B42" s="38"/>
      <c r="C42" s="39"/>
      <c r="D42" s="39">
        <f>SUM(D14,D25,D26,D27,D33,D40,D41)</f>
        <v>242.51840000000001</v>
      </c>
      <c r="E42" s="38"/>
      <c r="F42" s="39"/>
      <c r="G42" s="39">
        <f>SUM(G14,G25,G26,G27,G33,G40,G41)</f>
        <v>244.46780799999999</v>
      </c>
      <c r="H42" s="39">
        <f t="shared" si="1"/>
        <v>1.9494079999999769</v>
      </c>
      <c r="I42" s="40">
        <f>IF(ISERROR(H42/D42),0,(H42/D42))</f>
        <v>8.0381859685697121E-3</v>
      </c>
      <c r="J42" s="40">
        <f t="shared" si="9"/>
        <v>0.95238095238095244</v>
      </c>
      <c r="K42" s="41"/>
    </row>
    <row r="43" spans="1:11" x14ac:dyDescent="0.2">
      <c r="A43" s="154" t="s">
        <v>106</v>
      </c>
      <c r="B43" s="43"/>
      <c r="C43" s="26">
        <v>0.13</v>
      </c>
      <c r="D43" s="26">
        <f>D42*C43</f>
        <v>31.527392000000003</v>
      </c>
      <c r="E43" s="26"/>
      <c r="F43" s="26">
        <f>C43</f>
        <v>0.13</v>
      </c>
      <c r="G43" s="26">
        <f>G42*F43</f>
        <v>31.78081504</v>
      </c>
      <c r="H43" s="26">
        <f t="shared" si="1"/>
        <v>0.25342303999999771</v>
      </c>
      <c r="I43" s="44">
        <f t="shared" si="2"/>
        <v>8.0381859685697346E-3</v>
      </c>
      <c r="J43" s="44">
        <f t="shared" si="9"/>
        <v>0.12380952380952383</v>
      </c>
      <c r="K43" s="45"/>
    </row>
    <row r="44" spans="1:11" s="1" customFormat="1" x14ac:dyDescent="0.2">
      <c r="A44" s="46" t="s">
        <v>107</v>
      </c>
      <c r="B44" s="24"/>
      <c r="C44" s="25"/>
      <c r="D44" s="25">
        <f>SUM(D42:D43)</f>
        <v>274.04579200000001</v>
      </c>
      <c r="E44" s="25"/>
      <c r="F44" s="25"/>
      <c r="G44" s="25">
        <f>SUM(G42:G43)</f>
        <v>276.24862303999998</v>
      </c>
      <c r="H44" s="25">
        <f t="shared" si="1"/>
        <v>2.2028310399999782</v>
      </c>
      <c r="I44" s="27">
        <f t="shared" si="2"/>
        <v>8.0381859685697277E-3</v>
      </c>
      <c r="J44" s="27">
        <f t="shared" si="9"/>
        <v>1.0761904761904764</v>
      </c>
      <c r="K44" s="47"/>
    </row>
    <row r="45" spans="1:11" x14ac:dyDescent="0.2">
      <c r="A45" s="42" t="s">
        <v>108</v>
      </c>
      <c r="B45" s="43"/>
      <c r="C45" s="26">
        <v>-0.08</v>
      </c>
      <c r="D45" s="26">
        <f>D42*C45</f>
        <v>-19.401472000000002</v>
      </c>
      <c r="E45" s="26"/>
      <c r="F45" s="26">
        <f>C45</f>
        <v>-0.08</v>
      </c>
      <c r="G45" s="26">
        <f>G42*F45</f>
        <v>-19.557424640000001</v>
      </c>
      <c r="H45" s="26">
        <f t="shared" si="1"/>
        <v>-0.15595263999999887</v>
      </c>
      <c r="I45" s="44">
        <f t="shared" si="2"/>
        <v>8.0381859685697485E-3</v>
      </c>
      <c r="J45" s="44">
        <f t="shared" si="9"/>
        <v>-7.6190476190476211E-2</v>
      </c>
      <c r="K45" s="45"/>
    </row>
    <row r="46" spans="1:11" s="1" customFormat="1" ht="13.5" thickBot="1" x14ac:dyDescent="0.25">
      <c r="A46" s="48" t="s">
        <v>109</v>
      </c>
      <c r="B46" s="49"/>
      <c r="C46" s="50"/>
      <c r="D46" s="50">
        <f>SUM(D44:D45)</f>
        <v>254.64431999999999</v>
      </c>
      <c r="E46" s="50"/>
      <c r="F46" s="50"/>
      <c r="G46" s="50">
        <f>SUM(G44:G45)</f>
        <v>256.69119839999996</v>
      </c>
      <c r="H46" s="50">
        <f t="shared" si="1"/>
        <v>2.0468783999999687</v>
      </c>
      <c r="I46" s="51">
        <f t="shared" si="2"/>
        <v>8.0381859685696843E-3</v>
      </c>
      <c r="J46" s="51">
        <f t="shared" si="9"/>
        <v>1</v>
      </c>
      <c r="K46" s="52"/>
    </row>
    <row r="47" spans="1:11" x14ac:dyDescent="0.2">
      <c r="A47" s="53" t="s">
        <v>110</v>
      </c>
      <c r="B47" s="54"/>
      <c r="C47" s="55"/>
      <c r="D47" s="55">
        <f>SUM(D18,D25,D26,D28,D33,D40,D41)</f>
        <v>242.70896000000002</v>
      </c>
      <c r="E47" s="55"/>
      <c r="F47" s="55"/>
      <c r="G47" s="55">
        <f>SUM(G18,G25,G26,G28,G33,G40,G41)</f>
        <v>244.658368</v>
      </c>
      <c r="H47" s="55">
        <f>G47-D47</f>
        <v>1.9494079999999769</v>
      </c>
      <c r="I47" s="56">
        <f>IF(ISERROR(H47/D47),0,(H47/D47))</f>
        <v>8.0318748842233799E-3</v>
      </c>
      <c r="J47" s="56"/>
      <c r="K47" s="57">
        <f>G47/$G$51</f>
        <v>0.95238095238095233</v>
      </c>
    </row>
    <row r="48" spans="1:11" x14ac:dyDescent="0.2">
      <c r="A48" s="58" t="s">
        <v>106</v>
      </c>
      <c r="B48" s="59"/>
      <c r="C48" s="31">
        <v>0.13</v>
      </c>
      <c r="D48" s="31">
        <f>D47*C48</f>
        <v>31.552164800000003</v>
      </c>
      <c r="E48" s="31"/>
      <c r="F48" s="31">
        <f>C48</f>
        <v>0.13</v>
      </c>
      <c r="G48" s="31">
        <f>G47*F48</f>
        <v>31.805587840000001</v>
      </c>
      <c r="H48" s="31">
        <f>G48-D48</f>
        <v>0.25342303999999771</v>
      </c>
      <c r="I48" s="32">
        <f>IF(ISERROR(H48/D48),0,(H48/D48))</f>
        <v>8.0318748842234007E-3</v>
      </c>
      <c r="J48" s="32"/>
      <c r="K48" s="60">
        <f>G48/$G$51</f>
        <v>0.12380952380952381</v>
      </c>
    </row>
    <row r="49" spans="1:11" x14ac:dyDescent="0.2">
      <c r="A49" s="150" t="s">
        <v>111</v>
      </c>
      <c r="B49" s="29"/>
      <c r="C49" s="30"/>
      <c r="D49" s="30">
        <f>SUM(D47:D48)</f>
        <v>274.2611248</v>
      </c>
      <c r="E49" s="30"/>
      <c r="F49" s="30"/>
      <c r="G49" s="30">
        <f>SUM(G47:G48)</f>
        <v>276.46395583999998</v>
      </c>
      <c r="H49" s="30">
        <f>G49-D49</f>
        <v>2.2028310399999782</v>
      </c>
      <c r="I49" s="33">
        <f>IF(ISERROR(H49/D49),0,(H49/D49))</f>
        <v>8.0318748842233955E-3</v>
      </c>
      <c r="J49" s="33"/>
      <c r="K49" s="62">
        <f>G49/$G$51</f>
        <v>1.0761904761904761</v>
      </c>
    </row>
    <row r="50" spans="1:11" x14ac:dyDescent="0.2">
      <c r="A50" s="58" t="s">
        <v>108</v>
      </c>
      <c r="B50" s="59"/>
      <c r="C50" s="31">
        <v>-0.08</v>
      </c>
      <c r="D50" s="31">
        <f>D47*C50</f>
        <v>-19.416716800000003</v>
      </c>
      <c r="E50" s="31"/>
      <c r="F50" s="31">
        <f>C50</f>
        <v>-0.08</v>
      </c>
      <c r="G50" s="31">
        <f>G47*F50</f>
        <v>-19.572669439999999</v>
      </c>
      <c r="H50" s="31">
        <f>G50-D50</f>
        <v>-0.15595263999999531</v>
      </c>
      <c r="I50" s="32">
        <f>IF(ISERROR(H50/D50),0,(H50/D50))</f>
        <v>8.0318748842232324E-3</v>
      </c>
      <c r="J50" s="32"/>
      <c r="K50" s="60">
        <f>G50/$G$51</f>
        <v>-7.6190476190476183E-2</v>
      </c>
    </row>
    <row r="51" spans="1:11" ht="13.5" thickBot="1" x14ac:dyDescent="0.25">
      <c r="A51" s="63" t="s">
        <v>121</v>
      </c>
      <c r="B51" s="64"/>
      <c r="C51" s="65"/>
      <c r="D51" s="65">
        <f>SUM(D49:D50)</f>
        <v>254.84440799999999</v>
      </c>
      <c r="E51" s="65"/>
      <c r="F51" s="65"/>
      <c r="G51" s="65">
        <f>SUM(G49:G50)</f>
        <v>256.89128640000001</v>
      </c>
      <c r="H51" s="65">
        <f>G51-D51</f>
        <v>2.0468784000000255</v>
      </c>
      <c r="I51" s="66">
        <f>IF(ISERROR(H51/D51),0,(H51/D51))</f>
        <v>8.0318748842235759E-3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98</v>
      </c>
      <c r="B1" s="192"/>
      <c r="C1" s="192"/>
      <c r="D1" s="192"/>
      <c r="E1" s="192"/>
      <c r="F1" s="192"/>
      <c r="G1" s="192"/>
      <c r="H1" s="192"/>
      <c r="I1" s="192"/>
      <c r="J1" s="192"/>
      <c r="K1" s="193"/>
    </row>
    <row r="3" spans="1:11" x14ac:dyDescent="0.2">
      <c r="A3" s="13" t="s">
        <v>13</v>
      </c>
      <c r="B3" s="13" t="s">
        <v>6</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1067</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0.37813992839991678</v>
      </c>
      <c r="K12" s="106"/>
    </row>
    <row r="13" spans="1:11" x14ac:dyDescent="0.2">
      <c r="A13" s="107" t="s">
        <v>32</v>
      </c>
      <c r="B13" s="73">
        <f>IF(B4&gt;B7,(B4)-B7,0)</f>
        <v>250</v>
      </c>
      <c r="C13" s="21">
        <v>0.121</v>
      </c>
      <c r="D13" s="22">
        <f>B13*C13</f>
        <v>30.25</v>
      </c>
      <c r="E13" s="73">
        <f t="shared" ref="E13" si="0">B13</f>
        <v>250</v>
      </c>
      <c r="F13" s="21">
        <f>C13</f>
        <v>0.121</v>
      </c>
      <c r="G13" s="22">
        <f>E13*F13</f>
        <v>30.25</v>
      </c>
      <c r="H13" s="22">
        <f t="shared" ref="H13:H46" si="1">G13-D13</f>
        <v>0</v>
      </c>
      <c r="I13" s="23">
        <f t="shared" ref="I13:I46" si="2">IF(ISERROR(H13/D13),0,(H13/D13))</f>
        <v>0</v>
      </c>
      <c r="J13" s="23">
        <f>G13/$G$46</f>
        <v>0.14807421144462762</v>
      </c>
      <c r="K13" s="108"/>
    </row>
    <row r="14" spans="1:11" s="1" customFormat="1" x14ac:dyDescent="0.2">
      <c r="A14" s="46" t="s">
        <v>33</v>
      </c>
      <c r="B14" s="24"/>
      <c r="C14" s="25"/>
      <c r="D14" s="25">
        <f>SUM(D12:D13)</f>
        <v>107.5</v>
      </c>
      <c r="E14" s="76"/>
      <c r="F14" s="25"/>
      <c r="G14" s="25">
        <f>SUM(G12:G13)</f>
        <v>107.5</v>
      </c>
      <c r="H14" s="25">
        <f t="shared" si="1"/>
        <v>0</v>
      </c>
      <c r="I14" s="27">
        <f t="shared" si="2"/>
        <v>0</v>
      </c>
      <c r="J14" s="27">
        <f>G14/$G$46</f>
        <v>0.52621413984454446</v>
      </c>
      <c r="K14" s="108"/>
    </row>
    <row r="15" spans="1:11" s="1" customFormat="1" x14ac:dyDescent="0.2">
      <c r="A15" s="109" t="s">
        <v>34</v>
      </c>
      <c r="B15" s="75">
        <f>B4*0.65</f>
        <v>650</v>
      </c>
      <c r="C15" s="28">
        <v>8.6999999999999994E-2</v>
      </c>
      <c r="D15" s="22">
        <f>B15*C15</f>
        <v>56.55</v>
      </c>
      <c r="E15" s="73">
        <f t="shared" ref="E15:F17" si="3">B15</f>
        <v>650</v>
      </c>
      <c r="F15" s="28">
        <f t="shared" si="3"/>
        <v>8.6999999999999994E-2</v>
      </c>
      <c r="G15" s="22">
        <f>E15*F15</f>
        <v>56.55</v>
      </c>
      <c r="H15" s="22">
        <f t="shared" si="1"/>
        <v>0</v>
      </c>
      <c r="I15" s="23">
        <f t="shared" si="2"/>
        <v>0</v>
      </c>
      <c r="J15" s="23"/>
      <c r="K15" s="108">
        <f t="shared" ref="K15:K26" si="4">G15/$G$51</f>
        <v>0.27227045739325118</v>
      </c>
    </row>
    <row r="16" spans="1:11" s="1" customFormat="1" x14ac:dyDescent="0.2">
      <c r="A16" s="109" t="s">
        <v>35</v>
      </c>
      <c r="B16" s="75">
        <f>B4*0.17</f>
        <v>170</v>
      </c>
      <c r="C16" s="28">
        <v>0.13200000000000001</v>
      </c>
      <c r="D16" s="22">
        <f>B16*C16</f>
        <v>22.44</v>
      </c>
      <c r="E16" s="73">
        <f t="shared" si="3"/>
        <v>170</v>
      </c>
      <c r="F16" s="28">
        <f t="shared" si="3"/>
        <v>0.13200000000000001</v>
      </c>
      <c r="G16" s="22">
        <f>E16*F16</f>
        <v>22.44</v>
      </c>
      <c r="H16" s="22">
        <f t="shared" si="1"/>
        <v>0</v>
      </c>
      <c r="I16" s="23">
        <f t="shared" si="2"/>
        <v>0</v>
      </c>
      <c r="J16" s="23"/>
      <c r="K16" s="108">
        <f t="shared" si="4"/>
        <v>0.10804153959159253</v>
      </c>
    </row>
    <row r="17" spans="1:11" s="1" customFormat="1" x14ac:dyDescent="0.2">
      <c r="A17" s="109" t="s">
        <v>36</v>
      </c>
      <c r="B17" s="75">
        <f>B4*0.18</f>
        <v>180</v>
      </c>
      <c r="C17" s="28">
        <v>0.18</v>
      </c>
      <c r="D17" s="22">
        <f>B17*C17</f>
        <v>32.4</v>
      </c>
      <c r="E17" s="73">
        <f t="shared" si="3"/>
        <v>180</v>
      </c>
      <c r="F17" s="28">
        <f t="shared" si="3"/>
        <v>0.18</v>
      </c>
      <c r="G17" s="22">
        <f>E17*F17</f>
        <v>32.4</v>
      </c>
      <c r="H17" s="22">
        <f t="shared" si="1"/>
        <v>0</v>
      </c>
      <c r="I17" s="23">
        <f t="shared" si="2"/>
        <v>0</v>
      </c>
      <c r="J17" s="23"/>
      <c r="K17" s="108">
        <f t="shared" si="4"/>
        <v>0.15599580582743305</v>
      </c>
    </row>
    <row r="18" spans="1:11" s="1" customFormat="1" x14ac:dyDescent="0.2">
      <c r="A18" s="61" t="s">
        <v>37</v>
      </c>
      <c r="B18" s="29"/>
      <c r="C18" s="30"/>
      <c r="D18" s="30">
        <f>SUM(D15:D17)</f>
        <v>111.38999999999999</v>
      </c>
      <c r="E18" s="77"/>
      <c r="F18" s="30"/>
      <c r="G18" s="30">
        <f>SUM(G15:G17)</f>
        <v>111.38999999999999</v>
      </c>
      <c r="H18" s="31">
        <f t="shared" si="1"/>
        <v>0</v>
      </c>
      <c r="I18" s="32">
        <f t="shared" si="2"/>
        <v>0</v>
      </c>
      <c r="J18" s="33">
        <f t="shared" ref="J18:J23" si="5">G18/$G$46</f>
        <v>0.5452557491840353</v>
      </c>
      <c r="K18" s="62">
        <f t="shared" si="4"/>
        <v>0.53630780281227675</v>
      </c>
    </row>
    <row r="19" spans="1:11" x14ac:dyDescent="0.2">
      <c r="A19" s="107" t="s">
        <v>38</v>
      </c>
      <c r="B19" s="73">
        <v>1</v>
      </c>
      <c r="C19" s="78">
        <f>VLOOKUP($B$3,'Data for Bill Impacts'!$A$3:$Y$15,7,0)</f>
        <v>23.3</v>
      </c>
      <c r="D19" s="22">
        <f>B19*C19</f>
        <v>23.3</v>
      </c>
      <c r="E19" s="73">
        <f t="shared" ref="E19:E41" si="6">B19</f>
        <v>1</v>
      </c>
      <c r="F19" s="78">
        <f>VLOOKUP($B$3,'Data for Bill Impacts'!$A$3:$Y$15,17,0)</f>
        <v>23.97</v>
      </c>
      <c r="G19" s="22">
        <f>E19*F19</f>
        <v>23.97</v>
      </c>
      <c r="H19" s="22">
        <f t="shared" si="1"/>
        <v>0.66999999999999815</v>
      </c>
      <c r="I19" s="23">
        <f t="shared" si="2"/>
        <v>2.8755364806866874E-2</v>
      </c>
      <c r="J19" s="23">
        <f t="shared" si="5"/>
        <v>0.11733351564719748</v>
      </c>
      <c r="K19" s="108">
        <f t="shared" si="4"/>
        <v>0.11540800820011018</v>
      </c>
    </row>
    <row r="20" spans="1:11" hidden="1" x14ac:dyDescent="0.2">
      <c r="A20" s="107" t="s">
        <v>114</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0.67</v>
      </c>
      <c r="D21" s="22">
        <f t="shared" si="7"/>
        <v>0.67</v>
      </c>
      <c r="E21" s="73">
        <f t="shared" si="6"/>
        <v>1</v>
      </c>
      <c r="F21" s="122">
        <f>VLOOKUP($B$3,'Data for Bill Impacts'!$A$3:$Y$15,22,0)</f>
        <v>0.01</v>
      </c>
      <c r="G21" s="22">
        <f t="shared" si="8"/>
        <v>0.01</v>
      </c>
      <c r="H21" s="22">
        <f t="shared" si="1"/>
        <v>-0.66</v>
      </c>
      <c r="I21" s="23">
        <f t="shared" si="2"/>
        <v>-0.9850746268656716</v>
      </c>
      <c r="J21" s="23">
        <f t="shared" si="5"/>
        <v>4.8950152543678553E-5</v>
      </c>
      <c r="K21" s="108">
        <f t="shared" si="4"/>
        <v>4.8146853650442302E-5</v>
      </c>
    </row>
    <row r="22" spans="1:11" hidden="1" x14ac:dyDescent="0.2">
      <c r="A22" s="107" t="s">
        <v>123</v>
      </c>
      <c r="B22" s="73">
        <f>B4</f>
        <v>1000</v>
      </c>
      <c r="C22" s="78">
        <v>0</v>
      </c>
      <c r="D22" s="22">
        <f>B22*C22</f>
        <v>0</v>
      </c>
      <c r="E22" s="73">
        <f>B22</f>
        <v>1000</v>
      </c>
      <c r="F22" s="78">
        <f>C22</f>
        <v>0</v>
      </c>
      <c r="G22" s="22">
        <f>E22*F22</f>
        <v>0</v>
      </c>
      <c r="H22" s="22">
        <f>G22-D22</f>
        <v>0</v>
      </c>
      <c r="I22" s="23">
        <f>IF(ISERROR(H22/D22),0,(H22/D22))</f>
        <v>0</v>
      </c>
      <c r="J22" s="23">
        <f t="shared" si="5"/>
        <v>0</v>
      </c>
      <c r="K22" s="108">
        <f t="shared" si="4"/>
        <v>0</v>
      </c>
    </row>
    <row r="23" spans="1:11" x14ac:dyDescent="0.2">
      <c r="A23" s="107" t="s">
        <v>39</v>
      </c>
      <c r="B23" s="73">
        <f>IF($B$9="kWh",$B$4,$B$5)</f>
        <v>1000</v>
      </c>
      <c r="C23" s="78">
        <f>VLOOKUP($B$3,'Data for Bill Impacts'!$A$3:$Y$15,10,0)</f>
        <v>2.6200000000000001E-2</v>
      </c>
      <c r="D23" s="22">
        <f>B23*C23</f>
        <v>26.200000000000003</v>
      </c>
      <c r="E23" s="73">
        <f t="shared" si="6"/>
        <v>1000</v>
      </c>
      <c r="F23" s="126">
        <f>VLOOKUP($B$3,'Data for Bill Impacts'!$A$3:$Y$15,19,0)</f>
        <v>2.8000000000000001E-2</v>
      </c>
      <c r="G23" s="22">
        <f>E23*F23</f>
        <v>28</v>
      </c>
      <c r="H23" s="22">
        <f t="shared" si="1"/>
        <v>1.7999999999999972</v>
      </c>
      <c r="I23" s="23">
        <f t="shared" si="2"/>
        <v>6.8702290076335756E-2</v>
      </c>
      <c r="J23" s="23">
        <f t="shared" si="5"/>
        <v>0.13706042712229993</v>
      </c>
      <c r="K23" s="108">
        <f t="shared" si="4"/>
        <v>0.13481119022123844</v>
      </c>
    </row>
    <row r="24" spans="1:11" x14ac:dyDescent="0.2">
      <c r="A24" s="107" t="s">
        <v>124</v>
      </c>
      <c r="B24" s="73">
        <f>IF($B$9="kWh",$B$4,$B$5)</f>
        <v>1000</v>
      </c>
      <c r="C24" s="78">
        <f>VLOOKUP($B$3,'Data for Bill Impacts'!$A$3:$Y$15,14,0)</f>
        <v>-1E-4</v>
      </c>
      <c r="D24" s="22">
        <f>B24*C24</f>
        <v>-0.1</v>
      </c>
      <c r="E24" s="73">
        <f t="shared" si="6"/>
        <v>1000</v>
      </c>
      <c r="F24" s="126">
        <f>VLOOKUP($B$3,'Data for Bill Impacts'!$A$3:$Y$15,23,0)</f>
        <v>2.0000000000000001E-4</v>
      </c>
      <c r="G24" s="22">
        <f>E24*F24</f>
        <v>0.2</v>
      </c>
      <c r="H24" s="22">
        <f t="shared" si="1"/>
        <v>0.30000000000000004</v>
      </c>
      <c r="I24" s="23">
        <f>IF(ISERROR(H24/D24),0,(H24/D24))</f>
        <v>-3.0000000000000004</v>
      </c>
      <c r="J24" s="23">
        <f t="shared" ref="J24" si="9">G24/$G$46</f>
        <v>9.7900305087357097E-4</v>
      </c>
      <c r="K24" s="108">
        <f t="shared" si="4"/>
        <v>9.6293707300884601E-4</v>
      </c>
    </row>
    <row r="25" spans="1:11" s="1" customFormat="1" x14ac:dyDescent="0.2">
      <c r="A25" s="110" t="s">
        <v>72</v>
      </c>
      <c r="B25" s="74"/>
      <c r="C25" s="35"/>
      <c r="D25" s="35">
        <f>SUM(D19:D24)</f>
        <v>50.07</v>
      </c>
      <c r="E25" s="73"/>
      <c r="F25" s="35"/>
      <c r="G25" s="35">
        <f>SUM(G19:G24)</f>
        <v>52.180000000000007</v>
      </c>
      <c r="H25" s="35">
        <f t="shared" si="1"/>
        <v>2.1100000000000065</v>
      </c>
      <c r="I25" s="36">
        <f t="shared" si="2"/>
        <v>4.2141002596365218E-2</v>
      </c>
      <c r="J25" s="36">
        <f>G25/$G$46</f>
        <v>0.2554218959729147</v>
      </c>
      <c r="K25" s="111">
        <f t="shared" si="4"/>
        <v>0.25123028234800793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3.8670620509506058E-3</v>
      </c>
      <c r="K26" s="108">
        <f t="shared" si="4"/>
        <v>3.8036014383849418E-3</v>
      </c>
    </row>
    <row r="27" spans="1:11" s="1" customFormat="1" x14ac:dyDescent="0.2">
      <c r="A27" s="119" t="s">
        <v>75</v>
      </c>
      <c r="B27" s="120">
        <f>B8-B4</f>
        <v>67</v>
      </c>
      <c r="C27" s="121">
        <f>IF(B4&gt;B7,C13,C12)</f>
        <v>0.121</v>
      </c>
      <c r="D27" s="22">
        <f>B27*C27</f>
        <v>8.1069999999999993</v>
      </c>
      <c r="E27" s="73">
        <f>B27</f>
        <v>67</v>
      </c>
      <c r="F27" s="121">
        <f>C27</f>
        <v>0.121</v>
      </c>
      <c r="G27" s="22">
        <f>E27*F27</f>
        <v>8.1069999999999993</v>
      </c>
      <c r="H27" s="22">
        <f t="shared" si="1"/>
        <v>0</v>
      </c>
      <c r="I27" s="23">
        <f>IF(ISERROR(H27/D27),0,(H27/D27))</f>
        <v>0</v>
      </c>
      <c r="J27" s="23">
        <f t="shared" ref="J27:J46" si="10">G27/$G$46</f>
        <v>3.9683888667160196E-2</v>
      </c>
      <c r="K27" s="108">
        <f t="shared" ref="K27:K41" si="11">G27/$G$51</f>
        <v>3.9032654254413567E-2</v>
      </c>
    </row>
    <row r="28" spans="1:11" s="1" customFormat="1" x14ac:dyDescent="0.2">
      <c r="A28" s="119" t="s">
        <v>74</v>
      </c>
      <c r="B28" s="120">
        <f>B8-B4</f>
        <v>67</v>
      </c>
      <c r="C28" s="121">
        <f>0.65*C15+0.17*C16+0.18*C17</f>
        <v>0.11139</v>
      </c>
      <c r="D28" s="22">
        <f>B28*C28</f>
        <v>7.4631300000000005</v>
      </c>
      <c r="E28" s="73">
        <f>B28</f>
        <v>67</v>
      </c>
      <c r="F28" s="121">
        <f>C28</f>
        <v>0.11139</v>
      </c>
      <c r="G28" s="22">
        <f>E28*F28</f>
        <v>7.4631300000000005</v>
      </c>
      <c r="H28" s="22">
        <f t="shared" si="1"/>
        <v>0</v>
      </c>
      <c r="I28" s="23">
        <f>IF(ISERROR(H28/D28),0,(H28/D28))</f>
        <v>0</v>
      </c>
      <c r="J28" s="23">
        <f t="shared" si="10"/>
        <v>3.653213519533037E-2</v>
      </c>
      <c r="K28" s="108">
        <f t="shared" si="11"/>
        <v>3.5932622788422547E-2</v>
      </c>
    </row>
    <row r="29" spans="1:11" s="1" customFormat="1" x14ac:dyDescent="0.2">
      <c r="A29" s="110" t="s">
        <v>78</v>
      </c>
      <c r="B29" s="74"/>
      <c r="C29" s="35"/>
      <c r="D29" s="35">
        <f>SUM(D25,D26:D27)</f>
        <v>58.966999999999999</v>
      </c>
      <c r="E29" s="73"/>
      <c r="F29" s="35"/>
      <c r="G29" s="35">
        <f>SUM(G25,G26:G27)</f>
        <v>61.077000000000005</v>
      </c>
      <c r="H29" s="35">
        <f t="shared" si="1"/>
        <v>2.1100000000000065</v>
      </c>
      <c r="I29" s="36">
        <f>IF(ISERROR(H29/D29),0,(H29/D29))</f>
        <v>3.5782725931453298E-2</v>
      </c>
      <c r="J29" s="36">
        <f t="shared" si="10"/>
        <v>0.29897284669102553</v>
      </c>
      <c r="K29" s="111">
        <f t="shared" si="11"/>
        <v>0.29406653804080646</v>
      </c>
    </row>
    <row r="30" spans="1:11" s="1" customFormat="1" x14ac:dyDescent="0.2">
      <c r="A30" s="110" t="s">
        <v>77</v>
      </c>
      <c r="B30" s="74"/>
      <c r="C30" s="35"/>
      <c r="D30" s="35">
        <f>SUM(D25,D26,D28)</f>
        <v>58.323129999999999</v>
      </c>
      <c r="E30" s="73"/>
      <c r="F30" s="35"/>
      <c r="G30" s="35">
        <f>SUM(G25,G26,G28)</f>
        <v>60.433130000000006</v>
      </c>
      <c r="H30" s="35">
        <f t="shared" si="1"/>
        <v>2.1100000000000065</v>
      </c>
      <c r="I30" s="36">
        <f>IF(ISERROR(H30/D30),0,(H30/D30))</f>
        <v>3.617775657787925E-2</v>
      </c>
      <c r="J30" s="36">
        <f t="shared" si="10"/>
        <v>0.2958210932191957</v>
      </c>
      <c r="K30" s="111">
        <f t="shared" si="11"/>
        <v>0.29096650657481543</v>
      </c>
    </row>
    <row r="31" spans="1:11" x14ac:dyDescent="0.2">
      <c r="A31" s="107" t="s">
        <v>40</v>
      </c>
      <c r="B31" s="73">
        <f>B8</f>
        <v>1067</v>
      </c>
      <c r="C31" s="78">
        <f>VLOOKUP($B$3,'Data for Bill Impacts'!$A$3:$Y$15,15,0)</f>
        <v>6.4000000000000003E-3</v>
      </c>
      <c r="D31" s="22">
        <f>B31*C31</f>
        <v>6.8288000000000002</v>
      </c>
      <c r="E31" s="73">
        <f t="shared" si="6"/>
        <v>1067</v>
      </c>
      <c r="F31" s="126">
        <f>VLOOKUP($B$3,'Data for Bill Impacts'!$A$3:$Y$15,24,0)</f>
        <v>6.1060000000000003E-3</v>
      </c>
      <c r="G31" s="22">
        <f>E31*F31</f>
        <v>6.5151020000000006</v>
      </c>
      <c r="H31" s="22">
        <f t="shared" si="1"/>
        <v>-0.31369799999999959</v>
      </c>
      <c r="I31" s="23">
        <f t="shared" si="2"/>
        <v>-4.5937499999999937E-2</v>
      </c>
      <c r="J31" s="23">
        <f t="shared" si="10"/>
        <v>3.1891523673762523E-2</v>
      </c>
      <c r="K31" s="108">
        <f t="shared" si="11"/>
        <v>3.1368166251170393E-2</v>
      </c>
    </row>
    <row r="32" spans="1:11" x14ac:dyDescent="0.2">
      <c r="A32" s="107" t="s">
        <v>41</v>
      </c>
      <c r="B32" s="73">
        <f>B8</f>
        <v>1067</v>
      </c>
      <c r="C32" s="126">
        <f>VLOOKUP($B$3,'Data for Bill Impacts'!$A$3:$Y$15,16,0)</f>
        <v>4.0000000000000001E-3</v>
      </c>
      <c r="D32" s="22">
        <f>B32*C32</f>
        <v>4.2679999999999998</v>
      </c>
      <c r="E32" s="73">
        <f t="shared" si="6"/>
        <v>1067</v>
      </c>
      <c r="F32" s="126">
        <f>VLOOKUP($B$3,'Data for Bill Impacts'!$A$3:$Y$15,25,0)</f>
        <v>4.6519999999999999E-3</v>
      </c>
      <c r="G32" s="22">
        <f>E32*F32</f>
        <v>4.9636839999999998</v>
      </c>
      <c r="H32" s="22">
        <f t="shared" si="1"/>
        <v>0.69568399999999997</v>
      </c>
      <c r="I32" s="23">
        <f t="shared" si="2"/>
        <v>0.16300000000000001</v>
      </c>
      <c r="J32" s="23">
        <f t="shared" si="10"/>
        <v>2.429730889786165E-2</v>
      </c>
      <c r="K32" s="108">
        <f t="shared" si="11"/>
        <v>2.3898576711504201E-2</v>
      </c>
    </row>
    <row r="33" spans="1:11" s="1" customFormat="1" x14ac:dyDescent="0.2">
      <c r="A33" s="110" t="s">
        <v>76</v>
      </c>
      <c r="B33" s="74"/>
      <c r="C33" s="35"/>
      <c r="D33" s="35">
        <f>SUM(D31:D32)</f>
        <v>11.0968</v>
      </c>
      <c r="E33" s="73"/>
      <c r="F33" s="35"/>
      <c r="G33" s="35">
        <f>SUM(G31:G32)</f>
        <v>11.478785999999999</v>
      </c>
      <c r="H33" s="35">
        <f t="shared" si="1"/>
        <v>0.38198599999999949</v>
      </c>
      <c r="I33" s="36">
        <f t="shared" si="2"/>
        <v>3.4423076923076876E-2</v>
      </c>
      <c r="J33" s="36">
        <f t="shared" si="10"/>
        <v>5.6188832571624173E-2</v>
      </c>
      <c r="K33" s="111">
        <f t="shared" si="11"/>
        <v>5.5266742962674593E-2</v>
      </c>
    </row>
    <row r="34" spans="1:11" s="1" customFormat="1" x14ac:dyDescent="0.2">
      <c r="A34" s="110" t="s">
        <v>91</v>
      </c>
      <c r="B34" s="74"/>
      <c r="C34" s="35"/>
      <c r="D34" s="35">
        <f>D29+D33</f>
        <v>70.063800000000001</v>
      </c>
      <c r="E34" s="73"/>
      <c r="F34" s="35"/>
      <c r="G34" s="35">
        <f>G29+G33</f>
        <v>72.555786000000012</v>
      </c>
      <c r="H34" s="35">
        <f t="shared" si="1"/>
        <v>2.4919860000000114</v>
      </c>
      <c r="I34" s="36">
        <f t="shared" si="2"/>
        <v>3.5567382871040554E-2</v>
      </c>
      <c r="J34" s="36">
        <f t="shared" si="10"/>
        <v>0.35516167926264974</v>
      </c>
      <c r="K34" s="111">
        <f t="shared" si="11"/>
        <v>0.3493332810034811</v>
      </c>
    </row>
    <row r="35" spans="1:11" s="1" customFormat="1" x14ac:dyDescent="0.2">
      <c r="A35" s="110" t="s">
        <v>92</v>
      </c>
      <c r="B35" s="74"/>
      <c r="C35" s="35"/>
      <c r="D35" s="35">
        <f>D30+D33</f>
        <v>69.419929999999994</v>
      </c>
      <c r="E35" s="73"/>
      <c r="F35" s="35"/>
      <c r="G35" s="35">
        <f>G30+G33</f>
        <v>71.911916000000005</v>
      </c>
      <c r="H35" s="35">
        <f t="shared" si="1"/>
        <v>2.4919860000000114</v>
      </c>
      <c r="I35" s="36">
        <f t="shared" si="2"/>
        <v>3.5897270423637877E-2</v>
      </c>
      <c r="J35" s="36">
        <f t="shared" si="10"/>
        <v>0.35200992579081986</v>
      </c>
      <c r="K35" s="111">
        <f t="shared" si="11"/>
        <v>0.34623324953749002</v>
      </c>
    </row>
    <row r="36" spans="1:11" x14ac:dyDescent="0.2">
      <c r="A36" s="107" t="s">
        <v>42</v>
      </c>
      <c r="B36" s="73">
        <f>B8</f>
        <v>1067</v>
      </c>
      <c r="C36" s="34">
        <v>3.5999999999999999E-3</v>
      </c>
      <c r="D36" s="22">
        <f>B36*C36</f>
        <v>3.8411999999999997</v>
      </c>
      <c r="E36" s="73">
        <f t="shared" si="6"/>
        <v>1067</v>
      </c>
      <c r="F36" s="34">
        <v>3.5999999999999999E-3</v>
      </c>
      <c r="G36" s="22">
        <f>E36*F36</f>
        <v>3.8411999999999997</v>
      </c>
      <c r="H36" s="22">
        <f t="shared" si="1"/>
        <v>0</v>
      </c>
      <c r="I36" s="23">
        <f t="shared" si="2"/>
        <v>0</v>
      </c>
      <c r="J36" s="23">
        <f t="shared" si="10"/>
        <v>1.8802732595077802E-2</v>
      </c>
      <c r="K36" s="108">
        <f t="shared" si="11"/>
        <v>1.8494169424207896E-2</v>
      </c>
    </row>
    <row r="37" spans="1:11" x14ac:dyDescent="0.2">
      <c r="A37" s="107" t="s">
        <v>43</v>
      </c>
      <c r="B37" s="73">
        <f>B8</f>
        <v>1067</v>
      </c>
      <c r="C37" s="34">
        <v>2.0999999999999999E-3</v>
      </c>
      <c r="D37" s="22">
        <f>B37*C37</f>
        <v>2.2406999999999999</v>
      </c>
      <c r="E37" s="73">
        <f t="shared" si="6"/>
        <v>1067</v>
      </c>
      <c r="F37" s="34">
        <v>2.0999999999999999E-3</v>
      </c>
      <c r="G37" s="22">
        <f>E37*F37</f>
        <v>2.2406999999999999</v>
      </c>
      <c r="H37" s="22">
        <f>G37-D37</f>
        <v>0</v>
      </c>
      <c r="I37" s="23">
        <f t="shared" si="2"/>
        <v>0</v>
      </c>
      <c r="J37" s="23">
        <f t="shared" si="10"/>
        <v>1.0968260680462052E-2</v>
      </c>
      <c r="K37" s="108">
        <f t="shared" si="11"/>
        <v>1.0788265497454605E-2</v>
      </c>
    </row>
    <row r="38" spans="1:11" x14ac:dyDescent="0.2">
      <c r="A38" s="107" t="s">
        <v>96</v>
      </c>
      <c r="B38" s="73">
        <f>B8</f>
        <v>1067</v>
      </c>
      <c r="C38" s="34">
        <v>1.1000000000000001E-3</v>
      </c>
      <c r="D38" s="22">
        <f>B38*C38</f>
        <v>1.1737</v>
      </c>
      <c r="E38" s="73">
        <f t="shared" si="6"/>
        <v>1067</v>
      </c>
      <c r="F38" s="34">
        <v>1.1000000000000001E-3</v>
      </c>
      <c r="G38" s="22">
        <f>E38*F38</f>
        <v>1.1737</v>
      </c>
      <c r="H38" s="22">
        <f>G38-D38</f>
        <v>0</v>
      </c>
      <c r="I38" s="23">
        <f t="shared" ref="I38" si="12">IF(ISERROR(H38/D38),0,(H38/D38))</f>
        <v>0</v>
      </c>
      <c r="J38" s="23">
        <f t="shared" ref="J38" si="13">G38/$G$46</f>
        <v>5.7452794040515516E-3</v>
      </c>
      <c r="K38" s="108">
        <f t="shared" ref="K38" si="14">G38/$G$51</f>
        <v>5.6509962129524128E-3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1.2237538135919637E-3</v>
      </c>
      <c r="K39" s="108">
        <f t="shared" si="11"/>
        <v>1.2036713412610575E-3</v>
      </c>
    </row>
    <row r="40" spans="1:11" s="1" customFormat="1" x14ac:dyDescent="0.2">
      <c r="A40" s="110" t="s">
        <v>45</v>
      </c>
      <c r="B40" s="74"/>
      <c r="C40" s="35"/>
      <c r="D40" s="35">
        <f>SUM(D36:D39)</f>
        <v>7.5055999999999994</v>
      </c>
      <c r="E40" s="73"/>
      <c r="F40" s="35"/>
      <c r="G40" s="35">
        <f>SUM(G36:G39)</f>
        <v>7.5055999999999994</v>
      </c>
      <c r="H40" s="35">
        <f t="shared" si="1"/>
        <v>0</v>
      </c>
      <c r="I40" s="36">
        <f t="shared" si="2"/>
        <v>0</v>
      </c>
      <c r="J40" s="36">
        <f t="shared" si="10"/>
        <v>3.6740026493183371E-2</v>
      </c>
      <c r="K40" s="111">
        <f t="shared" si="11"/>
        <v>3.6137102475875968E-2</v>
      </c>
    </row>
    <row r="41" spans="1:11" s="1" customFormat="1" ht="13.5" thickBot="1" x14ac:dyDescent="0.25">
      <c r="A41" s="112" t="s">
        <v>46</v>
      </c>
      <c r="B41" s="113">
        <f>B4</f>
        <v>1000</v>
      </c>
      <c r="C41" s="114">
        <v>7.0000000000000001E-3</v>
      </c>
      <c r="D41" s="115">
        <f>B41*C41</f>
        <v>7</v>
      </c>
      <c r="E41" s="116">
        <f t="shared" si="6"/>
        <v>1000</v>
      </c>
      <c r="F41" s="114">
        <f>C41</f>
        <v>7.0000000000000001E-3</v>
      </c>
      <c r="G41" s="115">
        <f>E41*F41</f>
        <v>7</v>
      </c>
      <c r="H41" s="115">
        <f t="shared" si="1"/>
        <v>0</v>
      </c>
      <c r="I41" s="117">
        <f t="shared" si="2"/>
        <v>0</v>
      </c>
      <c r="J41" s="117">
        <f t="shared" si="10"/>
        <v>3.4265106780574983E-2</v>
      </c>
      <c r="K41" s="118">
        <f t="shared" si="11"/>
        <v>3.370279755530961E-2</v>
      </c>
    </row>
    <row r="42" spans="1:11" s="1" customFormat="1" x14ac:dyDescent="0.2">
      <c r="A42" s="37" t="s">
        <v>105</v>
      </c>
      <c r="B42" s="38"/>
      <c r="C42" s="39"/>
      <c r="D42" s="39">
        <f>SUM(D14,D25,D26,D27,D33,D40,D41)</f>
        <v>192.06939999999997</v>
      </c>
      <c r="E42" s="38"/>
      <c r="F42" s="39"/>
      <c r="G42" s="39">
        <f>SUM(G14,G25,G26,G27,G33,G40,G41)</f>
        <v>194.561386</v>
      </c>
      <c r="H42" s="39">
        <f t="shared" si="1"/>
        <v>2.4919860000000256</v>
      </c>
      <c r="I42" s="40">
        <f>IF(ISERROR(H42/D42),0,(H42/D42))</f>
        <v>1.2974404043538564E-2</v>
      </c>
      <c r="J42" s="40">
        <f t="shared" si="10"/>
        <v>0.95238095238095244</v>
      </c>
      <c r="K42" s="41"/>
    </row>
    <row r="43" spans="1:11" x14ac:dyDescent="0.2">
      <c r="A43" s="154" t="s">
        <v>106</v>
      </c>
      <c r="B43" s="43"/>
      <c r="C43" s="26">
        <v>0.13</v>
      </c>
      <c r="D43" s="26">
        <f>D42*C43</f>
        <v>24.969021999999999</v>
      </c>
      <c r="E43" s="26"/>
      <c r="F43" s="26">
        <f>C43</f>
        <v>0.13</v>
      </c>
      <c r="G43" s="26">
        <f>G42*F43</f>
        <v>25.292980180000001</v>
      </c>
      <c r="H43" s="26">
        <f t="shared" si="1"/>
        <v>0.32395818000000176</v>
      </c>
      <c r="I43" s="44">
        <f t="shared" si="2"/>
        <v>1.2974404043538501E-2</v>
      </c>
      <c r="J43" s="44">
        <f t="shared" si="10"/>
        <v>0.12380952380952383</v>
      </c>
      <c r="K43" s="45"/>
    </row>
    <row r="44" spans="1:11" s="1" customFormat="1" x14ac:dyDescent="0.2">
      <c r="A44" s="46" t="s">
        <v>107</v>
      </c>
      <c r="B44" s="24"/>
      <c r="C44" s="25"/>
      <c r="D44" s="25">
        <f>SUM(D42:D43)</f>
        <v>217.03842199999997</v>
      </c>
      <c r="E44" s="25"/>
      <c r="F44" s="25"/>
      <c r="G44" s="25">
        <f>SUM(G42:G43)</f>
        <v>219.85436618</v>
      </c>
      <c r="H44" s="25">
        <f t="shared" si="1"/>
        <v>2.8159441800000309</v>
      </c>
      <c r="I44" s="27">
        <f t="shared" si="2"/>
        <v>1.2974404043538574E-2</v>
      </c>
      <c r="J44" s="27">
        <f t="shared" si="10"/>
        <v>1.0761904761904764</v>
      </c>
      <c r="K44" s="47"/>
    </row>
    <row r="45" spans="1:11" x14ac:dyDescent="0.2">
      <c r="A45" s="42" t="s">
        <v>108</v>
      </c>
      <c r="B45" s="43"/>
      <c r="C45" s="26">
        <v>-0.08</v>
      </c>
      <c r="D45" s="26">
        <f>D42*C45</f>
        <v>-15.365551999999997</v>
      </c>
      <c r="E45" s="26"/>
      <c r="F45" s="26">
        <f>C45</f>
        <v>-0.08</v>
      </c>
      <c r="G45" s="26">
        <f>G42*F45</f>
        <v>-15.564910880000001</v>
      </c>
      <c r="H45" s="26">
        <f t="shared" si="1"/>
        <v>-0.19935888000000368</v>
      </c>
      <c r="I45" s="44">
        <f t="shared" si="2"/>
        <v>1.2974404043538671E-2</v>
      </c>
      <c r="J45" s="44">
        <f t="shared" si="10"/>
        <v>-7.6190476190476197E-2</v>
      </c>
      <c r="K45" s="45"/>
    </row>
    <row r="46" spans="1:11" s="1" customFormat="1" ht="13.5" thickBot="1" x14ac:dyDescent="0.25">
      <c r="A46" s="48" t="s">
        <v>109</v>
      </c>
      <c r="B46" s="49"/>
      <c r="C46" s="50"/>
      <c r="D46" s="50">
        <f>SUM(D44:D45)</f>
        <v>201.67286999999996</v>
      </c>
      <c r="E46" s="50"/>
      <c r="F46" s="50"/>
      <c r="G46" s="50">
        <f>SUM(G44:G45)</f>
        <v>204.28945529999999</v>
      </c>
      <c r="H46" s="50">
        <f t="shared" si="1"/>
        <v>2.6165853000000254</v>
      </c>
      <c r="I46" s="51">
        <f t="shared" si="2"/>
        <v>1.2974404043538558E-2</v>
      </c>
      <c r="J46" s="51">
        <f t="shared" si="10"/>
        <v>1</v>
      </c>
      <c r="K46" s="52"/>
    </row>
    <row r="47" spans="1:11" x14ac:dyDescent="0.2">
      <c r="A47" s="53" t="s">
        <v>110</v>
      </c>
      <c r="B47" s="54"/>
      <c r="C47" s="55"/>
      <c r="D47" s="55">
        <f>SUM(D18,D25,D26,D28,D33,D40,D41)</f>
        <v>195.31552999999997</v>
      </c>
      <c r="E47" s="55"/>
      <c r="F47" s="55"/>
      <c r="G47" s="55">
        <f>SUM(G18,G25,G26,G28,G33,G40,G41)</f>
        <v>197.80751599999999</v>
      </c>
      <c r="H47" s="55">
        <f>G47-D47</f>
        <v>2.4919860000000256</v>
      </c>
      <c r="I47" s="56">
        <f>IF(ISERROR(H47/D47),0,(H47/D47))</f>
        <v>1.275877038553988E-2</v>
      </c>
      <c r="J47" s="56"/>
      <c r="K47" s="57">
        <f>G47/$G$51</f>
        <v>0.95238095238095233</v>
      </c>
    </row>
    <row r="48" spans="1:11" x14ac:dyDescent="0.2">
      <c r="A48" s="155" t="s">
        <v>106</v>
      </c>
      <c r="B48" s="59"/>
      <c r="C48" s="31">
        <v>0.13</v>
      </c>
      <c r="D48" s="31">
        <f>D47*C48</f>
        <v>25.391018899999995</v>
      </c>
      <c r="E48" s="31"/>
      <c r="F48" s="31">
        <f>C48</f>
        <v>0.13</v>
      </c>
      <c r="G48" s="31">
        <f>G47*F48</f>
        <v>25.714977080000001</v>
      </c>
      <c r="H48" s="31">
        <f>G48-D48</f>
        <v>0.32395818000000531</v>
      </c>
      <c r="I48" s="32">
        <f>IF(ISERROR(H48/D48),0,(H48/D48))</f>
        <v>1.2758770385539958E-2</v>
      </c>
      <c r="J48" s="32"/>
      <c r="K48" s="60">
        <f>G48/$G$51</f>
        <v>0.12380952380952381</v>
      </c>
    </row>
    <row r="49" spans="1:11" x14ac:dyDescent="0.2">
      <c r="A49" s="150" t="s">
        <v>111</v>
      </c>
      <c r="B49" s="29"/>
      <c r="C49" s="30"/>
      <c r="D49" s="30">
        <f>SUM(D47:D48)</f>
        <v>220.70654889999997</v>
      </c>
      <c r="E49" s="30"/>
      <c r="F49" s="30"/>
      <c r="G49" s="30">
        <f>SUM(G47:G48)</f>
        <v>223.52249308</v>
      </c>
      <c r="H49" s="30">
        <f>G49-D49</f>
        <v>2.8159441800000309</v>
      </c>
      <c r="I49" s="33">
        <f>IF(ISERROR(H49/D49),0,(H49/D49))</f>
        <v>1.2758770385539889E-2</v>
      </c>
      <c r="J49" s="33"/>
      <c r="K49" s="62">
        <f>G49/$G$51</f>
        <v>1.0761904761904761</v>
      </c>
    </row>
    <row r="50" spans="1:11" x14ac:dyDescent="0.2">
      <c r="A50" s="58" t="s">
        <v>108</v>
      </c>
      <c r="B50" s="59"/>
      <c r="C50" s="31">
        <v>-0.08</v>
      </c>
      <c r="D50" s="31">
        <f>D47*C50</f>
        <v>-15.625242399999998</v>
      </c>
      <c r="E50" s="31"/>
      <c r="F50" s="31">
        <f>C50</f>
        <v>-0.08</v>
      </c>
      <c r="G50" s="31">
        <f>G47*F50</f>
        <v>-15.82460128</v>
      </c>
      <c r="H50" s="31">
        <f>G50-D50</f>
        <v>-0.1993588800000019</v>
      </c>
      <c r="I50" s="32">
        <f>IF(ISERROR(H50/D50),0,(H50/D50))</f>
        <v>1.275877038553987E-2</v>
      </c>
      <c r="J50" s="32"/>
      <c r="K50" s="60">
        <f>G50/$G$51</f>
        <v>-7.6190476190476183E-2</v>
      </c>
    </row>
    <row r="51" spans="1:11" ht="13.5" thickBot="1" x14ac:dyDescent="0.25">
      <c r="A51" s="63" t="s">
        <v>121</v>
      </c>
      <c r="B51" s="64"/>
      <c r="C51" s="65"/>
      <c r="D51" s="65">
        <f>SUM(D49:D50)</f>
        <v>205.08130649999998</v>
      </c>
      <c r="E51" s="65"/>
      <c r="F51" s="65"/>
      <c r="G51" s="65">
        <f>SUM(G49:G50)</f>
        <v>207.69789180000001</v>
      </c>
      <c r="H51" s="65">
        <f>G51-D51</f>
        <v>2.6165853000000254</v>
      </c>
      <c r="I51" s="66">
        <f>IF(ISERROR(H51/D51),0,(H51/D51))</f>
        <v>1.2758770385539872E-2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46"/>
  <sheetViews>
    <sheetView tabSelected="1" zoomScale="90" zoomScaleNormal="90" zoomScaleSheetLayoutView="100" workbookViewId="0">
      <selection activeCell="N25" sqref="N25"/>
    </sheetView>
  </sheetViews>
  <sheetFormatPr defaultRowHeight="12.75" x14ac:dyDescent="0.2"/>
  <cols>
    <col min="1" max="1" width="10.5703125" customWidth="1"/>
    <col min="2" max="2" width="13.42578125" customWidth="1"/>
    <col min="3" max="5" width="13.7109375" customWidth="1"/>
    <col min="6" max="6" width="12.140625" customWidth="1"/>
    <col min="7" max="7" width="13" customWidth="1"/>
    <col min="8" max="8" width="11.85546875" bestFit="1" customWidth="1"/>
    <col min="9" max="9" width="12.28515625" bestFit="1" customWidth="1"/>
    <col min="10" max="10" width="19.42578125" customWidth="1"/>
  </cols>
  <sheetData>
    <row r="1" spans="1:10" ht="39" thickBot="1" x14ac:dyDescent="0.25">
      <c r="A1" s="95" t="s">
        <v>13</v>
      </c>
      <c r="B1" s="89" t="s">
        <v>67</v>
      </c>
      <c r="C1" s="96" t="s">
        <v>62</v>
      </c>
      <c r="D1" s="97" t="s">
        <v>68</v>
      </c>
      <c r="E1" s="99" t="s">
        <v>99</v>
      </c>
      <c r="F1" s="87" t="s">
        <v>63</v>
      </c>
      <c r="G1" s="88" t="s">
        <v>65</v>
      </c>
      <c r="H1" s="86" t="s">
        <v>64</v>
      </c>
      <c r="I1" s="143" t="s">
        <v>66</v>
      </c>
      <c r="J1" s="99" t="s">
        <v>69</v>
      </c>
    </row>
    <row r="2" spans="1:10" x14ac:dyDescent="0.2">
      <c r="A2" s="183" t="s">
        <v>0</v>
      </c>
      <c r="B2" s="90" t="s">
        <v>60</v>
      </c>
      <c r="C2" s="98">
        <f>BI_UR_Low!B4</f>
        <v>350</v>
      </c>
      <c r="D2" s="83"/>
      <c r="E2" s="147">
        <f>BI_UR_Low!D51</f>
        <v>81.550161524999993</v>
      </c>
      <c r="F2" s="133">
        <f>BI_UR_Low!H$25</f>
        <v>1.9200000000000053</v>
      </c>
      <c r="G2" s="134">
        <f>BI_UR_Low!I$25</f>
        <v>6.6933937598047943E-2</v>
      </c>
      <c r="H2" s="135">
        <f>BI_UR_Low!H$51</f>
        <v>3.1292905349999955</v>
      </c>
      <c r="I2" s="144">
        <f>BI_UR_Low!I$51</f>
        <v>3.8372585369321199E-2</v>
      </c>
      <c r="J2" s="184" t="s">
        <v>50</v>
      </c>
    </row>
    <row r="3" spans="1:10" x14ac:dyDescent="0.2">
      <c r="A3" s="178"/>
      <c r="B3" s="91" t="s">
        <v>90</v>
      </c>
      <c r="C3" s="93">
        <f>BI_UR_Typical!B4</f>
        <v>750</v>
      </c>
      <c r="D3" s="84"/>
      <c r="E3" s="148">
        <f>BI_UR_Typical!D51</f>
        <v>142.90234612499998</v>
      </c>
      <c r="F3" s="136">
        <f>BI_UR_Typical!H$25</f>
        <v>1.5200000000000102</v>
      </c>
      <c r="G3" s="137">
        <f>BI_UR_Typical!I$25</f>
        <v>4.7022428460943864E-2</v>
      </c>
      <c r="H3" s="138">
        <f>BI_UR_Typical!H$51</f>
        <v>3.9816225750000172</v>
      </c>
      <c r="I3" s="145">
        <f>BI_UR_Typical!I$51</f>
        <v>2.7862541679457103E-2</v>
      </c>
      <c r="J3" s="185"/>
    </row>
    <row r="4" spans="1:10" x14ac:dyDescent="0.2">
      <c r="A4" s="178"/>
      <c r="B4" s="159" t="s">
        <v>117</v>
      </c>
      <c r="C4" s="160">
        <f>BI_UR_Avg!$B$4</f>
        <v>755</v>
      </c>
      <c r="D4" s="161"/>
      <c r="E4" s="162">
        <f>BI_UR_Avg!$D$51</f>
        <v>143.66924843250001</v>
      </c>
      <c r="F4" s="163">
        <f>BI_UR_Avg!$H$25</f>
        <v>1.5150000000000077</v>
      </c>
      <c r="G4" s="164">
        <f>BI_UR_Avg!$I$25</f>
        <v>4.6801872074883233E-2</v>
      </c>
      <c r="H4" s="165">
        <f>BI_UR_Avg!$H$51</f>
        <v>3.9922767255000053</v>
      </c>
      <c r="I4" s="166">
        <f>BI_UR_Avg!$I$51</f>
        <v>2.7787969722523419E-2</v>
      </c>
      <c r="J4" s="185"/>
    </row>
    <row r="5" spans="1:10" ht="13.5" thickBot="1" x14ac:dyDescent="0.25">
      <c r="A5" s="179"/>
      <c r="B5" s="92" t="s">
        <v>61</v>
      </c>
      <c r="C5" s="94">
        <f>BI_UR_High!B4</f>
        <v>1400</v>
      </c>
      <c r="D5" s="85"/>
      <c r="E5" s="149">
        <f>BI_UR_High!D51</f>
        <v>242.59964609999997</v>
      </c>
      <c r="F5" s="139">
        <f>BI_UR_High!H$25</f>
        <v>0.87000000000001165</v>
      </c>
      <c r="G5" s="140">
        <f>BI_UR_High!I$25</f>
        <v>2.2751046025104912E-2</v>
      </c>
      <c r="H5" s="141">
        <f>BI_UR_High!H$51</f>
        <v>5.3666621400000167</v>
      </c>
      <c r="I5" s="146">
        <f>BI_UR_High!I$51</f>
        <v>2.2121475551484811E-2</v>
      </c>
      <c r="J5" s="186"/>
    </row>
    <row r="6" spans="1:10" x14ac:dyDescent="0.2">
      <c r="A6" s="187" t="s">
        <v>1</v>
      </c>
      <c r="B6" s="90" t="s">
        <v>60</v>
      </c>
      <c r="C6" s="98">
        <f>BI_R1_Low!B4</f>
        <v>400</v>
      </c>
      <c r="D6" s="83"/>
      <c r="E6" s="147">
        <f>BI_R1_Low!D51</f>
        <v>105.41623680000002</v>
      </c>
      <c r="F6" s="133">
        <f>BI_R1_Low!H$25</f>
        <v>2.9999999999999858</v>
      </c>
      <c r="G6" s="134">
        <f>BI_R1_Low!I$25</f>
        <v>6.8634179821550789E-2</v>
      </c>
      <c r="H6" s="135">
        <f>BI_R1_Low!H$51</f>
        <v>4.1166568799999652</v>
      </c>
      <c r="I6" s="144">
        <f>BI_R1_Low!I$51</f>
        <v>3.9051449804741699E-2</v>
      </c>
      <c r="J6" s="184" t="s">
        <v>50</v>
      </c>
    </row>
    <row r="7" spans="1:10" x14ac:dyDescent="0.2">
      <c r="A7" s="188"/>
      <c r="B7" s="91" t="s">
        <v>90</v>
      </c>
      <c r="C7" s="93">
        <f>BI_R1_Typical!B4</f>
        <v>750</v>
      </c>
      <c r="D7" s="84"/>
      <c r="E7" s="148">
        <f>BI_R1_Typical!D51</f>
        <v>164.92038149999996</v>
      </c>
      <c r="F7" s="136">
        <f>BI_R1_Typical!H$25</f>
        <v>2.789999999999992</v>
      </c>
      <c r="G7" s="142">
        <f>BI_R1_Typical!I$25</f>
        <v>5.3975623911781616E-2</v>
      </c>
      <c r="H7" s="138">
        <f>BI_R1_Typical!H$51</f>
        <v>4.7419816500000138</v>
      </c>
      <c r="I7" s="145">
        <f>BI_R1_Typical!I$51</f>
        <v>2.8753157171177261E-2</v>
      </c>
      <c r="J7" s="185"/>
    </row>
    <row r="8" spans="1:10" x14ac:dyDescent="0.2">
      <c r="A8" s="189"/>
      <c r="B8" s="159" t="s">
        <v>117</v>
      </c>
      <c r="C8" s="160">
        <f>BI_R1_Avg!$B$4</f>
        <v>920</v>
      </c>
      <c r="D8" s="161"/>
      <c r="E8" s="162">
        <f>BI_R1_Avg!$D$51</f>
        <v>193.82239464000003</v>
      </c>
      <c r="F8" s="163">
        <f>BI_R1_Avg!$H$25</f>
        <v>2.6879999999999882</v>
      </c>
      <c r="G8" s="164">
        <f>BI_R1_Avg!$I$25</f>
        <v>4.8374905517762447E-2</v>
      </c>
      <c r="H8" s="165">
        <f>BI_R1_Avg!$H$51</f>
        <v>5.0457108239999968</v>
      </c>
      <c r="I8" s="166">
        <f>BI_R1_Avg!$I$51</f>
        <v>2.603265135265587E-2</v>
      </c>
      <c r="J8" s="185"/>
    </row>
    <row r="9" spans="1:10" ht="13.5" thickBot="1" x14ac:dyDescent="0.25">
      <c r="A9" s="190"/>
      <c r="B9" s="92" t="s">
        <v>61</v>
      </c>
      <c r="C9" s="94">
        <f>BI_R1_High!B4</f>
        <v>1800</v>
      </c>
      <c r="D9" s="85"/>
      <c r="E9" s="149">
        <f>BI_R1_High!D51</f>
        <v>343.43281560000003</v>
      </c>
      <c r="F9" s="139">
        <f>BI_R1_High!H$25</f>
        <v>2.1599999999999824</v>
      </c>
      <c r="G9" s="140">
        <f>BI_R1_High!I$25</f>
        <v>2.8560095200317097E-2</v>
      </c>
      <c r="H9" s="141">
        <f>BI_R1_High!H$51</f>
        <v>6.6179559599999607</v>
      </c>
      <c r="I9" s="146">
        <f>BI_R1_High!I$51</f>
        <v>1.9270016315819882E-2</v>
      </c>
      <c r="J9" s="186"/>
    </row>
    <row r="10" spans="1:10" x14ac:dyDescent="0.2">
      <c r="A10" s="187" t="s">
        <v>2</v>
      </c>
      <c r="B10" s="90" t="s">
        <v>60</v>
      </c>
      <c r="C10" s="98">
        <f>BI_R2_Low!B4</f>
        <v>450</v>
      </c>
      <c r="D10" s="83"/>
      <c r="E10" s="147">
        <f>BI_R2_Low!D51</f>
        <v>108.25586887499999</v>
      </c>
      <c r="F10" s="133">
        <f>BI_R2_Low!H$25</f>
        <v>3.4946783079039392</v>
      </c>
      <c r="G10" s="134">
        <f>BI_R2_Low!I$25</f>
        <v>9.1916841344133082E-2</v>
      </c>
      <c r="H10" s="135">
        <f>BI_R2_Low!H$51</f>
        <v>4.5935513482991439</v>
      </c>
      <c r="I10" s="144">
        <f>BI_R2_Low!I$51</f>
        <v>4.2432353977992533E-2</v>
      </c>
      <c r="J10" s="184" t="s">
        <v>50</v>
      </c>
    </row>
    <row r="11" spans="1:10" x14ac:dyDescent="0.2">
      <c r="A11" s="188"/>
      <c r="B11" s="91" t="s">
        <v>90</v>
      </c>
      <c r="C11" s="93">
        <f>BI_R2_Typical!B4</f>
        <v>750</v>
      </c>
      <c r="D11" s="84"/>
      <c r="E11" s="148">
        <f>BI_R2_Typical!D51</f>
        <v>164.86544812499997</v>
      </c>
      <c r="F11" s="136">
        <f>BI_R2_Typical!H$25</f>
        <v>3.2246783079039361</v>
      </c>
      <c r="G11" s="142">
        <f>BI_R2_Typical!I$25</f>
        <v>6.5488998941997084E-2</v>
      </c>
      <c r="H11" s="138">
        <f>BI_R2_Typical!H$51</f>
        <v>4.9261440982991473</v>
      </c>
      <c r="I11" s="145">
        <f>BI_R2_Typical!I$51</f>
        <v>2.9879784723383488E-2</v>
      </c>
      <c r="J11" s="185"/>
    </row>
    <row r="12" spans="1:10" x14ac:dyDescent="0.2">
      <c r="A12" s="189"/>
      <c r="B12" s="159" t="s">
        <v>117</v>
      </c>
      <c r="C12" s="160">
        <f>BI_R2_Avg!$B$4</f>
        <v>1152</v>
      </c>
      <c r="D12" s="161"/>
      <c r="E12" s="162">
        <f>BI_R2_Avg!$D$51</f>
        <v>240.72228432</v>
      </c>
      <c r="F12" s="163">
        <f>BI_R2_Avg!$H$25</f>
        <v>2.8628783079039408</v>
      </c>
      <c r="G12" s="164">
        <f>BI_R2_Avg!$I$25</f>
        <v>4.454122467753989E-2</v>
      </c>
      <c r="H12" s="165">
        <f>BI_R2_Avg!$H$51</f>
        <v>5.3718183832991429</v>
      </c>
      <c r="I12" s="166">
        <f>BI_R2_Avg!$I$51</f>
        <v>2.231541794509647E-2</v>
      </c>
      <c r="J12" s="185"/>
    </row>
    <row r="13" spans="1:10" ht="13.5" thickBot="1" x14ac:dyDescent="0.25">
      <c r="A13" s="190"/>
      <c r="B13" s="92" t="s">
        <v>61</v>
      </c>
      <c r="C13" s="94">
        <f>BI_R2_High!B4</f>
        <v>2300</v>
      </c>
      <c r="D13" s="85"/>
      <c r="E13" s="149">
        <f>BI_R2_High!D51</f>
        <v>457.34827425000009</v>
      </c>
      <c r="F13" s="139">
        <f>BI_R2_High!H$25</f>
        <v>1.8296783079039187</v>
      </c>
      <c r="G13" s="140">
        <f>BI_R2_High!I$25</f>
        <v>1.7066302657437912E-2</v>
      </c>
      <c r="H13" s="141">
        <f>BI_R2_High!H$51</f>
        <v>6.6445399732991177</v>
      </c>
      <c r="I13" s="146">
        <f>BI_R2_High!I$51</f>
        <v>1.4528402854903998E-2</v>
      </c>
      <c r="J13" s="186"/>
    </row>
    <row r="14" spans="1:10" x14ac:dyDescent="0.2">
      <c r="A14" s="187" t="s">
        <v>3</v>
      </c>
      <c r="B14" s="90" t="s">
        <v>60</v>
      </c>
      <c r="C14" s="98">
        <f>BI_Seas_Low!B4</f>
        <v>50</v>
      </c>
      <c r="D14" s="83"/>
      <c r="E14" s="147">
        <f>BI_Seas_Low!D51</f>
        <v>50.806820399999999</v>
      </c>
      <c r="F14" s="133">
        <f>BI_Seas_Low!H$25</f>
        <v>3.3099999999999952</v>
      </c>
      <c r="G14" s="134">
        <f>BI_Seas_Low!I$25</f>
        <v>8.2113619449268052E-2</v>
      </c>
      <c r="H14" s="135">
        <f>BI_Seas_Low!H$51</f>
        <v>3.5437189199999963</v>
      </c>
      <c r="I14" s="144">
        <f>BI_Seas_Low!I$51</f>
        <v>6.974888198278191E-2</v>
      </c>
      <c r="J14" s="184" t="s">
        <v>50</v>
      </c>
    </row>
    <row r="15" spans="1:10" x14ac:dyDescent="0.2">
      <c r="A15" s="188"/>
      <c r="B15" s="91" t="s">
        <v>90</v>
      </c>
      <c r="C15" s="93">
        <f>BI_Seas_Typical!B4</f>
        <v>350</v>
      </c>
      <c r="D15" s="84"/>
      <c r="E15" s="148">
        <f>BI_Seas_Typical!D51</f>
        <v>115.2397428</v>
      </c>
      <c r="F15" s="136">
        <f>BI_Seas_Typical!H$25</f>
        <v>2.4699999999999989</v>
      </c>
      <c r="G15" s="142">
        <f>BI_Seas_Typical!I$25</f>
        <v>4.1547518923465074E-2</v>
      </c>
      <c r="H15" s="138">
        <f>BI_Seas_Typical!H$51</f>
        <v>3.0710324400000104</v>
      </c>
      <c r="I15" s="145">
        <f>BI_Seas_Typical!I$51</f>
        <v>2.6649074055378839E-2</v>
      </c>
      <c r="J15" s="185"/>
    </row>
    <row r="16" spans="1:10" x14ac:dyDescent="0.2">
      <c r="A16" s="189"/>
      <c r="B16" s="159" t="s">
        <v>117</v>
      </c>
      <c r="C16" s="160">
        <f>BI_Seas_Avg!$B$4</f>
        <v>352</v>
      </c>
      <c r="D16" s="161"/>
      <c r="E16" s="162">
        <f>BI_Seas_Avg!$D$51</f>
        <v>115.66929561600003</v>
      </c>
      <c r="F16" s="163">
        <f>BI_Seas_Avg!$H$25</f>
        <v>2.4643999999999835</v>
      </c>
      <c r="G16" s="164">
        <f>BI_Seas_Avg!$I$25</f>
        <v>4.1364539692770153E-2</v>
      </c>
      <c r="H16" s="165">
        <f>BI_Seas_Avg!$H$51</f>
        <v>3.0678811967999877</v>
      </c>
      <c r="I16" s="166">
        <f>BI_Seas_Avg!$I$51</f>
        <v>2.6522865730805239E-2</v>
      </c>
      <c r="J16" s="185"/>
    </row>
    <row r="17" spans="1:10" ht="13.5" thickBot="1" x14ac:dyDescent="0.25">
      <c r="A17" s="190"/>
      <c r="B17" s="92" t="s">
        <v>61</v>
      </c>
      <c r="C17" s="94">
        <f>BI_Seas_High!B4</f>
        <v>1000</v>
      </c>
      <c r="D17" s="85"/>
      <c r="E17" s="149">
        <f>BI_Seas_High!D51</f>
        <v>254.84440799999999</v>
      </c>
      <c r="F17" s="139">
        <f>BI_Seas_High!H$25</f>
        <v>0.65000000000000568</v>
      </c>
      <c r="G17" s="140">
        <f>BI_Seas_High!I$25</f>
        <v>6.4407451446691008E-3</v>
      </c>
      <c r="H17" s="141">
        <f>BI_Seas_High!H$51</f>
        <v>2.0468784000000255</v>
      </c>
      <c r="I17" s="146">
        <f>BI_Seas_High!I$51</f>
        <v>8.0318748842235759E-3</v>
      </c>
      <c r="J17" s="186"/>
    </row>
    <row r="18" spans="1:10" x14ac:dyDescent="0.2">
      <c r="A18" s="183" t="s">
        <v>4</v>
      </c>
      <c r="B18" s="90" t="s">
        <v>60</v>
      </c>
      <c r="C18" s="98">
        <f>BI_GSe_Low!B4</f>
        <v>1000</v>
      </c>
      <c r="D18" s="83"/>
      <c r="E18" s="147">
        <f>BI_GSe_Low!D51</f>
        <v>244.65781199999998</v>
      </c>
      <c r="F18" s="133">
        <f>BI_GSe_Low!H$25</f>
        <v>4.1800000000000068</v>
      </c>
      <c r="G18" s="134">
        <f>BI_GSe_Low!I$25</f>
        <v>4.9292452830188759E-2</v>
      </c>
      <c r="H18" s="135">
        <f>BI_GSe_Low!H$51</f>
        <v>4.9264236000000494</v>
      </c>
      <c r="I18" s="144">
        <f>BI_GSe_Low!I$51</f>
        <v>2.0135975057277346E-2</v>
      </c>
      <c r="J18" s="184" t="s">
        <v>50</v>
      </c>
    </row>
    <row r="19" spans="1:10" x14ac:dyDescent="0.2">
      <c r="A19" s="178"/>
      <c r="B19" s="91" t="s">
        <v>90</v>
      </c>
      <c r="C19" s="93">
        <f>BI_GSe_Typical!B4</f>
        <v>2000</v>
      </c>
      <c r="D19" s="84"/>
      <c r="E19" s="148">
        <f>BI_GSe_Typical!D51</f>
        <v>458.193624</v>
      </c>
      <c r="F19" s="136">
        <f>BI_GSe_Typical!H$25</f>
        <v>7.2800000000000011</v>
      </c>
      <c r="G19" s="142">
        <f>BI_GSe_Typical!I$25</f>
        <v>5.1631205673758875E-2</v>
      </c>
      <c r="H19" s="138">
        <f>BI_GSe_Typical!H$51</f>
        <v>8.7188471999999706</v>
      </c>
      <c r="I19" s="145">
        <f>BI_GSe_Typical!I$51</f>
        <v>1.9028739692807186E-2</v>
      </c>
      <c r="J19" s="185"/>
    </row>
    <row r="20" spans="1:10" x14ac:dyDescent="0.2">
      <c r="A20" s="178"/>
      <c r="B20" s="159" t="s">
        <v>117</v>
      </c>
      <c r="C20" s="160">
        <f>BI_GSe_Avg!$B$4</f>
        <v>1982</v>
      </c>
      <c r="D20" s="161"/>
      <c r="E20" s="162">
        <f>BI_GSe_Avg!$D$51</f>
        <v>454.34997938400011</v>
      </c>
      <c r="F20" s="163">
        <f>BI_GSe_Avg!$H$25</f>
        <v>7.2241999999999962</v>
      </c>
      <c r="G20" s="164">
        <f>BI_GSe_Avg!$I$25</f>
        <v>5.1605704472656271E-2</v>
      </c>
      <c r="H20" s="165">
        <f>BI_GSe_Avg!$H$51</f>
        <v>8.6505835751999598</v>
      </c>
      <c r="I20" s="166">
        <f>BI_GSe_Avg!$I$51</f>
        <v>1.9039471701810733E-2</v>
      </c>
      <c r="J20" s="185"/>
    </row>
    <row r="21" spans="1:10" ht="13.5" thickBot="1" x14ac:dyDescent="0.25">
      <c r="A21" s="179"/>
      <c r="B21" s="92" t="s">
        <v>61</v>
      </c>
      <c r="C21" s="94">
        <f>BI_GSe_High!B4</f>
        <v>15000</v>
      </c>
      <c r="D21" s="85"/>
      <c r="E21" s="149">
        <f>BI_GSe_High!D51</f>
        <v>3234.1591799999997</v>
      </c>
      <c r="F21" s="139">
        <f>BI_GSe_High!H$25</f>
        <v>47.579999999999927</v>
      </c>
      <c r="G21" s="140">
        <f>BI_GSe_High!I$25</f>
        <v>5.458926112895815E-2</v>
      </c>
      <c r="H21" s="141">
        <f>BI_GSe_High!H$51</f>
        <v>58.020354000000225</v>
      </c>
      <c r="I21" s="146">
        <f>BI_GSe_High!I$51</f>
        <v>1.7939857245987574E-2</v>
      </c>
      <c r="J21" s="186"/>
    </row>
    <row r="22" spans="1:10" x14ac:dyDescent="0.2">
      <c r="A22" s="183" t="s">
        <v>6</v>
      </c>
      <c r="B22" s="90" t="s">
        <v>60</v>
      </c>
      <c r="C22" s="98">
        <f>BI_UGe_Low!B4</f>
        <v>1000</v>
      </c>
      <c r="D22" s="83"/>
      <c r="E22" s="147">
        <f>BI_UGe_Low!D51</f>
        <v>205.08130649999998</v>
      </c>
      <c r="F22" s="133">
        <f>BI_UGe_Low!H$25</f>
        <v>2.1100000000000065</v>
      </c>
      <c r="G22" s="134">
        <f>BI_UGe_Low!I$25</f>
        <v>4.2141002596365218E-2</v>
      </c>
      <c r="H22" s="135">
        <f>BI_UGe_Low!H$51</f>
        <v>2.6165853000000254</v>
      </c>
      <c r="I22" s="144">
        <f>BI_UGe_Low!I$51</f>
        <v>1.2758770385539872E-2</v>
      </c>
      <c r="J22" s="184" t="s">
        <v>50</v>
      </c>
    </row>
    <row r="23" spans="1:10" x14ac:dyDescent="0.2">
      <c r="A23" s="178"/>
      <c r="B23" s="91" t="s">
        <v>90</v>
      </c>
      <c r="C23" s="93">
        <f>BI_UGe_Typical!B4</f>
        <v>2000</v>
      </c>
      <c r="D23" s="84"/>
      <c r="E23" s="148">
        <f>BI_UGe_Typical!D51</f>
        <v>383.90211299999999</v>
      </c>
      <c r="F23" s="136">
        <f>BI_UGe_Typical!H$25</f>
        <v>4.210000000000008</v>
      </c>
      <c r="G23" s="142">
        <f>BI_UGe_Typical!I$25</f>
        <v>5.527110410922946E-2</v>
      </c>
      <c r="H23" s="138">
        <f>BI_UGe_Typical!H$51</f>
        <v>5.2226706000000149</v>
      </c>
      <c r="I23" s="145">
        <f>BI_UGe_Typical!I$51</f>
        <v>1.360417258239997E-2</v>
      </c>
      <c r="J23" s="185"/>
    </row>
    <row r="24" spans="1:10" x14ac:dyDescent="0.2">
      <c r="A24" s="178"/>
      <c r="B24" s="159" t="s">
        <v>117</v>
      </c>
      <c r="C24" s="160">
        <f>BI_UGe_Avg!$B$4</f>
        <v>2759</v>
      </c>
      <c r="D24" s="161"/>
      <c r="E24" s="162">
        <f>BI_UGe_Avg!$D$51</f>
        <v>519.62710513349998</v>
      </c>
      <c r="F24" s="163">
        <f>BI_UGe_Avg!$H$25</f>
        <v>5.8038999999999845</v>
      </c>
      <c r="G24" s="164">
        <f>BI_UGe_Avg!$I$25</f>
        <v>6.0469952562984368E-2</v>
      </c>
      <c r="H24" s="165">
        <f>BI_UGe_Avg!$H$51</f>
        <v>7.2006893427000023</v>
      </c>
      <c r="I24" s="166">
        <f>BI_UGe_Avg!$I$51</f>
        <v>1.3857416735122079E-2</v>
      </c>
      <c r="J24" s="185"/>
    </row>
    <row r="25" spans="1:10" ht="13.5" thickBot="1" x14ac:dyDescent="0.25">
      <c r="A25" s="179"/>
      <c r="B25" s="92" t="s">
        <v>61</v>
      </c>
      <c r="C25" s="94">
        <f>BI_UGe_High!B4</f>
        <v>15000</v>
      </c>
      <c r="D25" s="85"/>
      <c r="E25" s="149">
        <f>BI_UGe_High!D51</f>
        <v>2708.5725974999991</v>
      </c>
      <c r="F25" s="139">
        <f>BI_UGe_High!H$25</f>
        <v>31.509999999999991</v>
      </c>
      <c r="G25" s="140">
        <f>BI_UGe_High!I$25</f>
        <v>7.5841817700435618E-2</v>
      </c>
      <c r="H25" s="141">
        <f>BI_UGe_High!H$51</f>
        <v>39.101779500000703</v>
      </c>
      <c r="I25" s="146">
        <f>BI_UGe_High!I$51</f>
        <v>1.4436304766610826E-2</v>
      </c>
      <c r="J25" s="186"/>
    </row>
    <row r="26" spans="1:10" x14ac:dyDescent="0.2">
      <c r="A26" s="183" t="s">
        <v>5</v>
      </c>
      <c r="B26" s="90" t="s">
        <v>60</v>
      </c>
      <c r="C26" s="98">
        <f>BI_GSd_Low!B4</f>
        <v>15000</v>
      </c>
      <c r="D26" s="83">
        <f>BI_GSd_Low!B5</f>
        <v>60</v>
      </c>
      <c r="E26" s="147">
        <f>BI_GSd_Low!D38</f>
        <v>3452.7104800000006</v>
      </c>
      <c r="F26" s="133">
        <f>BI_GSd_Low!H$23</f>
        <v>109.6574999999998</v>
      </c>
      <c r="G26" s="134">
        <f>BI_GSd_Low!I$23</f>
        <v>0.10623369426745402</v>
      </c>
      <c r="H26" s="135">
        <f>BI_GSd_Low!H$38</f>
        <v>131.1154503599987</v>
      </c>
      <c r="I26" s="144">
        <f>BI_GSd_Low!I$38</f>
        <v>3.7974643723964564E-2</v>
      </c>
      <c r="J26" s="180" t="s">
        <v>70</v>
      </c>
    </row>
    <row r="27" spans="1:10" x14ac:dyDescent="0.2">
      <c r="A27" s="178"/>
      <c r="B27" s="159" t="s">
        <v>117</v>
      </c>
      <c r="C27" s="93">
        <f>BI_GSd_Avg!B4</f>
        <v>36104</v>
      </c>
      <c r="D27" s="84">
        <f>BI_GSd_Avg!B5</f>
        <v>124</v>
      </c>
      <c r="E27" s="148">
        <f>BI_GSd_Avg!D38</f>
        <v>7731.9524847359999</v>
      </c>
      <c r="F27" s="136">
        <f>BI_GSd_Avg!H$23</f>
        <v>229.46599759999935</v>
      </c>
      <c r="G27" s="142">
        <f>BI_GSd_Avg!I$23</f>
        <v>0.1129844928193586</v>
      </c>
      <c r="H27" s="138">
        <f>BI_GSd_Avg!H$38</f>
        <v>274.1816930319992</v>
      </c>
      <c r="I27" s="145">
        <f>BI_GSd_Avg!I$38</f>
        <v>3.5460861092107561E-2</v>
      </c>
      <c r="J27" s="181"/>
    </row>
    <row r="28" spans="1:10" ht="13.5" thickBot="1" x14ac:dyDescent="0.25">
      <c r="A28" s="179"/>
      <c r="B28" s="92" t="s">
        <v>61</v>
      </c>
      <c r="C28" s="94">
        <f>BI_GSd_High!B4</f>
        <v>175000</v>
      </c>
      <c r="D28" s="85">
        <f>BI_GSd_High!B5</f>
        <v>500</v>
      </c>
      <c r="E28" s="149">
        <f>BI_GSd_High!D38</f>
        <v>34935.351199999997</v>
      </c>
      <c r="F28" s="139">
        <f>BI_GSd_High!H$23</f>
        <v>979.21749999999884</v>
      </c>
      <c r="G28" s="140">
        <f>BI_GSd_High!I$23</f>
        <v>0.12422479821125562</v>
      </c>
      <c r="H28" s="141">
        <f>BI_GSd_High!H$38</f>
        <v>1166.5364029999982</v>
      </c>
      <c r="I28" s="146">
        <f>BI_GSd_High!I$38</f>
        <v>3.3391288850131789E-2</v>
      </c>
      <c r="J28" s="182"/>
    </row>
    <row r="29" spans="1:10" ht="12.75" customHeight="1" x14ac:dyDescent="0.2">
      <c r="A29" s="183" t="s">
        <v>7</v>
      </c>
      <c r="B29" s="90" t="s">
        <v>60</v>
      </c>
      <c r="C29" s="98">
        <f>BI_UGd_Low!B4</f>
        <v>15000</v>
      </c>
      <c r="D29" s="83">
        <f>BI_UGd_Low!B5</f>
        <v>60</v>
      </c>
      <c r="E29" s="147">
        <f>BI_UGd_Low!D38</f>
        <v>3012.3404399999995</v>
      </c>
      <c r="F29" s="133">
        <f>BI_UGd_Low!H$23</f>
        <v>89.794999999999959</v>
      </c>
      <c r="G29" s="134">
        <f>BI_UGd_Low!I$23</f>
        <v>0.14459556076572277</v>
      </c>
      <c r="H29" s="135">
        <f>BI_UGd_Low!H$38</f>
        <v>130.80642699999999</v>
      </c>
      <c r="I29" s="144">
        <f>BI_UGd_Low!I$38</f>
        <v>4.3423520550021237E-2</v>
      </c>
      <c r="J29" s="180" t="s">
        <v>70</v>
      </c>
    </row>
    <row r="30" spans="1:10" x14ac:dyDescent="0.2">
      <c r="A30" s="178"/>
      <c r="B30" s="159" t="s">
        <v>117</v>
      </c>
      <c r="C30" s="93">
        <f>BI_UGd_Avg!B4</f>
        <v>50525</v>
      </c>
      <c r="D30" s="84">
        <f>BI_UGd_Avg!B5</f>
        <v>135</v>
      </c>
      <c r="E30" s="148">
        <f>BI_UGd_Avg!D38</f>
        <v>8940.8696199999995</v>
      </c>
      <c r="F30" s="136">
        <f>BI_UGd_Avg!H$23</f>
        <v>245.93112499999984</v>
      </c>
      <c r="G30" s="142">
        <f>BI_UGd_Avg!I$23</f>
        <v>0.19511889619048603</v>
      </c>
      <c r="H30" s="138">
        <f>BI_UGd_Avg!H$38</f>
        <v>343.91284450000057</v>
      </c>
      <c r="I30" s="145">
        <f>BI_UGd_Avg!I$38</f>
        <v>3.8465256637977972E-2</v>
      </c>
      <c r="J30" s="181"/>
    </row>
    <row r="31" spans="1:10" ht="13.5" thickBot="1" x14ac:dyDescent="0.25">
      <c r="A31" s="179"/>
      <c r="B31" s="92" t="s">
        <v>61</v>
      </c>
      <c r="C31" s="94">
        <f>BI_UGd_High!B4</f>
        <v>175000</v>
      </c>
      <c r="D31" s="85">
        <f>BI_UGd_High!B5</f>
        <v>500</v>
      </c>
      <c r="E31" s="149">
        <f>BI_UGd_High!D38</f>
        <v>31160.360200000003</v>
      </c>
      <c r="F31" s="139">
        <f>BI_UGd_High!H$23</f>
        <v>858.37499999999909</v>
      </c>
      <c r="G31" s="140">
        <f>BI_UGd_High!I$23</f>
        <v>0.19406901135870328</v>
      </c>
      <c r="H31" s="141">
        <f>BI_UGd_High!H$38</f>
        <v>1214.4477249999982</v>
      </c>
      <c r="I31" s="146">
        <f>BI_UGd_High!I$38</f>
        <v>3.8974123444182718E-2</v>
      </c>
      <c r="J31" s="182"/>
    </row>
    <row r="32" spans="1:10" x14ac:dyDescent="0.2">
      <c r="A32" s="178" t="s">
        <v>8</v>
      </c>
      <c r="B32" s="90" t="s">
        <v>60</v>
      </c>
      <c r="C32" s="98">
        <f>BI_StLgt_Low!B4</f>
        <v>100</v>
      </c>
      <c r="D32" s="83"/>
      <c r="E32" s="147">
        <f>BI_StLgt_Low!D36</f>
        <v>28.734719999999996</v>
      </c>
      <c r="F32" s="133">
        <f>BI_StLgt_Low!H$19</f>
        <v>0.25999999999999979</v>
      </c>
      <c r="G32" s="134">
        <f>BI_StLgt_Low!I$19</f>
        <v>1.9061583577712593E-2</v>
      </c>
      <c r="H32" s="135">
        <f>BI_StLgt_Low!H$36</f>
        <v>0.47801207999999917</v>
      </c>
      <c r="I32" s="144">
        <f>BI_StLgt_Low!I$36</f>
        <v>1.6635348456501376E-2</v>
      </c>
      <c r="J32" s="184" t="s">
        <v>95</v>
      </c>
    </row>
    <row r="33" spans="1:10" x14ac:dyDescent="0.2">
      <c r="A33" s="178"/>
      <c r="B33" s="159" t="s">
        <v>117</v>
      </c>
      <c r="C33" s="93">
        <f>BI_StLgt_Avg!B4</f>
        <v>517</v>
      </c>
      <c r="D33" s="84"/>
      <c r="E33" s="148">
        <f>BI_StLgt_Avg!D36</f>
        <v>127.94673864000001</v>
      </c>
      <c r="F33" s="136">
        <f>BI_StLgt_Avg!H$19</f>
        <v>2.466700000000003</v>
      </c>
      <c r="G33" s="142">
        <f>BI_StLgt_Avg!I$19</f>
        <v>4.7089974361764535E-2</v>
      </c>
      <c r="H33" s="138">
        <f>BI_StLgt_Avg!H$36</f>
        <v>3.6499474535999923</v>
      </c>
      <c r="I33" s="145">
        <f>BI_StLgt_Avg!I$36</f>
        <v>2.8527084726010427E-2</v>
      </c>
      <c r="J33" s="185"/>
    </row>
    <row r="34" spans="1:10" ht="13.5" thickBot="1" x14ac:dyDescent="0.25">
      <c r="A34" s="179"/>
      <c r="B34" s="92" t="s">
        <v>61</v>
      </c>
      <c r="C34" s="94">
        <f>BI_StLgt_High!B4</f>
        <v>2000</v>
      </c>
      <c r="D34" s="85"/>
      <c r="E34" s="149">
        <f>BI_StLgt_High!D36</f>
        <v>510.34199999999998</v>
      </c>
      <c r="F34" s="139">
        <f>BI_StLgt_High!H$19</f>
        <v>10.03000000000003</v>
      </c>
      <c r="G34" s="140">
        <f>BI_StLgt_High!I$19</f>
        <v>5.2664741401942924E-2</v>
      </c>
      <c r="H34" s="141">
        <f>BI_StLgt_High!H$36</f>
        <v>14.631741600000055</v>
      </c>
      <c r="I34" s="146">
        <f>BI_StLgt_High!I$36</f>
        <v>2.8670463336351027E-2</v>
      </c>
      <c r="J34" s="186"/>
    </row>
    <row r="35" spans="1:10" x14ac:dyDescent="0.2">
      <c r="A35" s="178" t="s">
        <v>9</v>
      </c>
      <c r="B35" s="90" t="s">
        <v>60</v>
      </c>
      <c r="C35" s="98">
        <f>BI_SenLgt_Low!B4</f>
        <v>20</v>
      </c>
      <c r="D35" s="83"/>
      <c r="E35" s="147">
        <f>BI_SenLgt_Low!D36</f>
        <v>8.4832439999999991</v>
      </c>
      <c r="F35" s="133">
        <f>BI_SenLgt_Low!H$19</f>
        <v>0.32800000000000029</v>
      </c>
      <c r="G35" s="134">
        <f>BI_SenLgt_Low!I$19</f>
        <v>6.3887806778340536E-2</v>
      </c>
      <c r="H35" s="135">
        <f>BI_SenLgt_Low!H$36</f>
        <v>0.3854024159999998</v>
      </c>
      <c r="I35" s="144">
        <f>BI_SenLgt_Low!I$36</f>
        <v>4.5431018605618302E-2</v>
      </c>
      <c r="J35" s="184" t="s">
        <v>95</v>
      </c>
    </row>
    <row r="36" spans="1:10" x14ac:dyDescent="0.2">
      <c r="A36" s="178"/>
      <c r="B36" s="159" t="s">
        <v>117</v>
      </c>
      <c r="C36" s="93">
        <f>BI_SenLgt_Avg!B4</f>
        <v>71</v>
      </c>
      <c r="D36" s="84"/>
      <c r="E36" s="148">
        <f>BI_SenLgt_Avg!D36</f>
        <v>22.056241200000002</v>
      </c>
      <c r="F36" s="136">
        <f>BI_SenLgt_Avg!H$19</f>
        <v>0.29739999999999966</v>
      </c>
      <c r="G36" s="142">
        <f>BI_SenLgt_Avg!I$19</f>
        <v>2.6582765000849117E-2</v>
      </c>
      <c r="H36" s="138">
        <f>BI_SenLgt_Avg!H$36</f>
        <v>0.45782857679999722</v>
      </c>
      <c r="I36" s="145">
        <f>BI_SenLgt_Avg!I$36</f>
        <v>2.0757325450358112E-2</v>
      </c>
      <c r="J36" s="185"/>
    </row>
    <row r="37" spans="1:10" ht="13.5" thickBot="1" x14ac:dyDescent="0.25">
      <c r="A37" s="179"/>
      <c r="B37" s="92" t="s">
        <v>61</v>
      </c>
      <c r="C37" s="94">
        <f>BI_SenLgt_High!B4</f>
        <v>200</v>
      </c>
      <c r="D37" s="85"/>
      <c r="E37" s="149">
        <f>BI_SenLgt_High!D36</f>
        <v>56.387939999999993</v>
      </c>
      <c r="F37" s="139">
        <f>BI_SenLgt_High!H$19</f>
        <v>0.21999999999999886</v>
      </c>
      <c r="G37" s="140">
        <f>BI_SenLgt_High!I$19</f>
        <v>8.3018867924527871E-3</v>
      </c>
      <c r="H37" s="141">
        <f>BI_SenLgt_High!H$36</f>
        <v>0.64102416000000062</v>
      </c>
      <c r="I37" s="146">
        <f>BI_SenLgt_High!I$36</f>
        <v>1.1368107435738932E-2</v>
      </c>
      <c r="J37" s="186"/>
    </row>
    <row r="38" spans="1:10" x14ac:dyDescent="0.2">
      <c r="A38" s="178" t="s">
        <v>12</v>
      </c>
      <c r="B38" s="90" t="s">
        <v>60</v>
      </c>
      <c r="C38" s="98">
        <f>BI_USL_Low!B4</f>
        <v>100</v>
      </c>
      <c r="D38" s="83"/>
      <c r="E38" s="147">
        <f>BI_USL_Low!D36</f>
        <v>54.938015999999998</v>
      </c>
      <c r="F38" s="133">
        <f>BI_USL_Low!H$19</f>
        <v>-0.54999999999999716</v>
      </c>
      <c r="G38" s="134">
        <f>BI_USL_Low!I$19</f>
        <v>-1.4274591227614772E-2</v>
      </c>
      <c r="H38" s="135">
        <f>BI_USL_Low!H$36</f>
        <v>-0.48978509999999176</v>
      </c>
      <c r="I38" s="144">
        <f>BI_USL_Low!I$36</f>
        <v>-8.9152309395372376E-3</v>
      </c>
      <c r="J38" s="184" t="s">
        <v>95</v>
      </c>
    </row>
    <row r="39" spans="1:10" x14ac:dyDescent="0.2">
      <c r="A39" s="178"/>
      <c r="B39" s="159" t="s">
        <v>117</v>
      </c>
      <c r="C39" s="93">
        <f>BI_USL_Avg!B4</f>
        <v>364</v>
      </c>
      <c r="D39" s="84"/>
      <c r="E39" s="148">
        <f>BI_USL_Avg!D36</f>
        <v>100.34869823999999</v>
      </c>
      <c r="F39" s="136">
        <f>BI_USL_Avg!H$19</f>
        <v>-0.41799999999999926</v>
      </c>
      <c r="G39" s="142">
        <f>BI_USL_Avg!I$19</f>
        <v>-9.0815076171688134E-3</v>
      </c>
      <c r="H39" s="138">
        <f>BI_USL_Avg!H$36</f>
        <v>-0.11961776399998314</v>
      </c>
      <c r="I39" s="145">
        <f>BI_USL_Avg!I$36</f>
        <v>-1.1920210834613727E-3</v>
      </c>
      <c r="J39" s="185"/>
    </row>
    <row r="40" spans="1:10" ht="13.5" thickBot="1" x14ac:dyDescent="0.25">
      <c r="A40" s="179"/>
      <c r="B40" s="92" t="s">
        <v>61</v>
      </c>
      <c r="C40" s="94">
        <f>BI_USL_High!B4</f>
        <v>1000</v>
      </c>
      <c r="D40" s="85"/>
      <c r="E40" s="149">
        <f>BI_USL_High!D36</f>
        <v>216.21096</v>
      </c>
      <c r="F40" s="139">
        <f>BI_USL_High!H$19</f>
        <v>-9.9999999999994316E-2</v>
      </c>
      <c r="G40" s="140">
        <f>BI_USL_High!I$19</f>
        <v>-1.5603058199406196E-3</v>
      </c>
      <c r="H40" s="141">
        <f>BI_USL_High!H$36</f>
        <v>0.77214900000001307</v>
      </c>
      <c r="I40" s="146">
        <f>BI_USL_High!I$36</f>
        <v>3.5712759427182278E-3</v>
      </c>
      <c r="J40" s="186"/>
    </row>
    <row r="41" spans="1:10" ht="12.75" customHeight="1" x14ac:dyDescent="0.2">
      <c r="A41" s="178" t="s">
        <v>47</v>
      </c>
      <c r="B41" s="90" t="s">
        <v>60</v>
      </c>
      <c r="C41" s="98">
        <f>BI_DGen_Low!B4</f>
        <v>300</v>
      </c>
      <c r="D41" s="83">
        <f>BI_DGen_Low!B5</f>
        <v>10</v>
      </c>
      <c r="E41" s="147">
        <f>BI_DGen_Low!D38</f>
        <v>303.17226520000008</v>
      </c>
      <c r="F41" s="133">
        <f>BI_DGen_Low!H$23</f>
        <v>37.516069999999985</v>
      </c>
      <c r="G41" s="134">
        <f>BI_DGen_Low!I$23</f>
        <v>0.16907302493502482</v>
      </c>
      <c r="H41" s="135">
        <f>BI_DGen_Low!H$38</f>
        <v>45.425613539999972</v>
      </c>
      <c r="I41" s="144">
        <f>BI_DGen_Low!I$38</f>
        <v>0.14983433101980187</v>
      </c>
      <c r="J41" s="180" t="s">
        <v>70</v>
      </c>
    </row>
    <row r="42" spans="1:10" x14ac:dyDescent="0.2">
      <c r="A42" s="178"/>
      <c r="B42" s="159" t="s">
        <v>117</v>
      </c>
      <c r="C42" s="93">
        <f>BI_DGen_Avg!B4</f>
        <v>1328</v>
      </c>
      <c r="D42" s="84">
        <f>BI_DGen_Avg!B5</f>
        <v>13</v>
      </c>
      <c r="E42" s="148">
        <f>BI_DGen_Avg!D38</f>
        <v>472.26651655199993</v>
      </c>
      <c r="F42" s="136">
        <f>BI_DGen_Avg!H$23</f>
        <v>37.863023199999958</v>
      </c>
      <c r="G42" s="142">
        <f>BI_DGen_Avg!I$23</f>
        <v>0.15655756525898978</v>
      </c>
      <c r="H42" s="138">
        <f>BI_DGen_Avg!H$38</f>
        <v>46.727406988000041</v>
      </c>
      <c r="I42" s="145">
        <f>BI_DGen_Avg!I$38</f>
        <v>9.8942875156924279E-2</v>
      </c>
      <c r="J42" s="181"/>
    </row>
    <row r="43" spans="1:10" ht="13.5" thickBot="1" x14ac:dyDescent="0.25">
      <c r="A43" s="179"/>
      <c r="B43" s="92" t="s">
        <v>61</v>
      </c>
      <c r="C43" s="94">
        <f>BI_DGen_High!B4</f>
        <v>5000</v>
      </c>
      <c r="D43" s="85">
        <f>BI_DGen_High!B5</f>
        <v>100</v>
      </c>
      <c r="E43" s="149">
        <f>BI_DGen_High!D38</f>
        <v>1759.43712</v>
      </c>
      <c r="F43" s="139">
        <f>BI_DGen_High!H$23</f>
        <v>-32.505500000000097</v>
      </c>
      <c r="G43" s="140">
        <f>BI_DGen_High!I$23</f>
        <v>-3.8319982552622228E-2</v>
      </c>
      <c r="H43" s="141">
        <f>BI_DGen_High!H$38</f>
        <v>-6.4066705999998703</v>
      </c>
      <c r="I43" s="146">
        <f>BI_DGen_High!I$38</f>
        <v>-3.6413183098011879E-3</v>
      </c>
      <c r="J43" s="182"/>
    </row>
    <row r="44" spans="1:10" x14ac:dyDescent="0.2">
      <c r="A44" s="178" t="s">
        <v>11</v>
      </c>
      <c r="B44" s="90" t="s">
        <v>60</v>
      </c>
      <c r="C44" s="98">
        <f>BI_ST_Low!B4</f>
        <v>200000</v>
      </c>
      <c r="D44" s="83">
        <f>BI_ST_Low!B5</f>
        <v>500</v>
      </c>
      <c r="E44" s="147">
        <f>BI_ST_Low!D36</f>
        <v>32636.445300000003</v>
      </c>
      <c r="F44" s="133">
        <f>BI_ST_Low!H$21</f>
        <v>574.41350358083355</v>
      </c>
      <c r="G44" s="134">
        <f>BI_ST_Low!I$21</f>
        <v>0.31552166610684507</v>
      </c>
      <c r="H44" s="135">
        <f>BI_ST_Low!H$36</f>
        <v>750.79426504634102</v>
      </c>
      <c r="I44" s="144">
        <f>BI_ST_Low!I$36</f>
        <v>2.3004780641546797E-2</v>
      </c>
      <c r="J44" s="180" t="s">
        <v>70</v>
      </c>
    </row>
    <row r="45" spans="1:10" x14ac:dyDescent="0.2">
      <c r="A45" s="178"/>
      <c r="B45" s="159" t="s">
        <v>117</v>
      </c>
      <c r="C45" s="93">
        <f>BI_ST_Avg!B4</f>
        <v>1601036</v>
      </c>
      <c r="D45" s="84">
        <f>BI_ST_Avg!B5</f>
        <v>3091</v>
      </c>
      <c r="E45" s="148">
        <f>BI_ST_Avg!D36</f>
        <v>243567.89730145602</v>
      </c>
      <c r="F45" s="136">
        <f>BI_ST_Avg!H$21</f>
        <v>4957.9846087367159</v>
      </c>
      <c r="G45" s="142">
        <f>BI_ST_Avg!I$21</f>
        <v>1.1518226980167681</v>
      </c>
      <c r="H45" s="138">
        <f>BI_ST_Avg!H$36</f>
        <v>6231.2753189644718</v>
      </c>
      <c r="I45" s="145">
        <f>BI_ST_Avg!I$36</f>
        <v>2.5583319427569005E-2</v>
      </c>
      <c r="J45" s="181"/>
    </row>
    <row r="46" spans="1:10" ht="13.5" thickBot="1" x14ac:dyDescent="0.25">
      <c r="A46" s="179"/>
      <c r="B46" s="92" t="s">
        <v>61</v>
      </c>
      <c r="C46" s="94">
        <f>BI_ST_High!B4</f>
        <v>4000000</v>
      </c>
      <c r="D46" s="85">
        <f>BI_ST_High!B5</f>
        <v>10000</v>
      </c>
      <c r="E46" s="149">
        <f>BI_ST_High!D36</f>
        <v>625490.56109999993</v>
      </c>
      <c r="F46" s="139">
        <f>BI_ST_High!H$21</f>
        <v>12637.960071616675</v>
      </c>
      <c r="G46" s="140">
        <f>BI_ST_High!I$21</f>
        <v>1.0266067341014098</v>
      </c>
      <c r="H46" s="141">
        <f>BI_ST_High!H$36</f>
        <v>16315.035000926931</v>
      </c>
      <c r="I46" s="146">
        <f>BI_ST_High!I$36</f>
        <v>2.608358305557E-2</v>
      </c>
      <c r="J46" s="182"/>
    </row>
  </sheetData>
  <mergeCells count="26">
    <mergeCell ref="J2:J5"/>
    <mergeCell ref="J22:J25"/>
    <mergeCell ref="J18:J21"/>
    <mergeCell ref="J14:J17"/>
    <mergeCell ref="J10:J13"/>
    <mergeCell ref="J6:J9"/>
    <mergeCell ref="A2:A5"/>
    <mergeCell ref="A6:A9"/>
    <mergeCell ref="A10:A13"/>
    <mergeCell ref="A14:A17"/>
    <mergeCell ref="A18:A21"/>
    <mergeCell ref="A44:A46"/>
    <mergeCell ref="J44:J46"/>
    <mergeCell ref="A41:A43"/>
    <mergeCell ref="A38:A40"/>
    <mergeCell ref="A22:A25"/>
    <mergeCell ref="A26:A28"/>
    <mergeCell ref="A29:A31"/>
    <mergeCell ref="A32:A34"/>
    <mergeCell ref="A35:A37"/>
    <mergeCell ref="J32:J34"/>
    <mergeCell ref="J29:J31"/>
    <mergeCell ref="J26:J28"/>
    <mergeCell ref="J41:J43"/>
    <mergeCell ref="J38:J40"/>
    <mergeCell ref="J35:J37"/>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100</v>
      </c>
      <c r="B1" s="192"/>
      <c r="C1" s="192"/>
      <c r="D1" s="192"/>
      <c r="E1" s="192"/>
      <c r="F1" s="192"/>
      <c r="G1" s="192"/>
      <c r="H1" s="192"/>
      <c r="I1" s="192"/>
      <c r="J1" s="192"/>
      <c r="K1" s="193"/>
    </row>
    <row r="3" spans="1:11" x14ac:dyDescent="0.2">
      <c r="A3" s="13" t="s">
        <v>13</v>
      </c>
      <c r="B3" s="13" t="s">
        <v>6</v>
      </c>
    </row>
    <row r="4" spans="1:11" x14ac:dyDescent="0.2">
      <c r="A4" s="15" t="s">
        <v>62</v>
      </c>
      <c r="B4" s="15">
        <v>2000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2134</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0.19483815805099167</v>
      </c>
      <c r="K12" s="106"/>
    </row>
    <row r="13" spans="1:11" x14ac:dyDescent="0.2">
      <c r="A13" s="107" t="s">
        <v>32</v>
      </c>
      <c r="B13" s="73">
        <f>IF(B4&gt;B7,(B4)-B7,0)</f>
        <v>1250</v>
      </c>
      <c r="C13" s="21">
        <v>0.121</v>
      </c>
      <c r="D13" s="22">
        <f>B13*C13</f>
        <v>151.25</v>
      </c>
      <c r="E13" s="73">
        <f t="shared" ref="E13" si="0">B13</f>
        <v>1250</v>
      </c>
      <c r="F13" s="21">
        <f>C13</f>
        <v>0.121</v>
      </c>
      <c r="G13" s="22">
        <f>E13*F13</f>
        <v>151.25</v>
      </c>
      <c r="H13" s="22">
        <f t="shared" ref="H13:H46" si="1">G13-D13</f>
        <v>0</v>
      </c>
      <c r="I13" s="23">
        <f t="shared" ref="I13:I46" si="2">IF(ISERROR(H13/D13),0,(H13/D13))</f>
        <v>0</v>
      </c>
      <c r="J13" s="23">
        <f>G13/$G$46</f>
        <v>0.38147924149142382</v>
      </c>
      <c r="K13" s="108"/>
    </row>
    <row r="14" spans="1:11" s="1" customFormat="1" x14ac:dyDescent="0.2">
      <c r="A14" s="46" t="s">
        <v>33</v>
      </c>
      <c r="B14" s="24"/>
      <c r="C14" s="25"/>
      <c r="D14" s="25">
        <f>SUM(D12:D13)</f>
        <v>228.5</v>
      </c>
      <c r="E14" s="76"/>
      <c r="F14" s="25"/>
      <c r="G14" s="25">
        <f>SUM(G12:G13)</f>
        <v>228.5</v>
      </c>
      <c r="H14" s="25">
        <f t="shared" si="1"/>
        <v>0</v>
      </c>
      <c r="I14" s="27">
        <f t="shared" si="2"/>
        <v>0</v>
      </c>
      <c r="J14" s="27">
        <f>G14/$G$46</f>
        <v>0.57631739954241545</v>
      </c>
      <c r="K14" s="108"/>
    </row>
    <row r="15" spans="1:11" s="1" customFormat="1" x14ac:dyDescent="0.2">
      <c r="A15" s="109" t="s">
        <v>34</v>
      </c>
      <c r="B15" s="75">
        <f>B4*0.65</f>
        <v>1300</v>
      </c>
      <c r="C15" s="28">
        <v>8.6999999999999994E-2</v>
      </c>
      <c r="D15" s="22">
        <f>B15*C15</f>
        <v>113.1</v>
      </c>
      <c r="E15" s="73">
        <f t="shared" ref="E15:F17" si="3">B15</f>
        <v>1300</v>
      </c>
      <c r="F15" s="28">
        <f t="shared" si="3"/>
        <v>8.6999999999999994E-2</v>
      </c>
      <c r="G15" s="22">
        <f>E15*F15</f>
        <v>113.1</v>
      </c>
      <c r="H15" s="22">
        <f t="shared" si="1"/>
        <v>0</v>
      </c>
      <c r="I15" s="23">
        <f t="shared" si="2"/>
        <v>0</v>
      </c>
      <c r="J15" s="23"/>
      <c r="K15" s="108">
        <f t="shared" ref="K15:K26" si="4">G15/$G$51</f>
        <v>0.29065226571705827</v>
      </c>
    </row>
    <row r="16" spans="1:11" s="1" customFormat="1" x14ac:dyDescent="0.2">
      <c r="A16" s="109" t="s">
        <v>35</v>
      </c>
      <c r="B16" s="75">
        <f>B4*0.17</f>
        <v>340</v>
      </c>
      <c r="C16" s="28">
        <v>0.13200000000000001</v>
      </c>
      <c r="D16" s="22">
        <f>B16*C16</f>
        <v>44.88</v>
      </c>
      <c r="E16" s="73">
        <f t="shared" si="3"/>
        <v>340</v>
      </c>
      <c r="F16" s="28">
        <f t="shared" si="3"/>
        <v>0.13200000000000001</v>
      </c>
      <c r="G16" s="22">
        <f>E16*F16</f>
        <v>44.88</v>
      </c>
      <c r="H16" s="22">
        <f t="shared" si="1"/>
        <v>0</v>
      </c>
      <c r="I16" s="23">
        <f t="shared" si="2"/>
        <v>0</v>
      </c>
      <c r="J16" s="23"/>
      <c r="K16" s="108">
        <f t="shared" si="4"/>
        <v>0.11533575318639766</v>
      </c>
    </row>
    <row r="17" spans="1:11" s="1" customFormat="1" x14ac:dyDescent="0.2">
      <c r="A17" s="109" t="s">
        <v>36</v>
      </c>
      <c r="B17" s="75">
        <f>B4*0.18</f>
        <v>360</v>
      </c>
      <c r="C17" s="28">
        <v>0.18</v>
      </c>
      <c r="D17" s="22">
        <f>B17*C17</f>
        <v>64.8</v>
      </c>
      <c r="E17" s="73">
        <f t="shared" si="3"/>
        <v>360</v>
      </c>
      <c r="F17" s="28">
        <f t="shared" si="3"/>
        <v>0.18</v>
      </c>
      <c r="G17" s="22">
        <f>E17*F17</f>
        <v>64.8</v>
      </c>
      <c r="H17" s="22">
        <f t="shared" si="1"/>
        <v>0</v>
      </c>
      <c r="I17" s="23">
        <f t="shared" si="2"/>
        <v>0</v>
      </c>
      <c r="J17" s="23"/>
      <c r="K17" s="108">
        <f t="shared" si="4"/>
        <v>0.16652755807661693</v>
      </c>
    </row>
    <row r="18" spans="1:11" s="1" customFormat="1" x14ac:dyDescent="0.2">
      <c r="A18" s="61" t="s">
        <v>37</v>
      </c>
      <c r="B18" s="29"/>
      <c r="C18" s="30"/>
      <c r="D18" s="30">
        <f>SUM(D15:D17)</f>
        <v>222.77999999999997</v>
      </c>
      <c r="E18" s="77"/>
      <c r="F18" s="30"/>
      <c r="G18" s="30">
        <f>SUM(G15:G17)</f>
        <v>222.77999999999997</v>
      </c>
      <c r="H18" s="31">
        <f t="shared" si="1"/>
        <v>0</v>
      </c>
      <c r="I18" s="32">
        <f t="shared" si="2"/>
        <v>0</v>
      </c>
      <c r="J18" s="33">
        <f t="shared" ref="J18:J23" si="5">G18/$G$46</f>
        <v>0.56189054822783058</v>
      </c>
      <c r="K18" s="62">
        <f t="shared" si="4"/>
        <v>0.57251557698007283</v>
      </c>
    </row>
    <row r="19" spans="1:11" x14ac:dyDescent="0.2">
      <c r="A19" s="107" t="s">
        <v>38</v>
      </c>
      <c r="B19" s="73">
        <v>1</v>
      </c>
      <c r="C19" s="78">
        <f>VLOOKUP($B$3,'Data for Bill Impacts'!$A$3:$Y$15,7,0)</f>
        <v>23.3</v>
      </c>
      <c r="D19" s="22">
        <f>B19*C19</f>
        <v>23.3</v>
      </c>
      <c r="E19" s="73">
        <f t="shared" ref="E19:E41" si="6">B19</f>
        <v>1</v>
      </c>
      <c r="F19" s="78">
        <f>VLOOKUP($B$3,'Data for Bill Impacts'!$A$3:$Y$15,17,0)</f>
        <v>23.97</v>
      </c>
      <c r="G19" s="22">
        <f>E19*F19</f>
        <v>23.97</v>
      </c>
      <c r="H19" s="22">
        <f t="shared" si="1"/>
        <v>0.66999999999999815</v>
      </c>
      <c r="I19" s="23">
        <f t="shared" si="2"/>
        <v>2.8755364806866874E-2</v>
      </c>
      <c r="J19" s="23">
        <f t="shared" si="5"/>
        <v>6.0456577973880515E-2</v>
      </c>
      <c r="K19" s="108">
        <f t="shared" si="4"/>
        <v>6.1599777270007837E-2</v>
      </c>
    </row>
    <row r="20" spans="1:11" hidden="1" x14ac:dyDescent="0.2">
      <c r="A20" s="107" t="s">
        <v>114</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0.67</v>
      </c>
      <c r="D21" s="22">
        <f t="shared" si="7"/>
        <v>0.67</v>
      </c>
      <c r="E21" s="73">
        <f t="shared" si="6"/>
        <v>1</v>
      </c>
      <c r="F21" s="122">
        <f>VLOOKUP($B$3,'Data for Bill Impacts'!$A$3:$Y$15,22,0)</f>
        <v>0.01</v>
      </c>
      <c r="G21" s="22">
        <f t="shared" si="8"/>
        <v>0.01</v>
      </c>
      <c r="H21" s="22">
        <f t="shared" si="1"/>
        <v>-0.66</v>
      </c>
      <c r="I21" s="23">
        <f t="shared" si="2"/>
        <v>-0.9850746268656716</v>
      </c>
      <c r="J21" s="23">
        <f t="shared" si="5"/>
        <v>2.5221768032490831E-5</v>
      </c>
      <c r="K21" s="108">
        <f t="shared" si="4"/>
        <v>2.5698697234045825E-5</v>
      </c>
    </row>
    <row r="22" spans="1:11" hidden="1" x14ac:dyDescent="0.2">
      <c r="A22" s="107" t="s">
        <v>123</v>
      </c>
      <c r="B22" s="73">
        <f>B4</f>
        <v>2000</v>
      </c>
      <c r="C22" s="78">
        <v>0</v>
      </c>
      <c r="D22" s="22">
        <f>B22*C22</f>
        <v>0</v>
      </c>
      <c r="E22" s="73">
        <f>B22</f>
        <v>2000</v>
      </c>
      <c r="F22" s="78">
        <f>C22</f>
        <v>0</v>
      </c>
      <c r="G22" s="22">
        <f>E22*F22</f>
        <v>0</v>
      </c>
      <c r="H22" s="22">
        <f>G22-D22</f>
        <v>0</v>
      </c>
      <c r="I22" s="23">
        <f>IF(ISERROR(H22/D22),0,(H22/D22))</f>
        <v>0</v>
      </c>
      <c r="J22" s="23">
        <f t="shared" si="5"/>
        <v>0</v>
      </c>
      <c r="K22" s="108">
        <f t="shared" si="4"/>
        <v>0</v>
      </c>
    </row>
    <row r="23" spans="1:11" x14ac:dyDescent="0.2">
      <c r="A23" s="107" t="s">
        <v>39</v>
      </c>
      <c r="B23" s="73">
        <f>IF($B$9="kWh",$B$4,$B$5)</f>
        <v>2000</v>
      </c>
      <c r="C23" s="78">
        <f>VLOOKUP($B$3,'Data for Bill Impacts'!$A$3:$Y$15,10,0)</f>
        <v>2.6200000000000001E-2</v>
      </c>
      <c r="D23" s="22">
        <f>B23*C23</f>
        <v>52.400000000000006</v>
      </c>
      <c r="E23" s="73">
        <f t="shared" si="6"/>
        <v>2000</v>
      </c>
      <c r="F23" s="126">
        <f>VLOOKUP($B$3,'Data for Bill Impacts'!$A$3:$Y$15,19,0)</f>
        <v>2.8000000000000001E-2</v>
      </c>
      <c r="G23" s="22">
        <f>E23*F23</f>
        <v>56</v>
      </c>
      <c r="H23" s="22">
        <f t="shared" si="1"/>
        <v>3.5999999999999943</v>
      </c>
      <c r="I23" s="23">
        <f t="shared" si="2"/>
        <v>6.8702290076335756E-2</v>
      </c>
      <c r="J23" s="23">
        <f t="shared" si="5"/>
        <v>0.14124190098194864</v>
      </c>
      <c r="K23" s="108">
        <f t="shared" si="4"/>
        <v>0.14391270451065663</v>
      </c>
    </row>
    <row r="24" spans="1:11" x14ac:dyDescent="0.2">
      <c r="A24" s="107" t="s">
        <v>124</v>
      </c>
      <c r="B24" s="73">
        <f>IF($B$9="kWh",$B$4,$B$5)</f>
        <v>2000</v>
      </c>
      <c r="C24" s="78">
        <f>VLOOKUP($B$3,'Data for Bill Impacts'!$A$3:$Y$15,14,0)</f>
        <v>-1E-4</v>
      </c>
      <c r="D24" s="22">
        <f>B24*C24</f>
        <v>-0.2</v>
      </c>
      <c r="E24" s="73">
        <f t="shared" si="6"/>
        <v>2000</v>
      </c>
      <c r="F24" s="126">
        <f>VLOOKUP($B$3,'Data for Bill Impacts'!$A$3:$Y$15,23,0)</f>
        <v>2.0000000000000001E-4</v>
      </c>
      <c r="G24" s="22">
        <f>E24*F24</f>
        <v>0.4</v>
      </c>
      <c r="H24" s="22">
        <f t="shared" si="1"/>
        <v>0.60000000000000009</v>
      </c>
      <c r="I24" s="23">
        <f>IF(ISERROR(H24/D24),0,(H24/D24))</f>
        <v>-3.0000000000000004</v>
      </c>
      <c r="J24" s="23">
        <f t="shared" ref="J24" si="9">G24/$G$46</f>
        <v>1.0088707212996331E-3</v>
      </c>
      <c r="K24" s="108">
        <f t="shared" si="4"/>
        <v>1.0279478893618331E-3</v>
      </c>
    </row>
    <row r="25" spans="1:11" s="1" customFormat="1" x14ac:dyDescent="0.2">
      <c r="A25" s="110" t="s">
        <v>72</v>
      </c>
      <c r="B25" s="74"/>
      <c r="C25" s="35"/>
      <c r="D25" s="35">
        <f>SUM(D19:D24)</f>
        <v>76.17</v>
      </c>
      <c r="E25" s="73"/>
      <c r="F25" s="35"/>
      <c r="G25" s="35">
        <f>SUM(G19:G24)</f>
        <v>80.38000000000001</v>
      </c>
      <c r="H25" s="35">
        <f t="shared" si="1"/>
        <v>4.210000000000008</v>
      </c>
      <c r="I25" s="36">
        <f t="shared" si="2"/>
        <v>5.527110410922946E-2</v>
      </c>
      <c r="J25" s="36">
        <f>G25/$G$46</f>
        <v>0.2027325714451613</v>
      </c>
      <c r="K25" s="111">
        <f t="shared" si="4"/>
        <v>0.20656612836726035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1.9925196745667756E-3</v>
      </c>
      <c r="K26" s="108">
        <f t="shared" si="4"/>
        <v>2.0301970814896203E-3</v>
      </c>
    </row>
    <row r="27" spans="1:11" s="1" customFormat="1" x14ac:dyDescent="0.2">
      <c r="A27" s="119" t="s">
        <v>75</v>
      </c>
      <c r="B27" s="120">
        <f>B8-B4</f>
        <v>134</v>
      </c>
      <c r="C27" s="121">
        <f>IF(B4&gt;B7,C13,C12)</f>
        <v>0.121</v>
      </c>
      <c r="D27" s="22">
        <f>B27*C27</f>
        <v>16.213999999999999</v>
      </c>
      <c r="E27" s="73">
        <f>B27</f>
        <v>134</v>
      </c>
      <c r="F27" s="121">
        <f>C27</f>
        <v>0.121</v>
      </c>
      <c r="G27" s="22">
        <f>E27*F27</f>
        <v>16.213999999999999</v>
      </c>
      <c r="H27" s="22">
        <f t="shared" si="1"/>
        <v>0</v>
      </c>
      <c r="I27" s="23">
        <f>IF(ISERROR(H27/D27),0,(H27/D27))</f>
        <v>0</v>
      </c>
      <c r="J27" s="23">
        <f t="shared" ref="J27:J46" si="10">G27/$G$46</f>
        <v>4.089457468788063E-2</v>
      </c>
      <c r="K27" s="108">
        <f t="shared" ref="K27:K41" si="11">G27/$G$51</f>
        <v>4.1667867695281899E-2</v>
      </c>
    </row>
    <row r="28" spans="1:11" s="1" customFormat="1" x14ac:dyDescent="0.2">
      <c r="A28" s="119" t="s">
        <v>74</v>
      </c>
      <c r="B28" s="120">
        <f>B8-B4</f>
        <v>134</v>
      </c>
      <c r="C28" s="121">
        <f>0.65*C15+0.17*C16+0.18*C17</f>
        <v>0.11139</v>
      </c>
      <c r="D28" s="22">
        <f>B28*C28</f>
        <v>14.926260000000001</v>
      </c>
      <c r="E28" s="73">
        <f>B28</f>
        <v>134</v>
      </c>
      <c r="F28" s="121">
        <f>C28</f>
        <v>0.11139</v>
      </c>
      <c r="G28" s="22">
        <f>E28*F28</f>
        <v>14.926260000000001</v>
      </c>
      <c r="H28" s="22">
        <f t="shared" si="1"/>
        <v>0</v>
      </c>
      <c r="I28" s="23">
        <f>IF(ISERROR(H28/D28),0,(H28/D28))</f>
        <v>0</v>
      </c>
      <c r="J28" s="23">
        <f t="shared" si="10"/>
        <v>3.7646666731264662E-2</v>
      </c>
      <c r="K28" s="108">
        <f t="shared" si="11"/>
        <v>3.8358543657664883E-2</v>
      </c>
    </row>
    <row r="29" spans="1:11" s="1" customFormat="1" x14ac:dyDescent="0.2">
      <c r="A29" s="110" t="s">
        <v>78</v>
      </c>
      <c r="B29" s="74"/>
      <c r="C29" s="35"/>
      <c r="D29" s="35">
        <f>SUM(D25,D26:D27)</f>
        <v>93.174000000000007</v>
      </c>
      <c r="E29" s="73"/>
      <c r="F29" s="35"/>
      <c r="G29" s="35">
        <f>SUM(G25,G26:G27)</f>
        <v>97.384000000000015</v>
      </c>
      <c r="H29" s="35">
        <f t="shared" si="1"/>
        <v>4.210000000000008</v>
      </c>
      <c r="I29" s="36">
        <f>IF(ISERROR(H29/D29),0,(H29/D29))</f>
        <v>4.5184278876081389E-2</v>
      </c>
      <c r="J29" s="36">
        <f t="shared" si="10"/>
        <v>0.24561966580760872</v>
      </c>
      <c r="K29" s="111">
        <f t="shared" si="11"/>
        <v>0.25026419314403192</v>
      </c>
    </row>
    <row r="30" spans="1:11" s="1" customFormat="1" x14ac:dyDescent="0.2">
      <c r="A30" s="110" t="s">
        <v>77</v>
      </c>
      <c r="B30" s="74"/>
      <c r="C30" s="35"/>
      <c r="D30" s="35">
        <f>SUM(D25,D26,D28)</f>
        <v>91.886260000000007</v>
      </c>
      <c r="E30" s="73"/>
      <c r="F30" s="35"/>
      <c r="G30" s="35">
        <f>SUM(G25,G26,G28)</f>
        <v>96.096260000000015</v>
      </c>
      <c r="H30" s="35">
        <f t="shared" si="1"/>
        <v>4.210000000000008</v>
      </c>
      <c r="I30" s="36">
        <f>IF(ISERROR(H30/D30),0,(H30/D30))</f>
        <v>4.5817513956929005E-2</v>
      </c>
      <c r="J30" s="36">
        <f t="shared" si="10"/>
        <v>0.24237175785099277</v>
      </c>
      <c r="K30" s="111">
        <f t="shared" si="11"/>
        <v>0.24695486910641487</v>
      </c>
    </row>
    <row r="31" spans="1:11" x14ac:dyDescent="0.2">
      <c r="A31" s="107" t="s">
        <v>40</v>
      </c>
      <c r="B31" s="73">
        <f>B8</f>
        <v>2134</v>
      </c>
      <c r="C31" s="78">
        <f>VLOOKUP($B$3,'Data for Bill Impacts'!$A$3:$Y$15,15,0)</f>
        <v>6.4000000000000003E-3</v>
      </c>
      <c r="D31" s="22">
        <f>B31*C31</f>
        <v>13.6576</v>
      </c>
      <c r="E31" s="73">
        <f t="shared" si="6"/>
        <v>2134</v>
      </c>
      <c r="F31" s="126">
        <f>VLOOKUP($B$3,'Data for Bill Impacts'!$A$3:$Y$15,24,0)</f>
        <v>6.1060000000000003E-3</v>
      </c>
      <c r="G31" s="22">
        <f>E31*F31</f>
        <v>13.030204000000001</v>
      </c>
      <c r="H31" s="22">
        <f t="shared" si="1"/>
        <v>-0.62739599999999918</v>
      </c>
      <c r="I31" s="23">
        <f t="shared" si="2"/>
        <v>-4.5937499999999937E-2</v>
      </c>
      <c r="J31" s="23">
        <f t="shared" si="10"/>
        <v>3.2864478270403417E-2</v>
      </c>
      <c r="K31" s="108">
        <f t="shared" si="11"/>
        <v>3.3485926749385289E-2</v>
      </c>
    </row>
    <row r="32" spans="1:11" x14ac:dyDescent="0.2">
      <c r="A32" s="107" t="s">
        <v>41</v>
      </c>
      <c r="B32" s="73">
        <f>B8</f>
        <v>2134</v>
      </c>
      <c r="C32" s="126">
        <f>VLOOKUP($B$3,'Data for Bill Impacts'!$A$3:$Y$15,16,0)</f>
        <v>4.0000000000000001E-3</v>
      </c>
      <c r="D32" s="22">
        <f>B32*C32</f>
        <v>8.5359999999999996</v>
      </c>
      <c r="E32" s="73">
        <f t="shared" si="6"/>
        <v>2134</v>
      </c>
      <c r="F32" s="126">
        <f>VLOOKUP($B$3,'Data for Bill Impacts'!$A$3:$Y$15,25,0)</f>
        <v>4.6519999999999999E-3</v>
      </c>
      <c r="G32" s="22">
        <f>E32*F32</f>
        <v>9.9273679999999995</v>
      </c>
      <c r="H32" s="22">
        <f t="shared" si="1"/>
        <v>1.3913679999999999</v>
      </c>
      <c r="I32" s="23">
        <f t="shared" si="2"/>
        <v>0.16300000000000001</v>
      </c>
      <c r="J32" s="23">
        <f t="shared" si="10"/>
        <v>2.5038577286917239E-2</v>
      </c>
      <c r="K32" s="108">
        <f t="shared" si="11"/>
        <v>2.55120424562955E-2</v>
      </c>
    </row>
    <row r="33" spans="1:11" s="1" customFormat="1" x14ac:dyDescent="0.2">
      <c r="A33" s="110" t="s">
        <v>76</v>
      </c>
      <c r="B33" s="74"/>
      <c r="C33" s="35"/>
      <c r="D33" s="35">
        <f>SUM(D31:D32)</f>
        <v>22.1936</v>
      </c>
      <c r="E33" s="73"/>
      <c r="F33" s="35"/>
      <c r="G33" s="35">
        <f>SUM(G31:G32)</f>
        <v>22.957571999999999</v>
      </c>
      <c r="H33" s="35">
        <f t="shared" si="1"/>
        <v>0.76397199999999899</v>
      </c>
      <c r="I33" s="36">
        <f t="shared" si="2"/>
        <v>3.4423076923076876E-2</v>
      </c>
      <c r="J33" s="36">
        <f t="shared" si="10"/>
        <v>5.790305555732065E-2</v>
      </c>
      <c r="K33" s="111">
        <f t="shared" si="11"/>
        <v>5.8997969205680782E-2</v>
      </c>
    </row>
    <row r="34" spans="1:11" s="1" customFormat="1" ht="13.5" customHeight="1" x14ac:dyDescent="0.2">
      <c r="A34" s="110" t="s">
        <v>91</v>
      </c>
      <c r="B34" s="74"/>
      <c r="C34" s="35"/>
      <c r="D34" s="35">
        <f>D29+D33</f>
        <v>115.36760000000001</v>
      </c>
      <c r="E34" s="73"/>
      <c r="F34" s="35"/>
      <c r="G34" s="35">
        <f>G29+G33</f>
        <v>120.34157200000001</v>
      </c>
      <c r="H34" s="35">
        <f t="shared" si="1"/>
        <v>4.9739720000000034</v>
      </c>
      <c r="I34" s="36">
        <f t="shared" si="2"/>
        <v>4.3114115228192341E-2</v>
      </c>
      <c r="J34" s="36">
        <f t="shared" si="10"/>
        <v>0.30352272136492936</v>
      </c>
      <c r="K34" s="111">
        <f t="shared" si="11"/>
        <v>0.30926216234971265</v>
      </c>
    </row>
    <row r="35" spans="1:11" s="1" customFormat="1" ht="13.5" customHeight="1" x14ac:dyDescent="0.2">
      <c r="A35" s="110" t="s">
        <v>92</v>
      </c>
      <c r="B35" s="74"/>
      <c r="C35" s="35"/>
      <c r="D35" s="35">
        <f>D30+D33</f>
        <v>114.07986000000001</v>
      </c>
      <c r="E35" s="73"/>
      <c r="F35" s="35"/>
      <c r="G35" s="35">
        <f>G30+G33</f>
        <v>119.05383200000001</v>
      </c>
      <c r="H35" s="35">
        <f t="shared" si="1"/>
        <v>4.9739720000000034</v>
      </c>
      <c r="I35" s="36">
        <f t="shared" si="2"/>
        <v>4.3600789832666367E-2</v>
      </c>
      <c r="J35" s="36">
        <f t="shared" si="10"/>
        <v>0.30027481340831341</v>
      </c>
      <c r="K35" s="111">
        <f t="shared" si="11"/>
        <v>0.30595283831209569</v>
      </c>
    </row>
    <row r="36" spans="1:11" x14ac:dyDescent="0.2">
      <c r="A36" s="107" t="s">
        <v>42</v>
      </c>
      <c r="B36" s="73">
        <f>B8</f>
        <v>2134</v>
      </c>
      <c r="C36" s="34">
        <v>3.5999999999999999E-3</v>
      </c>
      <c r="D36" s="22">
        <f>B36*C36</f>
        <v>7.6823999999999995</v>
      </c>
      <c r="E36" s="73">
        <f t="shared" si="6"/>
        <v>2134</v>
      </c>
      <c r="F36" s="34">
        <v>3.5999999999999999E-3</v>
      </c>
      <c r="G36" s="22">
        <f>E36*F36</f>
        <v>7.6823999999999995</v>
      </c>
      <c r="H36" s="22">
        <f t="shared" si="1"/>
        <v>0</v>
      </c>
      <c r="I36" s="23">
        <f t="shared" si="2"/>
        <v>0</v>
      </c>
      <c r="J36" s="23">
        <f t="shared" si="10"/>
        <v>1.9376371073280753E-2</v>
      </c>
      <c r="K36" s="108">
        <f t="shared" si="11"/>
        <v>1.9742767163083364E-2</v>
      </c>
    </row>
    <row r="37" spans="1:11" x14ac:dyDescent="0.2">
      <c r="A37" s="107" t="s">
        <v>43</v>
      </c>
      <c r="B37" s="73">
        <f>B8</f>
        <v>2134</v>
      </c>
      <c r="C37" s="34">
        <v>2.0999999999999999E-3</v>
      </c>
      <c r="D37" s="22">
        <f>B37*C37</f>
        <v>4.4813999999999998</v>
      </c>
      <c r="E37" s="73">
        <f t="shared" si="6"/>
        <v>2134</v>
      </c>
      <c r="F37" s="34">
        <v>2.0999999999999999E-3</v>
      </c>
      <c r="G37" s="22">
        <f>E37*F37</f>
        <v>4.4813999999999998</v>
      </c>
      <c r="H37" s="22">
        <f>G37-D37</f>
        <v>0</v>
      </c>
      <c r="I37" s="23">
        <f t="shared" si="2"/>
        <v>0</v>
      </c>
      <c r="J37" s="23">
        <f t="shared" si="10"/>
        <v>1.1302883126080439E-2</v>
      </c>
      <c r="K37" s="108">
        <f t="shared" si="11"/>
        <v>1.1516614178465296E-2</v>
      </c>
    </row>
    <row r="38" spans="1:11" x14ac:dyDescent="0.2">
      <c r="A38" s="107" t="s">
        <v>96</v>
      </c>
      <c r="B38" s="73">
        <f>B8</f>
        <v>2134</v>
      </c>
      <c r="C38" s="34">
        <v>1.1000000000000001E-3</v>
      </c>
      <c r="D38" s="22">
        <f>B38*C38</f>
        <v>2.3473999999999999</v>
      </c>
      <c r="E38" s="73">
        <f t="shared" si="6"/>
        <v>2134</v>
      </c>
      <c r="F38" s="34">
        <v>1.1000000000000001E-3</v>
      </c>
      <c r="G38" s="22">
        <f>E38*F38</f>
        <v>2.3473999999999999</v>
      </c>
      <c r="H38" s="22">
        <f>G38-D38</f>
        <v>0</v>
      </c>
      <c r="I38" s="23">
        <f t="shared" ref="I38" si="12">IF(ISERROR(H38/D38),0,(H38/D38))</f>
        <v>0</v>
      </c>
      <c r="J38" s="23">
        <f t="shared" ref="J38" si="13">G38/$G$46</f>
        <v>5.9205578279468967E-3</v>
      </c>
      <c r="K38" s="108">
        <f t="shared" ref="K38" si="14">G38/$G$51</f>
        <v>6.0325121887199167E-3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6.305442008122707E-4</v>
      </c>
      <c r="K39" s="108">
        <f t="shared" si="11"/>
        <v>6.4246743085114564E-4</v>
      </c>
    </row>
    <row r="40" spans="1:11" s="1" customFormat="1" x14ac:dyDescent="0.2">
      <c r="A40" s="110" t="s">
        <v>45</v>
      </c>
      <c r="B40" s="74"/>
      <c r="C40" s="35"/>
      <c r="D40" s="35">
        <f>SUM(D36:D39)</f>
        <v>14.761199999999999</v>
      </c>
      <c r="E40" s="73"/>
      <c r="F40" s="35"/>
      <c r="G40" s="35">
        <f>SUM(G36:G39)</f>
        <v>14.761199999999999</v>
      </c>
      <c r="H40" s="35">
        <f t="shared" si="1"/>
        <v>0</v>
      </c>
      <c r="I40" s="36">
        <f t="shared" si="2"/>
        <v>0</v>
      </c>
      <c r="J40" s="36">
        <f t="shared" si="10"/>
        <v>3.7230356228120362E-2</v>
      </c>
      <c r="K40" s="111">
        <f t="shared" si="11"/>
        <v>3.7934360961119719E-2</v>
      </c>
    </row>
    <row r="41" spans="1:11" s="1" customFormat="1" ht="13.5" thickBot="1" x14ac:dyDescent="0.25">
      <c r="A41" s="112" t="s">
        <v>46</v>
      </c>
      <c r="B41" s="113">
        <f>B4</f>
        <v>2000</v>
      </c>
      <c r="C41" s="114">
        <v>7.0000000000000001E-3</v>
      </c>
      <c r="D41" s="115">
        <f>B41*C41</f>
        <v>14</v>
      </c>
      <c r="E41" s="116">
        <f t="shared" si="6"/>
        <v>2000</v>
      </c>
      <c r="F41" s="114">
        <f>C41</f>
        <v>7.0000000000000001E-3</v>
      </c>
      <c r="G41" s="115">
        <f>E41*F41</f>
        <v>14</v>
      </c>
      <c r="H41" s="115">
        <f t="shared" si="1"/>
        <v>0</v>
      </c>
      <c r="I41" s="117">
        <f t="shared" si="2"/>
        <v>0</v>
      </c>
      <c r="J41" s="117">
        <f t="shared" si="10"/>
        <v>3.5310475245487159E-2</v>
      </c>
      <c r="K41" s="118">
        <f t="shared" si="11"/>
        <v>3.5978176127664158E-2</v>
      </c>
    </row>
    <row r="42" spans="1:11" s="1" customFormat="1" x14ac:dyDescent="0.2">
      <c r="A42" s="37" t="s">
        <v>105</v>
      </c>
      <c r="B42" s="38"/>
      <c r="C42" s="39"/>
      <c r="D42" s="39">
        <f>SUM(D14,D25,D26,D27,D33,D40,D41)</f>
        <v>372.62880000000001</v>
      </c>
      <c r="E42" s="38"/>
      <c r="F42" s="39"/>
      <c r="G42" s="39">
        <f>SUM(G14,G25,G26,G27,G33,G40,G41)</f>
        <v>377.60277200000002</v>
      </c>
      <c r="H42" s="39">
        <f t="shared" si="1"/>
        <v>4.9739720000000034</v>
      </c>
      <c r="I42" s="40">
        <f>IF(ISERROR(H42/D42),0,(H42/D42))</f>
        <v>1.334832949036683E-2</v>
      </c>
      <c r="J42" s="40">
        <f t="shared" si="10"/>
        <v>0.95238095238095233</v>
      </c>
      <c r="K42" s="41"/>
    </row>
    <row r="43" spans="1:11" x14ac:dyDescent="0.2">
      <c r="A43" s="154" t="s">
        <v>106</v>
      </c>
      <c r="B43" s="43"/>
      <c r="C43" s="26">
        <v>0.13</v>
      </c>
      <c r="D43" s="26">
        <f>D42*C43</f>
        <v>48.441744</v>
      </c>
      <c r="E43" s="26"/>
      <c r="F43" s="26">
        <f>C43</f>
        <v>0.13</v>
      </c>
      <c r="G43" s="26">
        <f>G42*F43</f>
        <v>49.088360360000003</v>
      </c>
      <c r="H43" s="26">
        <f t="shared" si="1"/>
        <v>0.646616360000003</v>
      </c>
      <c r="I43" s="44">
        <f t="shared" si="2"/>
        <v>1.3348329490366883E-2</v>
      </c>
      <c r="J43" s="44">
        <f t="shared" si="10"/>
        <v>0.12380952380952381</v>
      </c>
      <c r="K43" s="45"/>
    </row>
    <row r="44" spans="1:11" s="1" customFormat="1" x14ac:dyDescent="0.2">
      <c r="A44" s="46" t="s">
        <v>107</v>
      </c>
      <c r="B44" s="24"/>
      <c r="C44" s="25"/>
      <c r="D44" s="25">
        <f>SUM(D42:D43)</f>
        <v>421.07054400000004</v>
      </c>
      <c r="E44" s="25"/>
      <c r="F44" s="25"/>
      <c r="G44" s="25">
        <f>SUM(G42:G43)</f>
        <v>426.69113236000004</v>
      </c>
      <c r="H44" s="25">
        <f t="shared" si="1"/>
        <v>5.6205883599999993</v>
      </c>
      <c r="I44" s="27">
        <f t="shared" si="2"/>
        <v>1.3348329490366817E-2</v>
      </c>
      <c r="J44" s="27">
        <f t="shared" si="10"/>
        <v>1.0761904761904761</v>
      </c>
      <c r="K44" s="47"/>
    </row>
    <row r="45" spans="1:11" x14ac:dyDescent="0.2">
      <c r="A45" s="42" t="s">
        <v>108</v>
      </c>
      <c r="B45" s="43"/>
      <c r="C45" s="26">
        <v>-0.08</v>
      </c>
      <c r="D45" s="26">
        <f>D42*C45</f>
        <v>-29.810304000000002</v>
      </c>
      <c r="E45" s="26"/>
      <c r="F45" s="26">
        <f>C45</f>
        <v>-0.08</v>
      </c>
      <c r="G45" s="26">
        <f>G42*F45</f>
        <v>-30.208221760000001</v>
      </c>
      <c r="H45" s="26">
        <f t="shared" si="1"/>
        <v>-0.39791775999999857</v>
      </c>
      <c r="I45" s="44">
        <f t="shared" si="2"/>
        <v>1.3348329490366772E-2</v>
      </c>
      <c r="J45" s="44">
        <f t="shared" si="10"/>
        <v>-7.6190476190476183E-2</v>
      </c>
      <c r="K45" s="45"/>
    </row>
    <row r="46" spans="1:11" s="1" customFormat="1" ht="13.5" thickBot="1" x14ac:dyDescent="0.25">
      <c r="A46" s="48" t="s">
        <v>109</v>
      </c>
      <c r="B46" s="49"/>
      <c r="C46" s="50"/>
      <c r="D46" s="50">
        <f>SUM(D44:D45)</f>
        <v>391.26024000000007</v>
      </c>
      <c r="E46" s="50"/>
      <c r="F46" s="50"/>
      <c r="G46" s="50">
        <f>SUM(G44:G45)</f>
        <v>396.48291060000003</v>
      </c>
      <c r="H46" s="50">
        <f t="shared" si="1"/>
        <v>5.2226705999999581</v>
      </c>
      <c r="I46" s="51">
        <f t="shared" si="2"/>
        <v>1.3348329490366712E-2</v>
      </c>
      <c r="J46" s="51">
        <f t="shared" si="10"/>
        <v>1</v>
      </c>
      <c r="K46" s="52"/>
    </row>
    <row r="47" spans="1:11" x14ac:dyDescent="0.2">
      <c r="A47" s="53" t="s">
        <v>110</v>
      </c>
      <c r="B47" s="54"/>
      <c r="C47" s="55"/>
      <c r="D47" s="55">
        <f>SUM(D18,D25,D26,D28,D33,D40,D41)</f>
        <v>365.62106</v>
      </c>
      <c r="E47" s="55"/>
      <c r="F47" s="55"/>
      <c r="G47" s="55">
        <f>SUM(G18,G25,G26,G28,G33,G40,G41)</f>
        <v>370.595032</v>
      </c>
      <c r="H47" s="55">
        <f>G47-D47</f>
        <v>4.9739720000000034</v>
      </c>
      <c r="I47" s="56">
        <f>IF(ISERROR(H47/D47),0,(H47/D47))</f>
        <v>1.360417258239994E-2</v>
      </c>
      <c r="J47" s="56"/>
      <c r="K47" s="57">
        <f>G47/$G$51</f>
        <v>0.95238095238095244</v>
      </c>
    </row>
    <row r="48" spans="1:11" x14ac:dyDescent="0.2">
      <c r="A48" s="58" t="s">
        <v>106</v>
      </c>
      <c r="B48" s="59"/>
      <c r="C48" s="31">
        <v>0.13</v>
      </c>
      <c r="D48" s="31">
        <f>D47*C48</f>
        <v>47.530737800000004</v>
      </c>
      <c r="E48" s="31"/>
      <c r="F48" s="31">
        <f>C48</f>
        <v>0.13</v>
      </c>
      <c r="G48" s="31">
        <f>G47*F48</f>
        <v>48.17735416</v>
      </c>
      <c r="H48" s="31">
        <f>G48-D48</f>
        <v>0.64661635999999589</v>
      </c>
      <c r="I48" s="32">
        <f>IF(ISERROR(H48/D48),0,(H48/D48))</f>
        <v>1.3604172582399843E-2</v>
      </c>
      <c r="J48" s="32"/>
      <c r="K48" s="60">
        <f>G48/$G$51</f>
        <v>0.12380952380952381</v>
      </c>
    </row>
    <row r="49" spans="1:11" x14ac:dyDescent="0.2">
      <c r="A49" s="150" t="s">
        <v>111</v>
      </c>
      <c r="B49" s="29"/>
      <c r="C49" s="30"/>
      <c r="D49" s="30">
        <f>SUM(D47:D48)</f>
        <v>413.1517978</v>
      </c>
      <c r="E49" s="30"/>
      <c r="F49" s="30"/>
      <c r="G49" s="30">
        <f>SUM(G47:G48)</f>
        <v>418.77238616</v>
      </c>
      <c r="H49" s="30">
        <f>G49-D49</f>
        <v>5.6205883599999993</v>
      </c>
      <c r="I49" s="33">
        <f>IF(ISERROR(H49/D49),0,(H49/D49))</f>
        <v>1.360417258239993E-2</v>
      </c>
      <c r="J49" s="33"/>
      <c r="K49" s="62">
        <f>G49/$G$51</f>
        <v>1.0761904761904761</v>
      </c>
    </row>
    <row r="50" spans="1:11" x14ac:dyDescent="0.2">
      <c r="A50" s="58" t="s">
        <v>108</v>
      </c>
      <c r="B50" s="59"/>
      <c r="C50" s="31">
        <v>-0.08</v>
      </c>
      <c r="D50" s="31">
        <f>D47*C50</f>
        <v>-29.249684800000001</v>
      </c>
      <c r="E50" s="31"/>
      <c r="F50" s="31">
        <f>C50</f>
        <v>-0.08</v>
      </c>
      <c r="G50" s="31">
        <f>G47*F50</f>
        <v>-29.647602559999999</v>
      </c>
      <c r="H50" s="31">
        <f>G50-D50</f>
        <v>-0.39791775999999857</v>
      </c>
      <c r="I50" s="32">
        <f>IF(ISERROR(H50/D50),0,(H50/D50))</f>
        <v>1.3604172582399881E-2</v>
      </c>
      <c r="J50" s="32"/>
      <c r="K50" s="60">
        <f>G50/$G$51</f>
        <v>-7.6190476190476183E-2</v>
      </c>
    </row>
    <row r="51" spans="1:11" ht="13.5" thickBot="1" x14ac:dyDescent="0.25">
      <c r="A51" s="63" t="s">
        <v>121</v>
      </c>
      <c r="B51" s="64"/>
      <c r="C51" s="65"/>
      <c r="D51" s="65">
        <f>SUM(D49:D50)</f>
        <v>383.90211299999999</v>
      </c>
      <c r="E51" s="65"/>
      <c r="F51" s="65"/>
      <c r="G51" s="65">
        <f>SUM(G49:G50)</f>
        <v>389.1247836</v>
      </c>
      <c r="H51" s="65">
        <f>G51-D51</f>
        <v>5.2226706000000149</v>
      </c>
      <c r="I51" s="66">
        <f>IF(ISERROR(H51/D51),0,(H51/D51))</f>
        <v>1.360417258239997E-2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120</v>
      </c>
      <c r="B1" s="192"/>
      <c r="C1" s="192"/>
      <c r="D1" s="192"/>
      <c r="E1" s="192"/>
      <c r="F1" s="192"/>
      <c r="G1" s="192"/>
      <c r="H1" s="192"/>
      <c r="I1" s="192"/>
      <c r="J1" s="192"/>
      <c r="K1" s="193"/>
    </row>
    <row r="3" spans="1:11" x14ac:dyDescent="0.2">
      <c r="A3" s="13" t="s">
        <v>13</v>
      </c>
      <c r="B3" s="13" t="s">
        <v>6</v>
      </c>
    </row>
    <row r="4" spans="1:11" x14ac:dyDescent="0.2">
      <c r="A4" s="15" t="s">
        <v>62</v>
      </c>
      <c r="B4" s="169">
        <f>VLOOKUP(B3,'Data for Bill Impacts'!A19:D32,3,FALSE)</f>
        <v>2759</v>
      </c>
    </row>
    <row r="5" spans="1:11" x14ac:dyDescent="0.2">
      <c r="A5" s="15" t="s">
        <v>16</v>
      </c>
      <c r="B5" s="169">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69">
        <f>B4*B6</f>
        <v>2943.8530000000001</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0.1424336629695756</v>
      </c>
      <c r="K12" s="106"/>
    </row>
    <row r="13" spans="1:11" x14ac:dyDescent="0.2">
      <c r="A13" s="107" t="s">
        <v>32</v>
      </c>
      <c r="B13" s="73">
        <f>IF(B4&gt;B7,(B4)-B7,0)</f>
        <v>2009</v>
      </c>
      <c r="C13" s="21">
        <v>0.121</v>
      </c>
      <c r="D13" s="22">
        <f>B13*C13</f>
        <v>243.089</v>
      </c>
      <c r="E13" s="73">
        <f t="shared" ref="E13" si="0">B13</f>
        <v>2009</v>
      </c>
      <c r="F13" s="21">
        <f>C13</f>
        <v>0.121</v>
      </c>
      <c r="G13" s="22">
        <f>E13*F13</f>
        <v>243.089</v>
      </c>
      <c r="H13" s="22">
        <f t="shared" ref="H13:H46" si="1">G13-D13</f>
        <v>0</v>
      </c>
      <c r="I13" s="23">
        <f t="shared" ref="I13:I46" si="2">IF(ISERROR(H13/D13),0,(H13/D13))</f>
        <v>0</v>
      </c>
      <c r="J13" s="23">
        <f>G13/$G$46</f>
        <v>0.44820785369075944</v>
      </c>
      <c r="K13" s="108"/>
    </row>
    <row r="14" spans="1:11" s="1" customFormat="1" x14ac:dyDescent="0.2">
      <c r="A14" s="46" t="s">
        <v>33</v>
      </c>
      <c r="B14" s="24"/>
      <c r="C14" s="25"/>
      <c r="D14" s="25">
        <f>SUM(D12:D13)</f>
        <v>320.339</v>
      </c>
      <c r="E14" s="76"/>
      <c r="F14" s="25"/>
      <c r="G14" s="25">
        <f>SUM(G12:G13)</f>
        <v>320.339</v>
      </c>
      <c r="H14" s="25">
        <f t="shared" si="1"/>
        <v>0</v>
      </c>
      <c r="I14" s="27">
        <f t="shared" si="2"/>
        <v>0</v>
      </c>
      <c r="J14" s="27">
        <f>G14/$G$46</f>
        <v>0.59064151666033504</v>
      </c>
      <c r="K14" s="108"/>
    </row>
    <row r="15" spans="1:11" s="1" customFormat="1" x14ac:dyDescent="0.2">
      <c r="A15" s="109" t="s">
        <v>34</v>
      </c>
      <c r="B15" s="75">
        <f>B4*0.65</f>
        <v>1793.3500000000001</v>
      </c>
      <c r="C15" s="28">
        <v>8.6999999999999994E-2</v>
      </c>
      <c r="D15" s="22">
        <f>B15*C15</f>
        <v>156.02144999999999</v>
      </c>
      <c r="E15" s="73">
        <f t="shared" ref="E15:F17" si="3">B15</f>
        <v>1793.3500000000001</v>
      </c>
      <c r="F15" s="28">
        <f t="shared" si="3"/>
        <v>8.6999999999999994E-2</v>
      </c>
      <c r="G15" s="22">
        <f>E15*F15</f>
        <v>156.02144999999999</v>
      </c>
      <c r="H15" s="22">
        <f t="shared" si="1"/>
        <v>0</v>
      </c>
      <c r="I15" s="23">
        <f t="shared" si="2"/>
        <v>0</v>
      </c>
      <c r="J15" s="23"/>
      <c r="K15" s="108">
        <f t="shared" ref="K15:K26" si="4">G15/$G$51</f>
        <v>0.29615265488246451</v>
      </c>
    </row>
    <row r="16" spans="1:11" s="1" customFormat="1" x14ac:dyDescent="0.2">
      <c r="A16" s="109" t="s">
        <v>35</v>
      </c>
      <c r="B16" s="75">
        <f>B4*0.17</f>
        <v>469.03000000000003</v>
      </c>
      <c r="C16" s="28">
        <v>0.13200000000000001</v>
      </c>
      <c r="D16" s="22">
        <f>B16*C16</f>
        <v>61.911960000000008</v>
      </c>
      <c r="E16" s="73">
        <f t="shared" si="3"/>
        <v>469.03000000000003</v>
      </c>
      <c r="F16" s="28">
        <f t="shared" si="3"/>
        <v>0.13200000000000001</v>
      </c>
      <c r="G16" s="22">
        <f>E16*F16</f>
        <v>61.911960000000008</v>
      </c>
      <c r="H16" s="22">
        <f t="shared" si="1"/>
        <v>0</v>
      </c>
      <c r="I16" s="23">
        <f t="shared" si="2"/>
        <v>0</v>
      </c>
      <c r="J16" s="23"/>
      <c r="K16" s="108">
        <f t="shared" si="4"/>
        <v>0.11751840098253766</v>
      </c>
    </row>
    <row r="17" spans="1:11" s="1" customFormat="1" x14ac:dyDescent="0.2">
      <c r="A17" s="109" t="s">
        <v>36</v>
      </c>
      <c r="B17" s="75">
        <f>B4*0.18</f>
        <v>496.62</v>
      </c>
      <c r="C17" s="28">
        <v>0.18</v>
      </c>
      <c r="D17" s="22">
        <f>B17*C17</f>
        <v>89.391599999999997</v>
      </c>
      <c r="E17" s="73">
        <f t="shared" si="3"/>
        <v>496.62</v>
      </c>
      <c r="F17" s="28">
        <f t="shared" si="3"/>
        <v>0.18</v>
      </c>
      <c r="G17" s="22">
        <f>E17*F17</f>
        <v>89.391599999999997</v>
      </c>
      <c r="H17" s="22">
        <f t="shared" si="1"/>
        <v>0</v>
      </c>
      <c r="I17" s="23">
        <f t="shared" si="2"/>
        <v>0</v>
      </c>
      <c r="J17" s="23"/>
      <c r="K17" s="108">
        <f t="shared" si="4"/>
        <v>0.16967897468066931</v>
      </c>
    </row>
    <row r="18" spans="1:11" s="1" customFormat="1" x14ac:dyDescent="0.2">
      <c r="A18" s="61" t="s">
        <v>37</v>
      </c>
      <c r="B18" s="29"/>
      <c r="C18" s="30"/>
      <c r="D18" s="30">
        <f>SUM(D15:D17)</f>
        <v>307.32500999999996</v>
      </c>
      <c r="E18" s="77"/>
      <c r="F18" s="30"/>
      <c r="G18" s="30">
        <f>SUM(G15:G17)</f>
        <v>307.32500999999996</v>
      </c>
      <c r="H18" s="31">
        <f t="shared" si="1"/>
        <v>0</v>
      </c>
      <c r="I18" s="32">
        <f t="shared" si="2"/>
        <v>0</v>
      </c>
      <c r="J18" s="33">
        <f t="shared" ref="J18:J23" si="5">G18/$G$46</f>
        <v>0.56664630286681483</v>
      </c>
      <c r="K18" s="62">
        <f t="shared" si="4"/>
        <v>0.58335003054567147</v>
      </c>
    </row>
    <row r="19" spans="1:11" x14ac:dyDescent="0.2">
      <c r="A19" s="107" t="s">
        <v>38</v>
      </c>
      <c r="B19" s="73">
        <v>1</v>
      </c>
      <c r="C19" s="78">
        <f>VLOOKUP($B$3,'Data for Bill Impacts'!$A$3:$Y$15,7,0)</f>
        <v>23.3</v>
      </c>
      <c r="D19" s="22">
        <f>B19*C19</f>
        <v>23.3</v>
      </c>
      <c r="E19" s="73">
        <f t="shared" ref="E19:E41" si="6">B19</f>
        <v>1</v>
      </c>
      <c r="F19" s="78">
        <f>VLOOKUP($B$3,'Data for Bill Impacts'!$A$3:$Y$15,17,0)</f>
        <v>23.97</v>
      </c>
      <c r="G19" s="22">
        <f>E19*F19</f>
        <v>23.97</v>
      </c>
      <c r="H19" s="22">
        <f t="shared" si="1"/>
        <v>0.66999999999999815</v>
      </c>
      <c r="I19" s="23">
        <f t="shared" si="2"/>
        <v>2.8755364806866874E-2</v>
      </c>
      <c r="J19" s="23">
        <f t="shared" si="5"/>
        <v>4.4195921053472198E-2</v>
      </c>
      <c r="K19" s="108">
        <f t="shared" si="4"/>
        <v>4.5498738394834003E-2</v>
      </c>
    </row>
    <row r="20" spans="1:11" hidden="1" x14ac:dyDescent="0.2">
      <c r="A20" s="107" t="s">
        <v>114</v>
      </c>
      <c r="B20" s="73">
        <v>1</v>
      </c>
      <c r="C20" s="78">
        <f>VLOOKUP($B$3,'Data for Bill Impacts'!$A$3:$Y$15,11,0)</f>
        <v>0</v>
      </c>
      <c r="D20" s="22">
        <f t="shared" ref="D20:D21" si="7">B20*C20</f>
        <v>0</v>
      </c>
      <c r="E20" s="73">
        <f t="shared" si="6"/>
        <v>1</v>
      </c>
      <c r="F20" s="122">
        <f>VLOOKUP($B$3,'Data for Bill Impacts'!$A$3:$Y$15,12,0)</f>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0.67</v>
      </c>
      <c r="D21" s="22">
        <f t="shared" si="7"/>
        <v>0.67</v>
      </c>
      <c r="E21" s="73">
        <f t="shared" si="6"/>
        <v>1</v>
      </c>
      <c r="F21" s="122">
        <f>VLOOKUP($B$3,'Data for Bill Impacts'!$A$3:$Y$15,22,0)</f>
        <v>0.01</v>
      </c>
      <c r="G21" s="22">
        <f t="shared" si="8"/>
        <v>0.01</v>
      </c>
      <c r="H21" s="22">
        <f t="shared" si="1"/>
        <v>-0.66</v>
      </c>
      <c r="I21" s="23">
        <f t="shared" si="2"/>
        <v>-0.9850746268656716</v>
      </c>
      <c r="J21" s="23">
        <f t="shared" si="5"/>
        <v>1.8438014623893285E-5</v>
      </c>
      <c r="K21" s="108">
        <f t="shared" si="4"/>
        <v>1.8981534582742599E-5</v>
      </c>
    </row>
    <row r="22" spans="1:11" hidden="1" x14ac:dyDescent="0.2">
      <c r="A22" s="107" t="s">
        <v>123</v>
      </c>
      <c r="B22" s="73">
        <f>B4</f>
        <v>2759</v>
      </c>
      <c r="C22" s="78">
        <v>0</v>
      </c>
      <c r="D22" s="22">
        <f>B22*C22</f>
        <v>0</v>
      </c>
      <c r="E22" s="73">
        <f>B22</f>
        <v>2759</v>
      </c>
      <c r="F22" s="78">
        <f>C22</f>
        <v>0</v>
      </c>
      <c r="G22" s="22">
        <f>E22*F22</f>
        <v>0</v>
      </c>
      <c r="H22" s="22">
        <f>G22-D22</f>
        <v>0</v>
      </c>
      <c r="I22" s="23">
        <f>IF(ISERROR(H22/D22),0,(H22/D22))</f>
        <v>0</v>
      </c>
      <c r="J22" s="23">
        <f t="shared" si="5"/>
        <v>0</v>
      </c>
      <c r="K22" s="108">
        <f t="shared" si="4"/>
        <v>0</v>
      </c>
    </row>
    <row r="23" spans="1:11" x14ac:dyDescent="0.2">
      <c r="A23" s="107" t="s">
        <v>39</v>
      </c>
      <c r="B23" s="73">
        <f>IF($B$9="kWh",$B$4,$B$5)</f>
        <v>2759</v>
      </c>
      <c r="C23" s="78">
        <f>VLOOKUP($B$3,'Data for Bill Impacts'!$A$3:$Y$15,10,0)</f>
        <v>2.6200000000000001E-2</v>
      </c>
      <c r="D23" s="22">
        <f>B23*C23</f>
        <v>72.285800000000009</v>
      </c>
      <c r="E23" s="73">
        <f t="shared" si="6"/>
        <v>2759</v>
      </c>
      <c r="F23" s="126">
        <f>VLOOKUP($B$3,'Data for Bill Impacts'!$A$3:$Y$15,19,0)</f>
        <v>2.8000000000000001E-2</v>
      </c>
      <c r="G23" s="22">
        <f>E23*F23</f>
        <v>77.251999999999995</v>
      </c>
      <c r="H23" s="22">
        <f t="shared" si="1"/>
        <v>4.9661999999999864</v>
      </c>
      <c r="I23" s="23">
        <f t="shared" si="2"/>
        <v>6.8702290076335687E-2</v>
      </c>
      <c r="J23" s="23">
        <f t="shared" si="5"/>
        <v>0.14243735057250037</v>
      </c>
      <c r="K23" s="108">
        <f t="shared" si="4"/>
        <v>0.14663615095860311</v>
      </c>
    </row>
    <row r="24" spans="1:11" x14ac:dyDescent="0.2">
      <c r="A24" s="107" t="s">
        <v>124</v>
      </c>
      <c r="B24" s="73">
        <f>IF($B$9="kWh",$B$4,$B$5)</f>
        <v>2759</v>
      </c>
      <c r="C24" s="78">
        <f>VLOOKUP($B$3,'Data for Bill Impacts'!$A$3:$Y$15,14,0)</f>
        <v>-1E-4</v>
      </c>
      <c r="D24" s="22">
        <f>B24*C24</f>
        <v>-0.27590000000000003</v>
      </c>
      <c r="E24" s="73">
        <f t="shared" si="6"/>
        <v>2759</v>
      </c>
      <c r="F24" s="126">
        <f>VLOOKUP($B$3,'Data for Bill Impacts'!$A$3:$Y$15,23,0)</f>
        <v>2.0000000000000001E-4</v>
      </c>
      <c r="G24" s="22">
        <f>E24*F24</f>
        <v>0.55180000000000007</v>
      </c>
      <c r="H24" s="22">
        <f t="shared" si="1"/>
        <v>0.8277000000000001</v>
      </c>
      <c r="I24" s="23">
        <f>IF(ISERROR(H24/D24),0,(H24/D24))</f>
        <v>-3</v>
      </c>
      <c r="J24" s="23">
        <f t="shared" ref="J24" si="9">G24/$G$46</f>
        <v>1.0174096469464315E-3</v>
      </c>
      <c r="K24" s="108">
        <f t="shared" si="4"/>
        <v>1.0474010782757367E-3</v>
      </c>
    </row>
    <row r="25" spans="1:11" s="1" customFormat="1" x14ac:dyDescent="0.2">
      <c r="A25" s="110" t="s">
        <v>72</v>
      </c>
      <c r="B25" s="74"/>
      <c r="C25" s="35"/>
      <c r="D25" s="35">
        <f>SUM(D19:D24)</f>
        <v>95.979900000000015</v>
      </c>
      <c r="E25" s="73"/>
      <c r="F25" s="35"/>
      <c r="G25" s="35">
        <f>SUM(G19:G24)</f>
        <v>101.7838</v>
      </c>
      <c r="H25" s="35">
        <f t="shared" si="1"/>
        <v>5.8038999999999845</v>
      </c>
      <c r="I25" s="36">
        <f t="shared" si="2"/>
        <v>6.0469952562984368E-2</v>
      </c>
      <c r="J25" s="36">
        <f>G25/$G$46</f>
        <v>0.1876691192875429</v>
      </c>
      <c r="K25" s="111">
        <f t="shared" si="4"/>
        <v>0.19320127196629561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1.4566031552875694E-3</v>
      </c>
      <c r="K26" s="108">
        <f t="shared" si="4"/>
        <v>1.4995412320366653E-3</v>
      </c>
    </row>
    <row r="27" spans="1:11" s="1" customFormat="1" x14ac:dyDescent="0.2">
      <c r="A27" s="119" t="s">
        <v>75</v>
      </c>
      <c r="B27" s="120">
        <f>B8-B4</f>
        <v>184.85300000000007</v>
      </c>
      <c r="C27" s="121">
        <f>IF(B4&gt;B7,C13,C12)</f>
        <v>0.121</v>
      </c>
      <c r="D27" s="22">
        <f>B27*C27</f>
        <v>22.367213000000007</v>
      </c>
      <c r="E27" s="73">
        <f>B27</f>
        <v>184.85300000000007</v>
      </c>
      <c r="F27" s="121">
        <f>C27</f>
        <v>0.121</v>
      </c>
      <c r="G27" s="22">
        <f>E27*F27</f>
        <v>22.367213000000007</v>
      </c>
      <c r="H27" s="22">
        <f t="shared" si="1"/>
        <v>0</v>
      </c>
      <c r="I27" s="23">
        <f>IF(ISERROR(H27/D27),0,(H27/D27))</f>
        <v>0</v>
      </c>
      <c r="J27" s="23">
        <f t="shared" ref="J27:J46" si="10">G27/$G$46</f>
        <v>4.1240700038973607E-2</v>
      </c>
      <c r="K27" s="108">
        <f t="shared" ref="K27:K41" si="11">G27/$G$51</f>
        <v>4.2456402707906994E-2</v>
      </c>
    </row>
    <row r="28" spans="1:11" s="1" customFormat="1" x14ac:dyDescent="0.2">
      <c r="A28" s="119" t="s">
        <v>74</v>
      </c>
      <c r="B28" s="120">
        <f>B8-B4</f>
        <v>184.85300000000007</v>
      </c>
      <c r="C28" s="121">
        <f>0.65*C15+0.17*C16+0.18*C17</f>
        <v>0.11139</v>
      </c>
      <c r="D28" s="22">
        <f>B28*C28</f>
        <v>20.590775670000006</v>
      </c>
      <c r="E28" s="73">
        <f>B28</f>
        <v>184.85300000000007</v>
      </c>
      <c r="F28" s="121">
        <f>C28</f>
        <v>0.11139</v>
      </c>
      <c r="G28" s="22">
        <f>E28*F28</f>
        <v>20.590775670000006</v>
      </c>
      <c r="H28" s="22">
        <f t="shared" si="1"/>
        <v>0</v>
      </c>
      <c r="I28" s="23">
        <f>IF(ISERROR(H28/D28),0,(H28/D28))</f>
        <v>0</v>
      </c>
      <c r="J28" s="23">
        <f t="shared" si="10"/>
        <v>3.7965302292076612E-2</v>
      </c>
      <c r="K28" s="108">
        <f t="shared" si="11"/>
        <v>3.9084452046560005E-2</v>
      </c>
    </row>
    <row r="29" spans="1:11" s="1" customFormat="1" x14ac:dyDescent="0.2">
      <c r="A29" s="110" t="s">
        <v>78</v>
      </c>
      <c r="B29" s="74"/>
      <c r="C29" s="35"/>
      <c r="D29" s="35">
        <f>SUM(D25,D26:D27)</f>
        <v>119.13711300000003</v>
      </c>
      <c r="E29" s="73"/>
      <c r="F29" s="35"/>
      <c r="G29" s="35">
        <f>SUM(G25,G26:G27)</f>
        <v>124.94101300000001</v>
      </c>
      <c r="H29" s="35">
        <f t="shared" si="1"/>
        <v>5.8038999999999845</v>
      </c>
      <c r="I29" s="36">
        <f>IF(ISERROR(H29/D29),0,(H29/D29))</f>
        <v>4.8716137682469969E-2</v>
      </c>
      <c r="J29" s="36">
        <f t="shared" si="10"/>
        <v>0.23036642248180411</v>
      </c>
      <c r="K29" s="111">
        <f t="shared" si="11"/>
        <v>0.23715721590623928</v>
      </c>
    </row>
    <row r="30" spans="1:11" s="1" customFormat="1" x14ac:dyDescent="0.2">
      <c r="A30" s="110" t="s">
        <v>77</v>
      </c>
      <c r="B30" s="74"/>
      <c r="C30" s="35"/>
      <c r="D30" s="35">
        <f>SUM(D25,D26,D28)</f>
        <v>117.36067567000003</v>
      </c>
      <c r="E30" s="73"/>
      <c r="F30" s="35"/>
      <c r="G30" s="35">
        <f>SUM(G25,G26,G28)</f>
        <v>123.16457567</v>
      </c>
      <c r="H30" s="35">
        <f t="shared" si="1"/>
        <v>5.8038999999999703</v>
      </c>
      <c r="I30" s="36">
        <f>IF(ISERROR(H30/D30),0,(H30/D30))</f>
        <v>4.9453532598258333E-2</v>
      </c>
      <c r="J30" s="36">
        <f t="shared" si="10"/>
        <v>0.22709102473490708</v>
      </c>
      <c r="K30" s="111">
        <f t="shared" si="11"/>
        <v>0.23378526524489227</v>
      </c>
    </row>
    <row r="31" spans="1:11" x14ac:dyDescent="0.2">
      <c r="A31" s="107" t="s">
        <v>40</v>
      </c>
      <c r="B31" s="73">
        <f>B8</f>
        <v>2943.8530000000001</v>
      </c>
      <c r="C31" s="78">
        <f>VLOOKUP($B$3,'Data for Bill Impacts'!$A$3:$Y$15,15,0)</f>
        <v>6.4000000000000003E-3</v>
      </c>
      <c r="D31" s="22">
        <f>B31*C31</f>
        <v>18.840659200000001</v>
      </c>
      <c r="E31" s="73">
        <f t="shared" si="6"/>
        <v>2943.8530000000001</v>
      </c>
      <c r="F31" s="126">
        <f>VLOOKUP($B$3,'Data for Bill Impacts'!$A$3:$Y$15,24,0)</f>
        <v>6.1060000000000003E-3</v>
      </c>
      <c r="G31" s="22">
        <f>E31*F31</f>
        <v>17.975166418000001</v>
      </c>
      <c r="H31" s="22">
        <f t="shared" si="1"/>
        <v>-0.86549278200000046</v>
      </c>
      <c r="I31" s="23">
        <f t="shared" si="2"/>
        <v>-4.593750000000002E-2</v>
      </c>
      <c r="J31" s="23">
        <f t="shared" si="10"/>
        <v>3.3142638128199946E-2</v>
      </c>
      <c r="K31" s="108">
        <f t="shared" si="11"/>
        <v>3.4119624299382041E-2</v>
      </c>
    </row>
    <row r="32" spans="1:11" x14ac:dyDescent="0.2">
      <c r="A32" s="107" t="s">
        <v>41</v>
      </c>
      <c r="B32" s="73">
        <f>B8</f>
        <v>2943.8530000000001</v>
      </c>
      <c r="C32" s="126">
        <f>VLOOKUP($B$3,'Data for Bill Impacts'!$A$3:$Y$15,16,0)</f>
        <v>4.0000000000000001E-3</v>
      </c>
      <c r="D32" s="22">
        <f>B32*C32</f>
        <v>11.775412000000001</v>
      </c>
      <c r="E32" s="73">
        <f t="shared" si="6"/>
        <v>2943.8530000000001</v>
      </c>
      <c r="F32" s="126">
        <f>VLOOKUP($B$3,'Data for Bill Impacts'!$A$3:$Y$15,25,0)</f>
        <v>4.6519999999999999E-3</v>
      </c>
      <c r="G32" s="22">
        <f>E32*F32</f>
        <v>13.694804156</v>
      </c>
      <c r="H32" s="22">
        <f t="shared" si="1"/>
        <v>1.9193921559999989</v>
      </c>
      <c r="I32" s="23">
        <f t="shared" si="2"/>
        <v>0.16299999999999989</v>
      </c>
      <c r="J32" s="23">
        <f t="shared" si="10"/>
        <v>2.5250499929968251E-2</v>
      </c>
      <c r="K32" s="108">
        <f t="shared" si="11"/>
        <v>2.5994839869100107E-2</v>
      </c>
    </row>
    <row r="33" spans="1:11" s="1" customFormat="1" x14ac:dyDescent="0.2">
      <c r="A33" s="110" t="s">
        <v>76</v>
      </c>
      <c r="B33" s="74"/>
      <c r="C33" s="35"/>
      <c r="D33" s="35">
        <f>SUM(D31:D32)</f>
        <v>30.6160712</v>
      </c>
      <c r="E33" s="73"/>
      <c r="F33" s="35"/>
      <c r="G33" s="35">
        <f>SUM(G31:G32)</f>
        <v>31.669970574000001</v>
      </c>
      <c r="H33" s="35">
        <f t="shared" si="1"/>
        <v>1.0538993740000002</v>
      </c>
      <c r="I33" s="36">
        <f t="shared" si="2"/>
        <v>3.4423076923076931E-2</v>
      </c>
      <c r="J33" s="36">
        <f t="shared" si="10"/>
        <v>5.8393138058168197E-2</v>
      </c>
      <c r="K33" s="111">
        <f t="shared" si="11"/>
        <v>6.0114464168482144E-2</v>
      </c>
    </row>
    <row r="34" spans="1:11" s="1" customFormat="1" ht="13.5" customHeight="1" x14ac:dyDescent="0.2">
      <c r="A34" s="110" t="s">
        <v>91</v>
      </c>
      <c r="B34" s="74"/>
      <c r="C34" s="35"/>
      <c r="D34" s="35">
        <f>D29+D33</f>
        <v>149.75318420000002</v>
      </c>
      <c r="E34" s="73"/>
      <c r="F34" s="35"/>
      <c r="G34" s="35">
        <f>G29+G33</f>
        <v>156.61098357400002</v>
      </c>
      <c r="H34" s="35">
        <f t="shared" si="1"/>
        <v>6.8577993739999954</v>
      </c>
      <c r="I34" s="36">
        <f t="shared" si="2"/>
        <v>4.5794013734233467E-2</v>
      </c>
      <c r="J34" s="36">
        <f t="shared" si="10"/>
        <v>0.28875956053997232</v>
      </c>
      <c r="K34" s="111">
        <f t="shared" si="11"/>
        <v>0.29727168007472143</v>
      </c>
    </row>
    <row r="35" spans="1:11" s="1" customFormat="1" ht="13.5" customHeight="1" x14ac:dyDescent="0.2">
      <c r="A35" s="110" t="s">
        <v>92</v>
      </c>
      <c r="B35" s="74"/>
      <c r="C35" s="35"/>
      <c r="D35" s="35">
        <f>D30+D33</f>
        <v>147.97674687000003</v>
      </c>
      <c r="E35" s="73"/>
      <c r="F35" s="35"/>
      <c r="G35" s="35">
        <f>G30+G33</f>
        <v>154.83454624399999</v>
      </c>
      <c r="H35" s="35">
        <f t="shared" si="1"/>
        <v>6.857799373999967</v>
      </c>
      <c r="I35" s="36">
        <f t="shared" si="2"/>
        <v>4.6343763591617911E-2</v>
      </c>
      <c r="J35" s="36">
        <f t="shared" si="10"/>
        <v>0.28548416279307526</v>
      </c>
      <c r="K35" s="111">
        <f t="shared" si="11"/>
        <v>0.29389972941337439</v>
      </c>
    </row>
    <row r="36" spans="1:11" x14ac:dyDescent="0.2">
      <c r="A36" s="107" t="s">
        <v>42</v>
      </c>
      <c r="B36" s="73">
        <f>B8</f>
        <v>2943.8530000000001</v>
      </c>
      <c r="C36" s="34">
        <v>3.5999999999999999E-3</v>
      </c>
      <c r="D36" s="22">
        <f>B36*C36</f>
        <v>10.597870800000001</v>
      </c>
      <c r="E36" s="73">
        <f t="shared" si="6"/>
        <v>2943.8530000000001</v>
      </c>
      <c r="F36" s="34">
        <v>3.5999999999999999E-3</v>
      </c>
      <c r="G36" s="22">
        <f>E36*F36</f>
        <v>10.597870800000001</v>
      </c>
      <c r="H36" s="22">
        <f t="shared" si="1"/>
        <v>0</v>
      </c>
      <c r="I36" s="23">
        <f t="shared" si="2"/>
        <v>0</v>
      </c>
      <c r="J36" s="23">
        <f t="shared" si="10"/>
        <v>1.9540369679253163E-2</v>
      </c>
      <c r="K36" s="108">
        <f t="shared" si="11"/>
        <v>2.01163851093638E-2</v>
      </c>
    </row>
    <row r="37" spans="1:11" x14ac:dyDescent="0.2">
      <c r="A37" s="107" t="s">
        <v>43</v>
      </c>
      <c r="B37" s="73">
        <f>B8</f>
        <v>2943.8530000000001</v>
      </c>
      <c r="C37" s="34">
        <v>2.0999999999999999E-3</v>
      </c>
      <c r="D37" s="22">
        <f>B37*C37</f>
        <v>6.1820912999999997</v>
      </c>
      <c r="E37" s="73">
        <f t="shared" si="6"/>
        <v>2943.8530000000001</v>
      </c>
      <c r="F37" s="34">
        <v>2.0999999999999999E-3</v>
      </c>
      <c r="G37" s="22">
        <f>E37*F37</f>
        <v>6.1820912999999997</v>
      </c>
      <c r="H37" s="22">
        <f>G37-D37</f>
        <v>0</v>
      </c>
      <c r="I37" s="23">
        <f t="shared" si="2"/>
        <v>0</v>
      </c>
      <c r="J37" s="23">
        <f t="shared" si="10"/>
        <v>1.1398548979564343E-2</v>
      </c>
      <c r="K37" s="108">
        <f t="shared" si="11"/>
        <v>1.1734557980462215E-2</v>
      </c>
    </row>
    <row r="38" spans="1:11" x14ac:dyDescent="0.2">
      <c r="A38" s="107" t="s">
        <v>96</v>
      </c>
      <c r="B38" s="73">
        <f>B8</f>
        <v>2943.8530000000001</v>
      </c>
      <c r="C38" s="34">
        <v>1.1000000000000001E-3</v>
      </c>
      <c r="D38" s="22">
        <f>B38*C38</f>
        <v>3.2382383000000003</v>
      </c>
      <c r="E38" s="73">
        <f t="shared" si="6"/>
        <v>2943.8530000000001</v>
      </c>
      <c r="F38" s="34">
        <v>1.1000000000000001E-3</v>
      </c>
      <c r="G38" s="22">
        <f>E38*F38</f>
        <v>3.2382383000000003</v>
      </c>
      <c r="H38" s="22">
        <f>G38-D38</f>
        <v>0</v>
      </c>
      <c r="I38" s="23">
        <f t="shared" si="2"/>
        <v>0</v>
      </c>
      <c r="J38" s="23">
        <f t="shared" si="10"/>
        <v>5.9706685131051332E-3</v>
      </c>
      <c r="K38" s="108">
        <f t="shared" si="11"/>
        <v>6.1466732278611606E-3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4.6095036559733209E-4</v>
      </c>
      <c r="K39" s="108">
        <f t="shared" si="11"/>
        <v>4.7453836456856494E-4</v>
      </c>
    </row>
    <row r="40" spans="1:11" s="1" customFormat="1" x14ac:dyDescent="0.2">
      <c r="A40" s="110" t="s">
        <v>45</v>
      </c>
      <c r="B40" s="74"/>
      <c r="C40" s="35"/>
      <c r="D40" s="35">
        <f>SUM(D36:D39)</f>
        <v>20.268200399999998</v>
      </c>
      <c r="E40" s="73"/>
      <c r="F40" s="35"/>
      <c r="G40" s="35">
        <f>SUM(G36:G39)</f>
        <v>20.268200399999998</v>
      </c>
      <c r="H40" s="35">
        <f t="shared" si="1"/>
        <v>0</v>
      </c>
      <c r="I40" s="36">
        <f t="shared" si="2"/>
        <v>0</v>
      </c>
      <c r="J40" s="36">
        <f t="shared" si="10"/>
        <v>3.7370537537519968E-2</v>
      </c>
      <c r="K40" s="111">
        <f t="shared" si="11"/>
        <v>3.8472154682255733E-2</v>
      </c>
    </row>
    <row r="41" spans="1:11" s="1" customFormat="1" ht="13.5" thickBot="1" x14ac:dyDescent="0.25">
      <c r="A41" s="112" t="s">
        <v>46</v>
      </c>
      <c r="B41" s="113">
        <f>B4</f>
        <v>2759</v>
      </c>
      <c r="C41" s="114">
        <v>7.0000000000000001E-3</v>
      </c>
      <c r="D41" s="115">
        <f>B41*C41</f>
        <v>19.312999999999999</v>
      </c>
      <c r="E41" s="116">
        <f t="shared" si="6"/>
        <v>2759</v>
      </c>
      <c r="F41" s="114">
        <f>C41</f>
        <v>7.0000000000000001E-3</v>
      </c>
      <c r="G41" s="115">
        <f>E41*F41</f>
        <v>19.312999999999999</v>
      </c>
      <c r="H41" s="115">
        <f t="shared" si="1"/>
        <v>0</v>
      </c>
      <c r="I41" s="117">
        <f t="shared" si="2"/>
        <v>0</v>
      </c>
      <c r="J41" s="117">
        <f t="shared" si="10"/>
        <v>3.5609337643125093E-2</v>
      </c>
      <c r="K41" s="118">
        <f t="shared" si="11"/>
        <v>3.6659037739650777E-2</v>
      </c>
    </row>
    <row r="42" spans="1:11" s="1" customFormat="1" x14ac:dyDescent="0.2">
      <c r="A42" s="37" t="s">
        <v>105</v>
      </c>
      <c r="B42" s="38"/>
      <c r="C42" s="39"/>
      <c r="D42" s="39">
        <f>SUM(D14,D25,D26,D27,D33,D40,D41)</f>
        <v>509.67338460000002</v>
      </c>
      <c r="E42" s="38"/>
      <c r="F42" s="39"/>
      <c r="G42" s="39">
        <f>SUM(G14,G25,G26,G27,G33,G40,G41)</f>
        <v>516.53118397399999</v>
      </c>
      <c r="H42" s="39">
        <f t="shared" si="1"/>
        <v>6.857799373999967</v>
      </c>
      <c r="I42" s="40">
        <f>IF(ISERROR(H42/D42),0,(H42/D42))</f>
        <v>1.3455282502895613E-2</v>
      </c>
      <c r="J42" s="40">
        <f t="shared" si="10"/>
        <v>0.95238095238095233</v>
      </c>
      <c r="K42" s="41"/>
    </row>
    <row r="43" spans="1:11" x14ac:dyDescent="0.2">
      <c r="A43" s="154" t="s">
        <v>106</v>
      </c>
      <c r="B43" s="43"/>
      <c r="C43" s="26">
        <v>0.13</v>
      </c>
      <c r="D43" s="26">
        <f>D42*C43</f>
        <v>66.257539997999999</v>
      </c>
      <c r="E43" s="26"/>
      <c r="F43" s="26">
        <f>C43</f>
        <v>0.13</v>
      </c>
      <c r="G43" s="26">
        <f>G42*F43</f>
        <v>67.149053916620005</v>
      </c>
      <c r="H43" s="26">
        <f t="shared" si="1"/>
        <v>0.89151391862000651</v>
      </c>
      <c r="I43" s="44">
        <f t="shared" si="2"/>
        <v>1.3455282502895778E-2</v>
      </c>
      <c r="J43" s="44">
        <f t="shared" si="10"/>
        <v>0.12380952380952381</v>
      </c>
      <c r="K43" s="45"/>
    </row>
    <row r="44" spans="1:11" s="1" customFormat="1" x14ac:dyDescent="0.2">
      <c r="A44" s="46" t="s">
        <v>107</v>
      </c>
      <c r="B44" s="24"/>
      <c r="C44" s="25"/>
      <c r="D44" s="25">
        <f>SUM(D42:D43)</f>
        <v>575.93092459800005</v>
      </c>
      <c r="E44" s="25"/>
      <c r="F44" s="25"/>
      <c r="G44" s="25">
        <f>SUM(G42:G43)</f>
        <v>583.68023789061999</v>
      </c>
      <c r="H44" s="25">
        <f t="shared" si="1"/>
        <v>7.7493132926199451</v>
      </c>
      <c r="I44" s="27">
        <f t="shared" si="2"/>
        <v>1.3455282502895582E-2</v>
      </c>
      <c r="J44" s="27">
        <f t="shared" si="10"/>
        <v>1.0761904761904761</v>
      </c>
      <c r="K44" s="47"/>
    </row>
    <row r="45" spans="1:11" x14ac:dyDescent="0.2">
      <c r="A45" s="42" t="s">
        <v>108</v>
      </c>
      <c r="B45" s="43"/>
      <c r="C45" s="26">
        <v>-0.08</v>
      </c>
      <c r="D45" s="26">
        <f>D42*C45</f>
        <v>-40.773870768000002</v>
      </c>
      <c r="E45" s="26"/>
      <c r="F45" s="26">
        <f>C45</f>
        <v>-0.08</v>
      </c>
      <c r="G45" s="26">
        <f>G42*F45</f>
        <v>-41.322494717920002</v>
      </c>
      <c r="H45" s="26">
        <f t="shared" si="1"/>
        <v>-0.54862394991999963</v>
      </c>
      <c r="I45" s="44">
        <f t="shared" si="2"/>
        <v>1.3455282502895669E-2</v>
      </c>
      <c r="J45" s="44">
        <f t="shared" si="10"/>
        <v>-7.6190476190476197E-2</v>
      </c>
      <c r="K45" s="45"/>
    </row>
    <row r="46" spans="1:11" s="1" customFormat="1" ht="13.5" thickBot="1" x14ac:dyDescent="0.25">
      <c r="A46" s="48" t="s">
        <v>109</v>
      </c>
      <c r="B46" s="49"/>
      <c r="C46" s="50"/>
      <c r="D46" s="50">
        <f>SUM(D44:D45)</f>
        <v>535.15705383</v>
      </c>
      <c r="E46" s="50"/>
      <c r="F46" s="50"/>
      <c r="G46" s="50">
        <f>SUM(G44:G45)</f>
        <v>542.3577431727</v>
      </c>
      <c r="H46" s="50">
        <f t="shared" si="1"/>
        <v>7.2006893427000023</v>
      </c>
      <c r="I46" s="51">
        <f t="shared" si="2"/>
        <v>1.3455282502895684E-2</v>
      </c>
      <c r="J46" s="51">
        <f t="shared" si="10"/>
        <v>1</v>
      </c>
      <c r="K46" s="52"/>
    </row>
    <row r="47" spans="1:11" x14ac:dyDescent="0.2">
      <c r="A47" s="53" t="s">
        <v>110</v>
      </c>
      <c r="B47" s="54"/>
      <c r="C47" s="55"/>
      <c r="D47" s="55">
        <f>SUM(D18,D25,D26,D28,D33,D40,D41)</f>
        <v>494.88295727000002</v>
      </c>
      <c r="E47" s="55"/>
      <c r="F47" s="55"/>
      <c r="G47" s="55">
        <f>SUM(G18,G25,G26,G28,G33,G40,G41)</f>
        <v>501.74075664399999</v>
      </c>
      <c r="H47" s="55">
        <f>G47-D47</f>
        <v>6.857799373999967</v>
      </c>
      <c r="I47" s="56">
        <f>IF(ISERROR(H47/D47),0,(H47/D47))</f>
        <v>1.3857416735122006E-2</v>
      </c>
      <c r="J47" s="56"/>
      <c r="K47" s="57">
        <f>G47/$G$51</f>
        <v>0.95238095238095244</v>
      </c>
    </row>
    <row r="48" spans="1:11" x14ac:dyDescent="0.2">
      <c r="A48" s="58" t="s">
        <v>106</v>
      </c>
      <c r="B48" s="59"/>
      <c r="C48" s="31">
        <v>0.13</v>
      </c>
      <c r="D48" s="31">
        <f>D47*C48</f>
        <v>64.334784445099999</v>
      </c>
      <c r="E48" s="31"/>
      <c r="F48" s="31">
        <f>C48</f>
        <v>0.13</v>
      </c>
      <c r="G48" s="31">
        <f>G47*F48</f>
        <v>65.226298363720005</v>
      </c>
      <c r="H48" s="31">
        <f>G48-D48</f>
        <v>0.89151391862000651</v>
      </c>
      <c r="I48" s="32">
        <f>IF(ISERROR(H48/D48),0,(H48/D48))</f>
        <v>1.3857416735122174E-2</v>
      </c>
      <c r="J48" s="32"/>
      <c r="K48" s="60">
        <f>G48/$G$51</f>
        <v>0.12380952380952383</v>
      </c>
    </row>
    <row r="49" spans="1:11" x14ac:dyDescent="0.2">
      <c r="A49" s="150" t="s">
        <v>111</v>
      </c>
      <c r="B49" s="29"/>
      <c r="C49" s="30"/>
      <c r="D49" s="30">
        <f>SUM(D47:D48)</f>
        <v>559.21774171510003</v>
      </c>
      <c r="E49" s="30"/>
      <c r="F49" s="30"/>
      <c r="G49" s="30">
        <f>SUM(G47:G48)</f>
        <v>566.96705500771998</v>
      </c>
      <c r="H49" s="30">
        <f>G49-D49</f>
        <v>7.7493132926199451</v>
      </c>
      <c r="I49" s="33">
        <f>IF(ISERROR(H49/D49),0,(H49/D49))</f>
        <v>1.3857416735121975E-2</v>
      </c>
      <c r="J49" s="33"/>
      <c r="K49" s="62">
        <f>G49/$G$51</f>
        <v>1.0761904761904761</v>
      </c>
    </row>
    <row r="50" spans="1:11" x14ac:dyDescent="0.2">
      <c r="A50" s="58" t="s">
        <v>108</v>
      </c>
      <c r="B50" s="59"/>
      <c r="C50" s="31">
        <v>-0.08</v>
      </c>
      <c r="D50" s="31">
        <f>D47*C50</f>
        <v>-39.590636581600002</v>
      </c>
      <c r="E50" s="31"/>
      <c r="F50" s="31">
        <f>C50</f>
        <v>-0.08</v>
      </c>
      <c r="G50" s="31">
        <f>G47*F50</f>
        <v>-40.139260531520002</v>
      </c>
      <c r="H50" s="31">
        <f>G50-D50</f>
        <v>-0.54862394991999963</v>
      </c>
      <c r="I50" s="32">
        <f>IF(ISERROR(H50/D50),0,(H50/D50))</f>
        <v>1.3857416735122063E-2</v>
      </c>
      <c r="J50" s="32"/>
      <c r="K50" s="60">
        <f>G50/$G$51</f>
        <v>-7.6190476190476197E-2</v>
      </c>
    </row>
    <row r="51" spans="1:11" ht="13.5" thickBot="1" x14ac:dyDescent="0.25">
      <c r="A51" s="63" t="s">
        <v>121</v>
      </c>
      <c r="B51" s="64"/>
      <c r="C51" s="65"/>
      <c r="D51" s="65">
        <f>SUM(D49:D50)</f>
        <v>519.62710513349998</v>
      </c>
      <c r="E51" s="65"/>
      <c r="F51" s="65"/>
      <c r="G51" s="65">
        <f>SUM(G49:G50)</f>
        <v>526.82779447619998</v>
      </c>
      <c r="H51" s="65">
        <f>G51-D51</f>
        <v>7.2006893427000023</v>
      </c>
      <c r="I51" s="66">
        <f>IF(ISERROR(H51/D51),0,(H51/D51))</f>
        <v>1.3857416735122079E-2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101</v>
      </c>
      <c r="B1" s="192"/>
      <c r="C1" s="192"/>
      <c r="D1" s="192"/>
      <c r="E1" s="192"/>
      <c r="F1" s="192"/>
      <c r="G1" s="192"/>
      <c r="H1" s="192"/>
      <c r="I1" s="192"/>
      <c r="J1" s="192"/>
      <c r="K1" s="193"/>
    </row>
    <row r="3" spans="1:11" x14ac:dyDescent="0.2">
      <c r="A3" s="13" t="s">
        <v>13</v>
      </c>
      <c r="B3" s="13" t="s">
        <v>6</v>
      </c>
    </row>
    <row r="4" spans="1:11" x14ac:dyDescent="0.2">
      <c r="A4" s="15" t="s">
        <v>62</v>
      </c>
      <c r="B4" s="15">
        <v>15000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16005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2.6683957829889627E-2</v>
      </c>
      <c r="K12" s="106"/>
    </row>
    <row r="13" spans="1:11" x14ac:dyDescent="0.2">
      <c r="A13" s="107" t="s">
        <v>32</v>
      </c>
      <c r="B13" s="73">
        <f>IF(B4&gt;B7,(B4)-B7,0)</f>
        <v>14250</v>
      </c>
      <c r="C13" s="21">
        <v>0.121</v>
      </c>
      <c r="D13" s="22">
        <f>B13*C13</f>
        <v>1724.25</v>
      </c>
      <c r="E13" s="73">
        <f t="shared" ref="E13" si="0">B13</f>
        <v>14250</v>
      </c>
      <c r="F13" s="21">
        <f>C13</f>
        <v>0.121</v>
      </c>
      <c r="G13" s="22">
        <f>E13*F13</f>
        <v>1724.25</v>
      </c>
      <c r="H13" s="22">
        <f t="shared" ref="H13:H46" si="1">G13-D13</f>
        <v>0</v>
      </c>
      <c r="I13" s="23">
        <f t="shared" ref="I13:I46" si="2">IF(ISERROR(H13/D13),0,(H13/D13))</f>
        <v>0</v>
      </c>
      <c r="J13" s="23">
        <f>G13/$G$46</f>
        <v>0.59559630146520637</v>
      </c>
      <c r="K13" s="108"/>
    </row>
    <row r="14" spans="1:11" s="1" customFormat="1" x14ac:dyDescent="0.2">
      <c r="A14" s="46" t="s">
        <v>33</v>
      </c>
      <c r="B14" s="24"/>
      <c r="C14" s="25"/>
      <c r="D14" s="25">
        <f>SUM(D12:D13)</f>
        <v>1801.5</v>
      </c>
      <c r="E14" s="76"/>
      <c r="F14" s="25"/>
      <c r="G14" s="25">
        <f>SUM(G12:G13)</f>
        <v>1801.5</v>
      </c>
      <c r="H14" s="25">
        <f t="shared" si="1"/>
        <v>0</v>
      </c>
      <c r="I14" s="27">
        <f t="shared" si="2"/>
        <v>0</v>
      </c>
      <c r="J14" s="27">
        <f>G14/$G$46</f>
        <v>0.62228025929509589</v>
      </c>
      <c r="K14" s="108"/>
    </row>
    <row r="15" spans="1:11" s="1" customFormat="1" x14ac:dyDescent="0.2">
      <c r="A15" s="109" t="s">
        <v>34</v>
      </c>
      <c r="B15" s="75">
        <f>B4*0.65</f>
        <v>9750</v>
      </c>
      <c r="C15" s="28">
        <v>8.6999999999999994E-2</v>
      </c>
      <c r="D15" s="22">
        <f>B15*C15</f>
        <v>848.24999999999989</v>
      </c>
      <c r="E15" s="73">
        <f t="shared" ref="E15:F17" si="3">B15</f>
        <v>9750</v>
      </c>
      <c r="F15" s="28">
        <f t="shared" si="3"/>
        <v>8.6999999999999994E-2</v>
      </c>
      <c r="G15" s="22">
        <f>E15*F15</f>
        <v>848.24999999999989</v>
      </c>
      <c r="H15" s="22">
        <f t="shared" si="1"/>
        <v>0</v>
      </c>
      <c r="I15" s="23">
        <f t="shared" si="2"/>
        <v>0</v>
      </c>
      <c r="J15" s="23"/>
      <c r="K15" s="108">
        <f t="shared" ref="K15:K26" si="4">G15/$G$51</f>
        <v>0.30871562041720052</v>
      </c>
    </row>
    <row r="16" spans="1:11" s="1" customFormat="1" x14ac:dyDescent="0.2">
      <c r="A16" s="109" t="s">
        <v>35</v>
      </c>
      <c r="B16" s="75">
        <f>B4*0.17</f>
        <v>2550</v>
      </c>
      <c r="C16" s="28">
        <v>0.13200000000000001</v>
      </c>
      <c r="D16" s="22">
        <f>B16*C16</f>
        <v>336.6</v>
      </c>
      <c r="E16" s="73">
        <f t="shared" si="3"/>
        <v>2550</v>
      </c>
      <c r="F16" s="28">
        <f t="shared" si="3"/>
        <v>0.13200000000000001</v>
      </c>
      <c r="G16" s="22">
        <f>E16*F16</f>
        <v>336.6</v>
      </c>
      <c r="H16" s="22">
        <f t="shared" si="1"/>
        <v>0</v>
      </c>
      <c r="I16" s="23">
        <f t="shared" si="2"/>
        <v>0</v>
      </c>
      <c r="J16" s="23"/>
      <c r="K16" s="108">
        <f t="shared" si="4"/>
        <v>0.12250359897722336</v>
      </c>
    </row>
    <row r="17" spans="1:11" s="1" customFormat="1" x14ac:dyDescent="0.2">
      <c r="A17" s="109" t="s">
        <v>36</v>
      </c>
      <c r="B17" s="75">
        <f>B4*0.18</f>
        <v>2700</v>
      </c>
      <c r="C17" s="28">
        <v>0.18</v>
      </c>
      <c r="D17" s="22">
        <f>B17*C17</f>
        <v>486</v>
      </c>
      <c r="E17" s="73">
        <f t="shared" si="3"/>
        <v>2700</v>
      </c>
      <c r="F17" s="28">
        <f t="shared" si="3"/>
        <v>0.18</v>
      </c>
      <c r="G17" s="22">
        <f>E17*F17</f>
        <v>486</v>
      </c>
      <c r="H17" s="22">
        <f t="shared" si="1"/>
        <v>0</v>
      </c>
      <c r="I17" s="23">
        <f t="shared" si="2"/>
        <v>0</v>
      </c>
      <c r="J17" s="23"/>
      <c r="K17" s="108">
        <f t="shared" si="4"/>
        <v>0.17687685413823692</v>
      </c>
    </row>
    <row r="18" spans="1:11" s="1" customFormat="1" x14ac:dyDescent="0.2">
      <c r="A18" s="61" t="s">
        <v>37</v>
      </c>
      <c r="B18" s="29"/>
      <c r="C18" s="30"/>
      <c r="D18" s="30">
        <f>SUM(D15:D17)</f>
        <v>1670.85</v>
      </c>
      <c r="E18" s="77"/>
      <c r="F18" s="30"/>
      <c r="G18" s="30">
        <f>SUM(G15:G17)</f>
        <v>1670.85</v>
      </c>
      <c r="H18" s="31">
        <f t="shared" si="1"/>
        <v>0</v>
      </c>
      <c r="I18" s="32">
        <f t="shared" si="2"/>
        <v>0</v>
      </c>
      <c r="J18" s="33">
        <f t="shared" ref="J18:J23" si="5">G18/$G$46</f>
        <v>0.57715069178085543</v>
      </c>
      <c r="K18" s="62">
        <f t="shared" si="4"/>
        <v>0.60809607353266082</v>
      </c>
    </row>
    <row r="19" spans="1:11" x14ac:dyDescent="0.2">
      <c r="A19" s="107" t="s">
        <v>38</v>
      </c>
      <c r="B19" s="73">
        <v>1</v>
      </c>
      <c r="C19" s="78">
        <f>VLOOKUP($B$3,'Data for Bill Impacts'!$A$3:$Y$15,7,0)</f>
        <v>23.3</v>
      </c>
      <c r="D19" s="22">
        <f>B19*C19</f>
        <v>23.3</v>
      </c>
      <c r="E19" s="73">
        <f t="shared" ref="E19:E41" si="6">B19</f>
        <v>1</v>
      </c>
      <c r="F19" s="78">
        <f>VLOOKUP($B$3,'Data for Bill Impacts'!$A$3:$Y$15,17,0)</f>
        <v>23.97</v>
      </c>
      <c r="G19" s="22">
        <f>E19*F19</f>
        <v>23.97</v>
      </c>
      <c r="H19" s="22">
        <f t="shared" si="1"/>
        <v>0.66999999999999815</v>
      </c>
      <c r="I19" s="23">
        <f t="shared" si="2"/>
        <v>2.8755364806866874E-2</v>
      </c>
      <c r="J19" s="23">
        <f t="shared" si="5"/>
        <v>8.2797989538181786E-3</v>
      </c>
      <c r="K19" s="108">
        <f t="shared" si="4"/>
        <v>8.7237411392871167E-3</v>
      </c>
    </row>
    <row r="20" spans="1:11" hidden="1" x14ac:dyDescent="0.2">
      <c r="A20" s="107" t="s">
        <v>114</v>
      </c>
      <c r="B20" s="73">
        <v>1</v>
      </c>
      <c r="C20" s="78">
        <f>VLOOKUP($B$3,'Data for Bill Impacts'!$A$3:$Y$15,11,0)</f>
        <v>0</v>
      </c>
      <c r="D20" s="22">
        <f t="shared" ref="D20:D21" si="7">B20*C20</f>
        <v>0</v>
      </c>
      <c r="E20" s="73">
        <f t="shared" si="6"/>
        <v>1</v>
      </c>
      <c r="F20" s="122">
        <f>VLOOKUP($B$3,'Data for Bill Impacts'!$A$3:$Y$15,12,0)</f>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0.67</v>
      </c>
      <c r="D21" s="22">
        <f t="shared" si="7"/>
        <v>0.67</v>
      </c>
      <c r="E21" s="73">
        <f t="shared" si="6"/>
        <v>1</v>
      </c>
      <c r="F21" s="122">
        <f>VLOOKUP($B$3,'Data for Bill Impacts'!$A$3:$Y$15,22,0)</f>
        <v>0.01</v>
      </c>
      <c r="G21" s="22">
        <f t="shared" si="8"/>
        <v>0.01</v>
      </c>
      <c r="H21" s="22">
        <f t="shared" si="1"/>
        <v>-0.66</v>
      </c>
      <c r="I21" s="23">
        <f t="shared" si="2"/>
        <v>-0.9850746268656716</v>
      </c>
      <c r="J21" s="23">
        <f t="shared" si="5"/>
        <v>3.4542340232866831E-6</v>
      </c>
      <c r="K21" s="108">
        <f t="shared" si="4"/>
        <v>3.6394414431735993E-6</v>
      </c>
    </row>
    <row r="22" spans="1:11" hidden="1" x14ac:dyDescent="0.2">
      <c r="A22" s="107" t="s">
        <v>123</v>
      </c>
      <c r="B22" s="73">
        <f>B4</f>
        <v>15000</v>
      </c>
      <c r="C22" s="78">
        <v>0</v>
      </c>
      <c r="D22" s="22">
        <f>B22*C22</f>
        <v>0</v>
      </c>
      <c r="E22" s="73">
        <f>B22</f>
        <v>15000</v>
      </c>
      <c r="F22" s="78">
        <f>C22</f>
        <v>0</v>
      </c>
      <c r="G22" s="22">
        <f>E22*F22</f>
        <v>0</v>
      </c>
      <c r="H22" s="22">
        <f>G22-D22</f>
        <v>0</v>
      </c>
      <c r="I22" s="23">
        <f>IF(ISERROR(H22/D22),0,(H22/D22))</f>
        <v>0</v>
      </c>
      <c r="J22" s="23">
        <f t="shared" si="5"/>
        <v>0</v>
      </c>
      <c r="K22" s="108">
        <f t="shared" si="4"/>
        <v>0</v>
      </c>
    </row>
    <row r="23" spans="1:11" x14ac:dyDescent="0.2">
      <c r="A23" s="107" t="s">
        <v>39</v>
      </c>
      <c r="B23" s="73">
        <f>IF($B$9="kWh",$B$4,$B$5)</f>
        <v>15000</v>
      </c>
      <c r="C23" s="78">
        <f>VLOOKUP($B$3,'Data for Bill Impacts'!$A$3:$Y$15,10,0)</f>
        <v>2.6200000000000001E-2</v>
      </c>
      <c r="D23" s="22">
        <f>B23*C23</f>
        <v>393</v>
      </c>
      <c r="E23" s="73">
        <f t="shared" si="6"/>
        <v>15000</v>
      </c>
      <c r="F23" s="126">
        <f>VLOOKUP($B$3,'Data for Bill Impacts'!$A$3:$Y$15,19,0)</f>
        <v>2.8000000000000001E-2</v>
      </c>
      <c r="G23" s="22">
        <f>E23*F23</f>
        <v>420</v>
      </c>
      <c r="H23" s="22">
        <f t="shared" si="1"/>
        <v>27</v>
      </c>
      <c r="I23" s="23">
        <f t="shared" si="2"/>
        <v>6.8702290076335881E-2</v>
      </c>
      <c r="J23" s="23">
        <f t="shared" si="5"/>
        <v>0.1450778289780407</v>
      </c>
      <c r="K23" s="108">
        <f t="shared" si="4"/>
        <v>0.15285654061329118</v>
      </c>
    </row>
    <row r="24" spans="1:11" x14ac:dyDescent="0.2">
      <c r="A24" s="107" t="s">
        <v>124</v>
      </c>
      <c r="B24" s="73">
        <f>IF($B$9="kWh",$B$4,$B$5)</f>
        <v>15000</v>
      </c>
      <c r="C24" s="78">
        <f>VLOOKUP($B$3,'Data for Bill Impacts'!$A$3:$Y$15,14,0)</f>
        <v>-1E-4</v>
      </c>
      <c r="D24" s="22">
        <f>B24*C24</f>
        <v>-1.5</v>
      </c>
      <c r="E24" s="73">
        <f t="shared" si="6"/>
        <v>15000</v>
      </c>
      <c r="F24" s="126">
        <f>VLOOKUP($B$3,'Data for Bill Impacts'!$A$3:$Y$15,23,0)</f>
        <v>2.0000000000000001E-4</v>
      </c>
      <c r="G24" s="22">
        <f>E24*F24</f>
        <v>3</v>
      </c>
      <c r="H24" s="22">
        <f t="shared" si="1"/>
        <v>4.5</v>
      </c>
      <c r="I24" s="23">
        <f>IF(ISERROR(H24/D24),0,(H24/D24))</f>
        <v>-3</v>
      </c>
      <c r="J24" s="23">
        <f t="shared" ref="J24" si="9">G24/$G$46</f>
        <v>1.0362702069860049E-3</v>
      </c>
      <c r="K24" s="108">
        <f t="shared" si="4"/>
        <v>1.0918324329520798E-3</v>
      </c>
    </row>
    <row r="25" spans="1:11" s="1" customFormat="1" x14ac:dyDescent="0.2">
      <c r="A25" s="110" t="s">
        <v>72</v>
      </c>
      <c r="B25" s="74"/>
      <c r="C25" s="35"/>
      <c r="D25" s="35">
        <f>SUM(D19:D24)</f>
        <v>415.47</v>
      </c>
      <c r="E25" s="73"/>
      <c r="F25" s="35"/>
      <c r="G25" s="35">
        <f>SUM(G19:G24)</f>
        <v>446.98</v>
      </c>
      <c r="H25" s="35">
        <f t="shared" si="1"/>
        <v>31.509999999999991</v>
      </c>
      <c r="I25" s="36">
        <f t="shared" si="2"/>
        <v>7.5841817700435618E-2</v>
      </c>
      <c r="J25" s="36">
        <f>G25/$G$46</f>
        <v>0.15439735237286817</v>
      </c>
      <c r="K25" s="111">
        <f t="shared" si="4"/>
        <v>0.16267575362697356</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2.7288448783964795E-4</v>
      </c>
      <c r="K26" s="108">
        <f t="shared" si="4"/>
        <v>2.8751587401071435E-4</v>
      </c>
    </row>
    <row r="27" spans="1:11" s="1" customFormat="1" x14ac:dyDescent="0.2">
      <c r="A27" s="119" t="s">
        <v>75</v>
      </c>
      <c r="B27" s="120">
        <f>B8-B4</f>
        <v>1005</v>
      </c>
      <c r="C27" s="121">
        <f>IF(B4&gt;B7,C13,C12)</f>
        <v>0.121</v>
      </c>
      <c r="D27" s="22">
        <f>B27*C27</f>
        <v>121.60499999999999</v>
      </c>
      <c r="E27" s="73">
        <f>B27</f>
        <v>1005</v>
      </c>
      <c r="F27" s="121">
        <f>C27</f>
        <v>0.121</v>
      </c>
      <c r="G27" s="22">
        <f>E27*F27</f>
        <v>121.60499999999999</v>
      </c>
      <c r="H27" s="22">
        <f t="shared" si="1"/>
        <v>0</v>
      </c>
      <c r="I27" s="23">
        <f>IF(ISERROR(H27/D27),0,(H27/D27))</f>
        <v>0</v>
      </c>
      <c r="J27" s="23">
        <f t="shared" ref="J27:J46" si="10">G27/$G$46</f>
        <v>4.2005212840177705E-2</v>
      </c>
      <c r="K27" s="108">
        <f t="shared" ref="K27:K41" si="11">G27/$G$51</f>
        <v>4.4257427669712551E-2</v>
      </c>
    </row>
    <row r="28" spans="1:11" s="1" customFormat="1" x14ac:dyDescent="0.2">
      <c r="A28" s="119" t="s">
        <v>74</v>
      </c>
      <c r="B28" s="120">
        <f>B8-B4</f>
        <v>1005</v>
      </c>
      <c r="C28" s="121">
        <f>0.65*C15+0.17*C16+0.18*C17</f>
        <v>0.11139</v>
      </c>
      <c r="D28" s="22">
        <f>B28*C28</f>
        <v>111.94695</v>
      </c>
      <c r="E28" s="73">
        <f>B28</f>
        <v>1005</v>
      </c>
      <c r="F28" s="121">
        <f>C28</f>
        <v>0.11139</v>
      </c>
      <c r="G28" s="22">
        <f>E28*F28</f>
        <v>111.94695</v>
      </c>
      <c r="H28" s="22">
        <f t="shared" si="1"/>
        <v>0</v>
      </c>
      <c r="I28" s="23">
        <f>IF(ISERROR(H28/D28),0,(H28/D28))</f>
        <v>0</v>
      </c>
      <c r="J28" s="23">
        <f t="shared" si="10"/>
        <v>3.8669096349317311E-2</v>
      </c>
      <c r="K28" s="108">
        <f t="shared" si="11"/>
        <v>4.0742436926688275E-2</v>
      </c>
    </row>
    <row r="29" spans="1:11" s="1" customFormat="1" x14ac:dyDescent="0.2">
      <c r="A29" s="110" t="s">
        <v>78</v>
      </c>
      <c r="B29" s="74"/>
      <c r="C29" s="35"/>
      <c r="D29" s="35">
        <f>SUM(D25,D26:D27)</f>
        <v>537.86500000000001</v>
      </c>
      <c r="E29" s="73"/>
      <c r="F29" s="35"/>
      <c r="G29" s="35">
        <f>SUM(G25,G26:G27)</f>
        <v>569.375</v>
      </c>
      <c r="H29" s="35">
        <f t="shared" si="1"/>
        <v>31.509999999999991</v>
      </c>
      <c r="I29" s="36">
        <f>IF(ISERROR(H29/D29),0,(H29/D29))</f>
        <v>5.858347354819516E-2</v>
      </c>
      <c r="J29" s="36">
        <f t="shared" si="10"/>
        <v>0.19667544970088552</v>
      </c>
      <c r="K29" s="111">
        <f t="shared" si="11"/>
        <v>0.20722069717069683</v>
      </c>
    </row>
    <row r="30" spans="1:11" s="1" customFormat="1" x14ac:dyDescent="0.2">
      <c r="A30" s="110" t="s">
        <v>77</v>
      </c>
      <c r="B30" s="74"/>
      <c r="C30" s="35"/>
      <c r="D30" s="35">
        <f>SUM(D25,D26,D28)</f>
        <v>528.20695000000001</v>
      </c>
      <c r="E30" s="73"/>
      <c r="F30" s="35"/>
      <c r="G30" s="35">
        <f>SUM(G25,G26,G28)</f>
        <v>559.71695</v>
      </c>
      <c r="H30" s="35">
        <f t="shared" si="1"/>
        <v>31.509999999999991</v>
      </c>
      <c r="I30" s="36">
        <f>IF(ISERROR(H30/D30),0,(H30/D30))</f>
        <v>5.9654648618311421E-2</v>
      </c>
      <c r="J30" s="36">
        <f t="shared" si="10"/>
        <v>0.19333933321002511</v>
      </c>
      <c r="K30" s="111">
        <f t="shared" si="11"/>
        <v>0.20370570642767255</v>
      </c>
    </row>
    <row r="31" spans="1:11" x14ac:dyDescent="0.2">
      <c r="A31" s="107" t="s">
        <v>40</v>
      </c>
      <c r="B31" s="73">
        <f>B8</f>
        <v>16005</v>
      </c>
      <c r="C31" s="78">
        <f>VLOOKUP($B$3,'Data for Bill Impacts'!$A$3:$Y$15,15,0)</f>
        <v>6.4000000000000003E-3</v>
      </c>
      <c r="D31" s="22">
        <f>B31*C31</f>
        <v>102.432</v>
      </c>
      <c r="E31" s="73">
        <f t="shared" si="6"/>
        <v>16005</v>
      </c>
      <c r="F31" s="126">
        <f>VLOOKUP($B$3,'Data for Bill Impacts'!$A$3:$Y$15,24,0)</f>
        <v>6.1060000000000003E-3</v>
      </c>
      <c r="G31" s="22">
        <f>E31*F31</f>
        <v>97.726530000000011</v>
      </c>
      <c r="H31" s="22">
        <f t="shared" si="1"/>
        <v>-4.7054699999999912</v>
      </c>
      <c r="I31" s="23">
        <f t="shared" si="2"/>
        <v>-4.5937499999999916E-2</v>
      </c>
      <c r="J31" s="23">
        <f t="shared" si="10"/>
        <v>3.3757030490374679E-2</v>
      </c>
      <c r="K31" s="108">
        <f t="shared" si="11"/>
        <v>3.5566998337954812E-2</v>
      </c>
    </row>
    <row r="32" spans="1:11" x14ac:dyDescent="0.2">
      <c r="A32" s="107" t="s">
        <v>41</v>
      </c>
      <c r="B32" s="73">
        <f>B8</f>
        <v>16005</v>
      </c>
      <c r="C32" s="126">
        <f>VLOOKUP($B$3,'Data for Bill Impacts'!$A$3:$Y$15,16,0)</f>
        <v>4.0000000000000001E-3</v>
      </c>
      <c r="D32" s="22">
        <f>B32*C32</f>
        <v>64.02</v>
      </c>
      <c r="E32" s="73">
        <f t="shared" si="6"/>
        <v>16005</v>
      </c>
      <c r="F32" s="126">
        <f>VLOOKUP($B$3,'Data for Bill Impacts'!$A$3:$Y$15,25,0)</f>
        <v>4.6519999999999999E-3</v>
      </c>
      <c r="G32" s="22">
        <f>E32*F32</f>
        <v>74.455259999999996</v>
      </c>
      <c r="H32" s="22">
        <f t="shared" si="1"/>
        <v>10.43526</v>
      </c>
      <c r="I32" s="23">
        <f t="shared" si="2"/>
        <v>0.16300000000000001</v>
      </c>
      <c r="J32" s="23">
        <f t="shared" si="10"/>
        <v>2.5718589230465601E-2</v>
      </c>
      <c r="K32" s="108">
        <f t="shared" si="11"/>
        <v>2.7097555890626554E-2</v>
      </c>
    </row>
    <row r="33" spans="1:11" s="1" customFormat="1" x14ac:dyDescent="0.2">
      <c r="A33" s="110" t="s">
        <v>76</v>
      </c>
      <c r="B33" s="74"/>
      <c r="C33" s="35"/>
      <c r="D33" s="35">
        <f>SUM(D31:D32)</f>
        <v>166.452</v>
      </c>
      <c r="E33" s="73"/>
      <c r="F33" s="35"/>
      <c r="G33" s="35">
        <f>SUM(G31:G32)</f>
        <v>172.18179000000001</v>
      </c>
      <c r="H33" s="35">
        <f t="shared" si="1"/>
        <v>5.7297900000000084</v>
      </c>
      <c r="I33" s="36">
        <f t="shared" si="2"/>
        <v>3.4423076923076973E-2</v>
      </c>
      <c r="J33" s="36">
        <f t="shared" si="10"/>
        <v>5.9475619720840277E-2</v>
      </c>
      <c r="K33" s="111">
        <f t="shared" si="11"/>
        <v>6.2664554228581359E-2</v>
      </c>
    </row>
    <row r="34" spans="1:11" s="1" customFormat="1" ht="13.5" customHeight="1" x14ac:dyDescent="0.2">
      <c r="A34" s="110" t="s">
        <v>91</v>
      </c>
      <c r="B34" s="74"/>
      <c r="C34" s="35"/>
      <c r="D34" s="35">
        <f>D29+D33</f>
        <v>704.31700000000001</v>
      </c>
      <c r="E34" s="73"/>
      <c r="F34" s="35"/>
      <c r="G34" s="35">
        <f>G29+G33</f>
        <v>741.55678999999998</v>
      </c>
      <c r="H34" s="35">
        <f t="shared" si="1"/>
        <v>37.239789999999971</v>
      </c>
      <c r="I34" s="36">
        <f t="shared" si="2"/>
        <v>5.2873620826985532E-2</v>
      </c>
      <c r="J34" s="36">
        <f t="shared" si="10"/>
        <v>0.25615106942172577</v>
      </c>
      <c r="K34" s="111">
        <f t="shared" si="11"/>
        <v>0.26988525139927816</v>
      </c>
    </row>
    <row r="35" spans="1:11" s="1" customFormat="1" ht="13.5" customHeight="1" x14ac:dyDescent="0.2">
      <c r="A35" s="110" t="s">
        <v>92</v>
      </c>
      <c r="B35" s="74"/>
      <c r="C35" s="35"/>
      <c r="D35" s="35">
        <f>D30+D33</f>
        <v>694.65895</v>
      </c>
      <c r="E35" s="73"/>
      <c r="F35" s="35"/>
      <c r="G35" s="35">
        <f>G30+G33</f>
        <v>731.89873999999998</v>
      </c>
      <c r="H35" s="35">
        <f t="shared" si="1"/>
        <v>37.239789999999971</v>
      </c>
      <c r="I35" s="36">
        <f t="shared" si="2"/>
        <v>5.3608738503980943E-2</v>
      </c>
      <c r="J35" s="36">
        <f t="shared" si="10"/>
        <v>0.25281495293086537</v>
      </c>
      <c r="K35" s="111">
        <f t="shared" si="11"/>
        <v>0.26637026065625391</v>
      </c>
    </row>
    <row r="36" spans="1:11" x14ac:dyDescent="0.2">
      <c r="A36" s="107" t="s">
        <v>42</v>
      </c>
      <c r="B36" s="73">
        <f>B8</f>
        <v>16005</v>
      </c>
      <c r="C36" s="34">
        <v>3.5999999999999999E-3</v>
      </c>
      <c r="D36" s="22">
        <f>B36*C36</f>
        <v>57.617999999999995</v>
      </c>
      <c r="E36" s="73">
        <f t="shared" si="6"/>
        <v>16005</v>
      </c>
      <c r="F36" s="34">
        <v>3.5999999999999999E-3</v>
      </c>
      <c r="G36" s="22">
        <f>E36*F36</f>
        <v>57.617999999999995</v>
      </c>
      <c r="H36" s="22">
        <f t="shared" si="1"/>
        <v>0</v>
      </c>
      <c r="I36" s="23">
        <f t="shared" si="2"/>
        <v>0</v>
      </c>
      <c r="J36" s="23">
        <f t="shared" si="10"/>
        <v>1.9902605595373209E-2</v>
      </c>
      <c r="K36" s="108">
        <f t="shared" si="11"/>
        <v>2.0969733707277644E-2</v>
      </c>
    </row>
    <row r="37" spans="1:11" x14ac:dyDescent="0.2">
      <c r="A37" s="107" t="s">
        <v>43</v>
      </c>
      <c r="B37" s="73">
        <f>B8</f>
        <v>16005</v>
      </c>
      <c r="C37" s="34">
        <v>2.0999999999999999E-3</v>
      </c>
      <c r="D37" s="22">
        <f>B37*C37</f>
        <v>33.610499999999995</v>
      </c>
      <c r="E37" s="73">
        <f t="shared" si="6"/>
        <v>16005</v>
      </c>
      <c r="F37" s="34">
        <v>2.0999999999999999E-3</v>
      </c>
      <c r="G37" s="22">
        <f>E37*F37</f>
        <v>33.610499999999995</v>
      </c>
      <c r="H37" s="22">
        <f>G37-D37</f>
        <v>0</v>
      </c>
      <c r="I37" s="23">
        <f t="shared" si="2"/>
        <v>0</v>
      </c>
      <c r="J37" s="23">
        <f t="shared" si="10"/>
        <v>1.1609853263967703E-2</v>
      </c>
      <c r="K37" s="108">
        <f t="shared" si="11"/>
        <v>1.2232344662578625E-2</v>
      </c>
    </row>
    <row r="38" spans="1:11" x14ac:dyDescent="0.2">
      <c r="A38" s="107" t="s">
        <v>96</v>
      </c>
      <c r="B38" s="73">
        <f>B8</f>
        <v>16005</v>
      </c>
      <c r="C38" s="34">
        <v>1.1000000000000001E-3</v>
      </c>
      <c r="D38" s="22">
        <f>B38*C38</f>
        <v>17.605500000000003</v>
      </c>
      <c r="E38" s="73">
        <f t="shared" si="6"/>
        <v>16005</v>
      </c>
      <c r="F38" s="34">
        <v>1.1000000000000001E-3</v>
      </c>
      <c r="G38" s="22">
        <f>E38*F38</f>
        <v>17.605500000000003</v>
      </c>
      <c r="H38" s="22">
        <f>G38-D38</f>
        <v>0</v>
      </c>
      <c r="I38" s="23">
        <f t="shared" ref="I38" si="12">IF(ISERROR(H38/D38),0,(H38/D38))</f>
        <v>0</v>
      </c>
      <c r="J38" s="23">
        <f t="shared" ref="J38" si="13">G38/$G$46</f>
        <v>6.0813517096973708E-3</v>
      </c>
      <c r="K38" s="108">
        <f t="shared" ref="K38" si="14">G38/$G$51</f>
        <v>6.407418632779281E-3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8.6355850582167074E-5</v>
      </c>
      <c r="K39" s="108">
        <f t="shared" si="11"/>
        <v>9.0986036079339981E-5</v>
      </c>
    </row>
    <row r="40" spans="1:11" s="1" customFormat="1" x14ac:dyDescent="0.2">
      <c r="A40" s="110" t="s">
        <v>45</v>
      </c>
      <c r="B40" s="74"/>
      <c r="C40" s="35"/>
      <c r="D40" s="35">
        <f>SUM(D36:D39)</f>
        <v>109.084</v>
      </c>
      <c r="E40" s="73"/>
      <c r="F40" s="35"/>
      <c r="G40" s="35">
        <f>SUM(G36:G39)</f>
        <v>109.084</v>
      </c>
      <c r="H40" s="35">
        <f t="shared" si="1"/>
        <v>0</v>
      </c>
      <c r="I40" s="36">
        <f t="shared" si="2"/>
        <v>0</v>
      </c>
      <c r="J40" s="36">
        <f t="shared" si="10"/>
        <v>3.7680166419620451E-2</v>
      </c>
      <c r="K40" s="111">
        <f t="shared" si="11"/>
        <v>3.9700483038714894E-2</v>
      </c>
    </row>
    <row r="41" spans="1:11" s="1" customFormat="1" ht="13.5" thickBot="1" x14ac:dyDescent="0.25">
      <c r="A41" s="112" t="s">
        <v>46</v>
      </c>
      <c r="B41" s="113">
        <f>B4</f>
        <v>15000</v>
      </c>
      <c r="C41" s="114">
        <v>7.0000000000000001E-3</v>
      </c>
      <c r="D41" s="115">
        <f>B41*C41</f>
        <v>105</v>
      </c>
      <c r="E41" s="116">
        <f t="shared" si="6"/>
        <v>15000</v>
      </c>
      <c r="F41" s="114">
        <f>C41</f>
        <v>7.0000000000000001E-3</v>
      </c>
      <c r="G41" s="115">
        <f>E41*F41</f>
        <v>105</v>
      </c>
      <c r="H41" s="115">
        <f t="shared" si="1"/>
        <v>0</v>
      </c>
      <c r="I41" s="117">
        <f t="shared" si="2"/>
        <v>0</v>
      </c>
      <c r="J41" s="117">
        <f t="shared" si="10"/>
        <v>3.6269457244510174E-2</v>
      </c>
      <c r="K41" s="118">
        <f t="shared" si="11"/>
        <v>3.8214135153322795E-2</v>
      </c>
    </row>
    <row r="42" spans="1:11" s="1" customFormat="1" x14ac:dyDescent="0.2">
      <c r="A42" s="37" t="s">
        <v>105</v>
      </c>
      <c r="B42" s="38"/>
      <c r="C42" s="39"/>
      <c r="D42" s="39">
        <f>SUM(D14,D25,D26,D27,D33,D40,D41)</f>
        <v>2719.9009999999998</v>
      </c>
      <c r="E42" s="38"/>
      <c r="F42" s="39"/>
      <c r="G42" s="39">
        <f>SUM(G14,G25,G26,G27,G33,G40,G41)</f>
        <v>2757.1407899999999</v>
      </c>
      <c r="H42" s="39">
        <f t="shared" si="1"/>
        <v>37.239790000000085</v>
      </c>
      <c r="I42" s="40">
        <f>IF(ISERROR(H42/D42),0,(H42/D42))</f>
        <v>1.3691597598589098E-2</v>
      </c>
      <c r="J42" s="40">
        <f t="shared" si="10"/>
        <v>0.95238095238095233</v>
      </c>
      <c r="K42" s="41"/>
    </row>
    <row r="43" spans="1:11" x14ac:dyDescent="0.2">
      <c r="A43" s="154" t="s">
        <v>106</v>
      </c>
      <c r="B43" s="43"/>
      <c r="C43" s="26">
        <v>0.13</v>
      </c>
      <c r="D43" s="26">
        <f>D42*C43</f>
        <v>353.58713</v>
      </c>
      <c r="E43" s="26"/>
      <c r="F43" s="26">
        <f>C43</f>
        <v>0.13</v>
      </c>
      <c r="G43" s="26">
        <f>G42*F43</f>
        <v>358.42830270000002</v>
      </c>
      <c r="H43" s="26">
        <f t="shared" si="1"/>
        <v>4.8411727000000155</v>
      </c>
      <c r="I43" s="44">
        <f t="shared" si="2"/>
        <v>1.369159759858911E-2</v>
      </c>
      <c r="J43" s="44">
        <f t="shared" si="10"/>
        <v>0.12380952380952381</v>
      </c>
      <c r="K43" s="45"/>
    </row>
    <row r="44" spans="1:11" s="1" customFormat="1" x14ac:dyDescent="0.2">
      <c r="A44" s="46" t="s">
        <v>107</v>
      </c>
      <c r="B44" s="24"/>
      <c r="C44" s="25"/>
      <c r="D44" s="25">
        <f>SUM(D42:D43)</f>
        <v>3073.4881299999997</v>
      </c>
      <c r="E44" s="25"/>
      <c r="F44" s="25"/>
      <c r="G44" s="25">
        <f>SUM(G42:G43)</f>
        <v>3115.5690927000001</v>
      </c>
      <c r="H44" s="25">
        <f t="shared" si="1"/>
        <v>42.080962700000327</v>
      </c>
      <c r="I44" s="27">
        <f t="shared" si="2"/>
        <v>1.3691597598589175E-2</v>
      </c>
      <c r="J44" s="27">
        <f t="shared" si="10"/>
        <v>1.0761904761904761</v>
      </c>
      <c r="K44" s="47"/>
    </row>
    <row r="45" spans="1:11" x14ac:dyDescent="0.2">
      <c r="A45" s="42" t="s">
        <v>108</v>
      </c>
      <c r="B45" s="43"/>
      <c r="C45" s="26">
        <v>-0.08</v>
      </c>
      <c r="D45" s="26">
        <f>D42*C45</f>
        <v>-217.59207999999998</v>
      </c>
      <c r="E45" s="26"/>
      <c r="F45" s="26">
        <f>C45</f>
        <v>-0.08</v>
      </c>
      <c r="G45" s="26">
        <f>G42*F45</f>
        <v>-220.5712632</v>
      </c>
      <c r="H45" s="26">
        <f t="shared" si="1"/>
        <v>-2.9791832000000227</v>
      </c>
      <c r="I45" s="44">
        <f t="shared" si="2"/>
        <v>1.3691597598589171E-2</v>
      </c>
      <c r="J45" s="44">
        <f t="shared" si="10"/>
        <v>-7.6190476190476183E-2</v>
      </c>
      <c r="K45" s="45"/>
    </row>
    <row r="46" spans="1:11" s="1" customFormat="1" ht="13.5" thickBot="1" x14ac:dyDescent="0.25">
      <c r="A46" s="48" t="s">
        <v>109</v>
      </c>
      <c r="B46" s="49"/>
      <c r="C46" s="50"/>
      <c r="D46" s="50">
        <f>SUM(D44:D45)</f>
        <v>2855.8960499999998</v>
      </c>
      <c r="E46" s="50"/>
      <c r="F46" s="50"/>
      <c r="G46" s="50">
        <f>SUM(G44:G45)</f>
        <v>2894.9978295000001</v>
      </c>
      <c r="H46" s="50">
        <f t="shared" si="1"/>
        <v>39.101779500000248</v>
      </c>
      <c r="I46" s="51">
        <f t="shared" si="2"/>
        <v>1.3691597598589154E-2</v>
      </c>
      <c r="J46" s="51">
        <f t="shared" si="10"/>
        <v>1</v>
      </c>
      <c r="K46" s="52"/>
    </row>
    <row r="47" spans="1:11" x14ac:dyDescent="0.2">
      <c r="A47" s="53" t="s">
        <v>110</v>
      </c>
      <c r="B47" s="54"/>
      <c r="C47" s="55"/>
      <c r="D47" s="55">
        <f>SUM(D18,D25,D26,D28,D33,D40,D41)</f>
        <v>2579.5929499999993</v>
      </c>
      <c r="E47" s="55"/>
      <c r="F47" s="55"/>
      <c r="G47" s="55">
        <f>SUM(G18,G25,G26,G28,G33,G40,G41)</f>
        <v>2616.8327399999998</v>
      </c>
      <c r="H47" s="55">
        <f>G47-D47</f>
        <v>37.239790000000539</v>
      </c>
      <c r="I47" s="56">
        <f>IF(ISERROR(H47/D47),0,(H47/D47))</f>
        <v>1.4436304766610775E-2</v>
      </c>
      <c r="J47" s="56"/>
      <c r="K47" s="57">
        <f>G47/$G$51</f>
        <v>0.95238095238095233</v>
      </c>
    </row>
    <row r="48" spans="1:11" x14ac:dyDescent="0.2">
      <c r="A48" s="58" t="s">
        <v>106</v>
      </c>
      <c r="B48" s="59"/>
      <c r="C48" s="31">
        <v>0.13</v>
      </c>
      <c r="D48" s="31">
        <f>D47*C48</f>
        <v>335.34708349999994</v>
      </c>
      <c r="E48" s="31"/>
      <c r="F48" s="31">
        <f>C48</f>
        <v>0.13</v>
      </c>
      <c r="G48" s="31">
        <f>G47*F48</f>
        <v>340.18825620000001</v>
      </c>
      <c r="H48" s="31">
        <f>G48-D48</f>
        <v>4.8411727000000724</v>
      </c>
      <c r="I48" s="32">
        <f>IF(ISERROR(H48/D48),0,(H48/D48))</f>
        <v>1.4436304766610781E-2</v>
      </c>
      <c r="J48" s="32"/>
      <c r="K48" s="60">
        <f>G48/$G$51</f>
        <v>0.12380952380952383</v>
      </c>
    </row>
    <row r="49" spans="1:11" x14ac:dyDescent="0.2">
      <c r="A49" s="150" t="s">
        <v>111</v>
      </c>
      <c r="B49" s="29"/>
      <c r="C49" s="30"/>
      <c r="D49" s="30">
        <f>SUM(D47:D48)</f>
        <v>2914.9400334999991</v>
      </c>
      <c r="E49" s="30"/>
      <c r="F49" s="30"/>
      <c r="G49" s="30">
        <f>SUM(G47:G48)</f>
        <v>2957.0209961999999</v>
      </c>
      <c r="H49" s="30">
        <f>G49-D49</f>
        <v>42.080962700000782</v>
      </c>
      <c r="I49" s="33">
        <f>IF(ISERROR(H49/D49),0,(H49/D49))</f>
        <v>1.4436304766610834E-2</v>
      </c>
      <c r="J49" s="33"/>
      <c r="K49" s="62">
        <f>G49/$G$51</f>
        <v>1.0761904761904761</v>
      </c>
    </row>
    <row r="50" spans="1:11" x14ac:dyDescent="0.2">
      <c r="A50" s="58" t="s">
        <v>108</v>
      </c>
      <c r="B50" s="59"/>
      <c r="C50" s="31">
        <v>-0.08</v>
      </c>
      <c r="D50" s="31">
        <f>D47*C50</f>
        <v>-206.36743599999994</v>
      </c>
      <c r="E50" s="31"/>
      <c r="F50" s="31">
        <f>C50</f>
        <v>-0.08</v>
      </c>
      <c r="G50" s="31">
        <f>G47*F50</f>
        <v>-209.34661919999999</v>
      </c>
      <c r="H50" s="31">
        <f>G50-D50</f>
        <v>-2.9791832000000511</v>
      </c>
      <c r="I50" s="32">
        <f>IF(ISERROR(H50/D50),0,(H50/D50))</f>
        <v>1.4436304766610814E-2</v>
      </c>
      <c r="J50" s="32"/>
      <c r="K50" s="60">
        <f>G50/$G$51</f>
        <v>-7.6190476190476197E-2</v>
      </c>
    </row>
    <row r="51" spans="1:11" ht="13.5" thickBot="1" x14ac:dyDescent="0.25">
      <c r="A51" s="63" t="s">
        <v>121</v>
      </c>
      <c r="B51" s="64"/>
      <c r="C51" s="65"/>
      <c r="D51" s="65">
        <f>SUM(D49:D50)</f>
        <v>2708.5725974999991</v>
      </c>
      <c r="E51" s="65"/>
      <c r="F51" s="65"/>
      <c r="G51" s="65">
        <f>SUM(G49:G50)</f>
        <v>2747.6743769999998</v>
      </c>
      <c r="H51" s="65">
        <f>G51-D51</f>
        <v>39.101779500000703</v>
      </c>
      <c r="I51" s="66">
        <f>IF(ISERROR(H51/D51),0,(H51/D51))</f>
        <v>1.4436304766610826E-2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98</v>
      </c>
      <c r="B1" s="192"/>
      <c r="C1" s="192"/>
      <c r="D1" s="192"/>
      <c r="E1" s="192"/>
      <c r="F1" s="192"/>
      <c r="G1" s="192"/>
      <c r="H1" s="192"/>
      <c r="I1" s="192"/>
      <c r="J1" s="192"/>
      <c r="K1" s="193"/>
    </row>
    <row r="3" spans="1:11" x14ac:dyDescent="0.2">
      <c r="A3" s="13" t="s">
        <v>13</v>
      </c>
      <c r="B3" s="13" t="s">
        <v>4</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1096</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0.31342757368940294</v>
      </c>
      <c r="K12" s="106"/>
    </row>
    <row r="13" spans="1:11" x14ac:dyDescent="0.2">
      <c r="A13" s="107" t="s">
        <v>32</v>
      </c>
      <c r="B13" s="73">
        <f>IF(B4&gt;B7,(B4)-B7,0)</f>
        <v>250</v>
      </c>
      <c r="C13" s="21">
        <v>0.121</v>
      </c>
      <c r="D13" s="22">
        <f>B13*C13</f>
        <v>30.25</v>
      </c>
      <c r="E13" s="73">
        <f t="shared" ref="E13" si="0">B13</f>
        <v>250</v>
      </c>
      <c r="F13" s="21">
        <f>C13</f>
        <v>0.121</v>
      </c>
      <c r="G13" s="22">
        <f>E13*F13</f>
        <v>30.25</v>
      </c>
      <c r="H13" s="22">
        <f t="shared" ref="H13:H46" si="1">G13-D13</f>
        <v>0</v>
      </c>
      <c r="I13" s="23">
        <f t="shared" ref="I13:I46" si="2">IF(ISERROR(H13/D13),0,(H13/D13))</f>
        <v>0</v>
      </c>
      <c r="J13" s="23">
        <f>G13/$G$46</f>
        <v>0.12273377481041346</v>
      </c>
      <c r="K13" s="108"/>
    </row>
    <row r="14" spans="1:11" s="1" customFormat="1" x14ac:dyDescent="0.2">
      <c r="A14" s="46" t="s">
        <v>33</v>
      </c>
      <c r="B14" s="24"/>
      <c r="C14" s="25"/>
      <c r="D14" s="25">
        <f>SUM(D12:D13)</f>
        <v>107.5</v>
      </c>
      <c r="E14" s="76"/>
      <c r="F14" s="25"/>
      <c r="G14" s="25">
        <f>SUM(G12:G13)</f>
        <v>107.5</v>
      </c>
      <c r="H14" s="25">
        <f t="shared" si="1"/>
        <v>0</v>
      </c>
      <c r="I14" s="27">
        <f t="shared" si="2"/>
        <v>0</v>
      </c>
      <c r="J14" s="27">
        <f>G14/$G$46</f>
        <v>0.43616134849981641</v>
      </c>
      <c r="K14" s="108"/>
    </row>
    <row r="15" spans="1:11" s="1" customFormat="1" x14ac:dyDescent="0.2">
      <c r="A15" s="109" t="s">
        <v>34</v>
      </c>
      <c r="B15" s="75">
        <f>B4*0.65</f>
        <v>650</v>
      </c>
      <c r="C15" s="28">
        <v>8.6999999999999994E-2</v>
      </c>
      <c r="D15" s="22">
        <f>B15*C15</f>
        <v>56.55</v>
      </c>
      <c r="E15" s="73">
        <f t="shared" ref="E15:F17" si="3">B15</f>
        <v>650</v>
      </c>
      <c r="F15" s="28">
        <f t="shared" si="3"/>
        <v>8.6999999999999994E-2</v>
      </c>
      <c r="G15" s="22">
        <f>E15*F15</f>
        <v>56.55</v>
      </c>
      <c r="H15" s="22">
        <f t="shared" si="1"/>
        <v>0</v>
      </c>
      <c r="I15" s="23">
        <f t="shared" si="2"/>
        <v>0</v>
      </c>
      <c r="J15" s="23"/>
      <c r="K15" s="108">
        <f t="shared" ref="K15:K26" si="4">G15/$G$51</f>
        <v>0.22657681028633039</v>
      </c>
    </row>
    <row r="16" spans="1:11" s="1" customFormat="1" x14ac:dyDescent="0.2">
      <c r="A16" s="109" t="s">
        <v>35</v>
      </c>
      <c r="B16" s="75">
        <f>B4*0.17</f>
        <v>170</v>
      </c>
      <c r="C16" s="28">
        <v>0.13200000000000001</v>
      </c>
      <c r="D16" s="22">
        <f>B16*C16</f>
        <v>22.44</v>
      </c>
      <c r="E16" s="73">
        <f t="shared" si="3"/>
        <v>170</v>
      </c>
      <c r="F16" s="28">
        <f t="shared" si="3"/>
        <v>0.13200000000000001</v>
      </c>
      <c r="G16" s="22">
        <f>E16*F16</f>
        <v>22.44</v>
      </c>
      <c r="H16" s="22">
        <f t="shared" si="1"/>
        <v>0</v>
      </c>
      <c r="I16" s="23">
        <f t="shared" si="2"/>
        <v>0</v>
      </c>
      <c r="J16" s="23"/>
      <c r="K16" s="108">
        <f t="shared" si="4"/>
        <v>8.9909524718395306E-2</v>
      </c>
    </row>
    <row r="17" spans="1:11" s="1" customFormat="1" x14ac:dyDescent="0.2">
      <c r="A17" s="109" t="s">
        <v>36</v>
      </c>
      <c r="B17" s="75">
        <f>B4*0.18</f>
        <v>180</v>
      </c>
      <c r="C17" s="28">
        <v>0.18</v>
      </c>
      <c r="D17" s="22">
        <f>B17*C17</f>
        <v>32.4</v>
      </c>
      <c r="E17" s="73">
        <f t="shared" si="3"/>
        <v>180</v>
      </c>
      <c r="F17" s="28">
        <f t="shared" si="3"/>
        <v>0.18</v>
      </c>
      <c r="G17" s="22">
        <f>E17*F17</f>
        <v>32.4</v>
      </c>
      <c r="H17" s="22">
        <f t="shared" si="1"/>
        <v>0</v>
      </c>
      <c r="I17" s="23">
        <f t="shared" si="2"/>
        <v>0</v>
      </c>
      <c r="J17" s="23"/>
      <c r="K17" s="108">
        <f t="shared" si="4"/>
        <v>0.12981589130463492</v>
      </c>
    </row>
    <row r="18" spans="1:11" s="1" customFormat="1" x14ac:dyDescent="0.2">
      <c r="A18" s="61" t="s">
        <v>37</v>
      </c>
      <c r="B18" s="29"/>
      <c r="C18" s="30"/>
      <c r="D18" s="30">
        <f>SUM(D15:D17)</f>
        <v>111.38999999999999</v>
      </c>
      <c r="E18" s="77"/>
      <c r="F18" s="30"/>
      <c r="G18" s="30">
        <f>SUM(G15:G17)</f>
        <v>111.38999999999999</v>
      </c>
      <c r="H18" s="31">
        <f t="shared" si="1"/>
        <v>0</v>
      </c>
      <c r="I18" s="32">
        <f t="shared" si="2"/>
        <v>0</v>
      </c>
      <c r="J18" s="33">
        <f t="shared" ref="J18:J23" si="5">G18/$G$46</f>
        <v>0.45194430334320507</v>
      </c>
      <c r="K18" s="62">
        <f t="shared" si="4"/>
        <v>0.44630222630936062</v>
      </c>
    </row>
    <row r="19" spans="1:11" x14ac:dyDescent="0.2">
      <c r="A19" s="107" t="s">
        <v>38</v>
      </c>
      <c r="B19" s="73">
        <v>1</v>
      </c>
      <c r="C19" s="78">
        <f>VLOOKUP($B$3,'Data for Bill Impacts'!$A$3:$Y$15,7,0)</f>
        <v>27.87</v>
      </c>
      <c r="D19" s="22">
        <f>B19*C19</f>
        <v>27.87</v>
      </c>
      <c r="E19" s="73">
        <f t="shared" ref="E19:E41" si="6">B19</f>
        <v>1</v>
      </c>
      <c r="F19" s="78">
        <f>VLOOKUP($B$3,'Data for Bill Impacts'!$A$3:$Y$15,17,0)</f>
        <v>29.68</v>
      </c>
      <c r="G19" s="22">
        <f>E19*F19</f>
        <v>29.68</v>
      </c>
      <c r="H19" s="22">
        <f t="shared" si="1"/>
        <v>1.8099999999999987</v>
      </c>
      <c r="I19" s="23">
        <f t="shared" si="2"/>
        <v>6.4944384642985242E-2</v>
      </c>
      <c r="J19" s="23">
        <f t="shared" si="5"/>
        <v>0.12042110533464699</v>
      </c>
      <c r="K19" s="108">
        <f t="shared" si="4"/>
        <v>0.11891776709634459</v>
      </c>
    </row>
    <row r="20" spans="1:11" hidden="1" x14ac:dyDescent="0.2">
      <c r="A20" s="107" t="s">
        <v>114</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0.73</v>
      </c>
      <c r="D21" s="22">
        <f t="shared" si="7"/>
        <v>0.73</v>
      </c>
      <c r="E21" s="73">
        <f t="shared" si="6"/>
        <v>1</v>
      </c>
      <c r="F21" s="122">
        <f>VLOOKUP($B$3,'Data for Bill Impacts'!$A$3:$Y$15,22,0)</f>
        <v>0</v>
      </c>
      <c r="G21" s="22">
        <f t="shared" si="8"/>
        <v>0</v>
      </c>
      <c r="H21" s="22">
        <f t="shared" si="1"/>
        <v>-0.73</v>
      </c>
      <c r="I21" s="23">
        <f t="shared" si="2"/>
        <v>-1</v>
      </c>
      <c r="J21" s="23">
        <f t="shared" si="5"/>
        <v>0</v>
      </c>
      <c r="K21" s="108">
        <f t="shared" si="4"/>
        <v>0</v>
      </c>
    </row>
    <row r="22" spans="1:11" hidden="1" x14ac:dyDescent="0.2">
      <c r="A22" s="107" t="s">
        <v>123</v>
      </c>
      <c r="B22" s="73">
        <f>B4</f>
        <v>1000</v>
      </c>
      <c r="C22" s="78">
        <v>0</v>
      </c>
      <c r="D22" s="22">
        <f>B22*C22</f>
        <v>0</v>
      </c>
      <c r="E22" s="73">
        <f>B22</f>
        <v>1000</v>
      </c>
      <c r="F22" s="78">
        <f>C22</f>
        <v>0</v>
      </c>
      <c r="G22" s="22">
        <f>E22*F22</f>
        <v>0</v>
      </c>
      <c r="H22" s="22">
        <f>G22-D22</f>
        <v>0</v>
      </c>
      <c r="I22" s="23">
        <f>IF(ISERROR(H22/D22),0,(H22/D22))</f>
        <v>0</v>
      </c>
      <c r="J22" s="23">
        <f t="shared" si="5"/>
        <v>0</v>
      </c>
      <c r="K22" s="108">
        <f t="shared" si="4"/>
        <v>0</v>
      </c>
    </row>
    <row r="23" spans="1:11" x14ac:dyDescent="0.2">
      <c r="A23" s="107" t="s">
        <v>39</v>
      </c>
      <c r="B23" s="73">
        <f>IF($B$9="kWh",$B$4,$B$5)</f>
        <v>1000</v>
      </c>
      <c r="C23" s="126">
        <f>VLOOKUP($B$3,'Data for Bill Impacts'!$A$3:$Y$15,10,0)</f>
        <v>5.6000000000000001E-2</v>
      </c>
      <c r="D23" s="22">
        <f>B23*C23</f>
        <v>56</v>
      </c>
      <c r="E23" s="73">
        <f t="shared" si="6"/>
        <v>1000</v>
      </c>
      <c r="F23" s="126">
        <f>VLOOKUP($B$3,'Data for Bill Impacts'!$A$3:$Y$15,19,0)</f>
        <v>5.91E-2</v>
      </c>
      <c r="G23" s="22">
        <f>E23*F23</f>
        <v>59.1</v>
      </c>
      <c r="H23" s="22">
        <f t="shared" si="1"/>
        <v>3.1000000000000014</v>
      </c>
      <c r="I23" s="23">
        <f t="shared" si="2"/>
        <v>5.5357142857142883E-2</v>
      </c>
      <c r="J23" s="23">
        <f t="shared" si="5"/>
        <v>0.23978730880315488</v>
      </c>
      <c r="K23" s="108">
        <f t="shared" si="4"/>
        <v>0.23679380173160261</v>
      </c>
    </row>
    <row r="24" spans="1:11" x14ac:dyDescent="0.2">
      <c r="A24" s="107" t="s">
        <v>124</v>
      </c>
      <c r="B24" s="73">
        <f>IF($B$9="kWh",$B$4,$B$5)</f>
        <v>1000</v>
      </c>
      <c r="C24" s="78">
        <f>VLOOKUP($B$3,'Data for Bill Impacts'!$A$3:$Y$15,14,0)</f>
        <v>2.0000000000000001E-4</v>
      </c>
      <c r="D24" s="22">
        <f>B24*C24</f>
        <v>0.2</v>
      </c>
      <c r="E24" s="73">
        <f t="shared" si="6"/>
        <v>1000</v>
      </c>
      <c r="F24" s="126">
        <f>VLOOKUP($B$3,'Data for Bill Impacts'!$A$3:$Y$15,23,0)</f>
        <v>2.0000000000000001E-4</v>
      </c>
      <c r="G24" s="22">
        <f>E24*F24</f>
        <v>0.2</v>
      </c>
      <c r="H24" s="22">
        <f t="shared" si="1"/>
        <v>0</v>
      </c>
      <c r="I24" s="23">
        <f>IF(ISERROR(H24/D24),0,(H24/D24))</f>
        <v>0</v>
      </c>
      <c r="J24" s="23">
        <f t="shared" ref="J24" si="9">G24/$G$46</f>
        <v>8.1146297395314686E-4</v>
      </c>
      <c r="K24" s="108">
        <f t="shared" si="4"/>
        <v>8.0133266237428973E-4</v>
      </c>
    </row>
    <row r="25" spans="1:11" s="1" customFormat="1" x14ac:dyDescent="0.2">
      <c r="A25" s="110" t="s">
        <v>72</v>
      </c>
      <c r="B25" s="74"/>
      <c r="C25" s="35"/>
      <c r="D25" s="35">
        <f>SUM(D19:D24)</f>
        <v>84.8</v>
      </c>
      <c r="E25" s="73"/>
      <c r="F25" s="35"/>
      <c r="G25" s="35">
        <f>SUM(G19:G24)</f>
        <v>88.98</v>
      </c>
      <c r="H25" s="35">
        <f t="shared" si="1"/>
        <v>4.1800000000000068</v>
      </c>
      <c r="I25" s="36">
        <f t="shared" si="2"/>
        <v>4.9292452830188759E-2</v>
      </c>
      <c r="J25" s="36">
        <f>G25/$G$46</f>
        <v>0.36101987711175504</v>
      </c>
      <c r="K25" s="111">
        <f t="shared" si="4"/>
        <v>0.3565129014903215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3.20527874711493E-3</v>
      </c>
      <c r="K26" s="108">
        <f t="shared" si="4"/>
        <v>3.1652640163784443E-3</v>
      </c>
    </row>
    <row r="27" spans="1:11" s="1" customFormat="1" x14ac:dyDescent="0.2">
      <c r="A27" s="119" t="s">
        <v>75</v>
      </c>
      <c r="B27" s="120">
        <f>B8-B4</f>
        <v>96</v>
      </c>
      <c r="C27" s="121">
        <f>IF(B4&gt;B7,C13,C12)</f>
        <v>0.121</v>
      </c>
      <c r="D27" s="22">
        <f>B27*C27</f>
        <v>11.616</v>
      </c>
      <c r="E27" s="73">
        <f>B27</f>
        <v>96</v>
      </c>
      <c r="F27" s="121">
        <f>C27</f>
        <v>0.121</v>
      </c>
      <c r="G27" s="22">
        <f>E27*F27</f>
        <v>11.616</v>
      </c>
      <c r="H27" s="22">
        <f t="shared" si="1"/>
        <v>0</v>
      </c>
      <c r="I27" s="23">
        <f>IF(ISERROR(H27/D27),0,(H27/D27))</f>
        <v>0</v>
      </c>
      <c r="J27" s="23">
        <f t="shared" ref="J27:J46" si="10">G27/$G$46</f>
        <v>4.7129769527198766E-2</v>
      </c>
      <c r="K27" s="108">
        <f t="shared" ref="K27:K41" si="11">G27/$G$51</f>
        <v>4.6541401030698745E-2</v>
      </c>
    </row>
    <row r="28" spans="1:11" s="1" customFormat="1" x14ac:dyDescent="0.2">
      <c r="A28" s="119" t="s">
        <v>74</v>
      </c>
      <c r="B28" s="120">
        <f>B8-B4</f>
        <v>96</v>
      </c>
      <c r="C28" s="121">
        <f>0.65*C15+0.17*C16+0.18*C17</f>
        <v>0.11139</v>
      </c>
      <c r="D28" s="22">
        <f>B28*C28</f>
        <v>10.693440000000001</v>
      </c>
      <c r="E28" s="73">
        <f>B28</f>
        <v>96</v>
      </c>
      <c r="F28" s="121">
        <f>C28</f>
        <v>0.11139</v>
      </c>
      <c r="G28" s="22">
        <f>E28*F28</f>
        <v>10.693440000000001</v>
      </c>
      <c r="H28" s="22">
        <f t="shared" si="1"/>
        <v>0</v>
      </c>
      <c r="I28" s="23">
        <f>IF(ISERROR(H28/D28),0,(H28/D28))</f>
        <v>0</v>
      </c>
      <c r="J28" s="23">
        <f t="shared" si="10"/>
        <v>4.3386653120947694E-2</v>
      </c>
      <c r="K28" s="108">
        <f t="shared" si="11"/>
        <v>4.2845013725698627E-2</v>
      </c>
    </row>
    <row r="29" spans="1:11" s="1" customFormat="1" x14ac:dyDescent="0.2">
      <c r="A29" s="110" t="s">
        <v>78</v>
      </c>
      <c r="B29" s="74"/>
      <c r="C29" s="35"/>
      <c r="D29" s="35">
        <f>SUM(D25,D26:D27)</f>
        <v>97.206000000000003</v>
      </c>
      <c r="E29" s="73"/>
      <c r="F29" s="35"/>
      <c r="G29" s="35">
        <f>SUM(G25,G26:G27)</f>
        <v>101.38600000000001</v>
      </c>
      <c r="H29" s="35">
        <f t="shared" si="1"/>
        <v>4.1800000000000068</v>
      </c>
      <c r="I29" s="36">
        <f>IF(ISERROR(H29/D29),0,(H29/D29))</f>
        <v>4.3001460815176085E-2</v>
      </c>
      <c r="J29" s="36">
        <f t="shared" si="10"/>
        <v>0.41135492538606877</v>
      </c>
      <c r="K29" s="111">
        <f t="shared" si="11"/>
        <v>0.40621956653739871</v>
      </c>
    </row>
    <row r="30" spans="1:11" s="1" customFormat="1" x14ac:dyDescent="0.2">
      <c r="A30" s="110" t="s">
        <v>77</v>
      </c>
      <c r="B30" s="74"/>
      <c r="C30" s="35"/>
      <c r="D30" s="35">
        <f>SUM(D25,D26,D28)</f>
        <v>96.283439999999999</v>
      </c>
      <c r="E30" s="73"/>
      <c r="F30" s="35"/>
      <c r="G30" s="35">
        <f>SUM(G25,G26,G28)</f>
        <v>100.46344000000001</v>
      </c>
      <c r="H30" s="35">
        <f t="shared" si="1"/>
        <v>4.1800000000000068</v>
      </c>
      <c r="I30" s="36">
        <f>IF(ISERROR(H30/D30),0,(H30/D30))</f>
        <v>4.3413488342335993E-2</v>
      </c>
      <c r="J30" s="36">
        <f t="shared" si="10"/>
        <v>0.40761180897981769</v>
      </c>
      <c r="K30" s="111">
        <f t="shared" si="11"/>
        <v>0.40252317923239855</v>
      </c>
    </row>
    <row r="31" spans="1:11" x14ac:dyDescent="0.2">
      <c r="A31" s="107" t="s">
        <v>40</v>
      </c>
      <c r="B31" s="73">
        <f>B8</f>
        <v>1096</v>
      </c>
      <c r="C31" s="78">
        <f>VLOOKUP($B$3,'Data for Bill Impacts'!$A$3:$Y$15,15,0)</f>
        <v>5.8999999999999999E-3</v>
      </c>
      <c r="D31" s="22">
        <f>B31*C31</f>
        <v>6.4664000000000001</v>
      </c>
      <c r="E31" s="73">
        <f t="shared" si="6"/>
        <v>1096</v>
      </c>
      <c r="F31" s="126">
        <f>VLOOKUP($B$3,'Data for Bill Impacts'!$A$3:$Y$15,24,0)</f>
        <v>5.6930000000000001E-3</v>
      </c>
      <c r="G31" s="22">
        <f>E31*F31</f>
        <v>6.239528</v>
      </c>
      <c r="H31" s="22">
        <f t="shared" si="1"/>
        <v>-0.22687200000000018</v>
      </c>
      <c r="I31" s="23">
        <f t="shared" si="2"/>
        <v>-3.5084745762711894E-2</v>
      </c>
      <c r="J31" s="23">
        <f t="shared" si="10"/>
        <v>2.5315729734719652E-2</v>
      </c>
      <c r="K31" s="108">
        <f t="shared" si="11"/>
        <v>2.4999687920994634E-2</v>
      </c>
    </row>
    <row r="32" spans="1:11" x14ac:dyDescent="0.2">
      <c r="A32" s="107" t="s">
        <v>41</v>
      </c>
      <c r="B32" s="73">
        <f>B8</f>
        <v>1096</v>
      </c>
      <c r="C32" s="126">
        <f>VLOOKUP($B$3,'Data for Bill Impacts'!$A$3:$Y$15,16,0)</f>
        <v>3.8E-3</v>
      </c>
      <c r="D32" s="22">
        <f>B32*C32</f>
        <v>4.1647999999999996</v>
      </c>
      <c r="E32" s="73">
        <f t="shared" si="6"/>
        <v>1096</v>
      </c>
      <c r="F32" s="126">
        <f>VLOOKUP($B$3,'Data for Bill Impacts'!$A$3:$Y$15,25,0)</f>
        <v>4.4740000000000005E-3</v>
      </c>
      <c r="G32" s="22">
        <f>E32*F32</f>
        <v>4.9035040000000008</v>
      </c>
      <c r="H32" s="22">
        <f t="shared" si="1"/>
        <v>0.73870400000000114</v>
      </c>
      <c r="I32" s="23">
        <f t="shared" si="2"/>
        <v>0.17736842105263187</v>
      </c>
      <c r="J32" s="23">
        <f t="shared" si="10"/>
        <v>1.9895059693155758E-2</v>
      </c>
      <c r="K32" s="108">
        <f t="shared" si="11"/>
        <v>1.9646689576414897E-2</v>
      </c>
    </row>
    <row r="33" spans="1:11" s="1" customFormat="1" x14ac:dyDescent="0.2">
      <c r="A33" s="110" t="s">
        <v>76</v>
      </c>
      <c r="B33" s="74"/>
      <c r="C33" s="35"/>
      <c r="D33" s="35">
        <f>SUM(D31:D32)</f>
        <v>10.6312</v>
      </c>
      <c r="E33" s="73"/>
      <c r="F33" s="35"/>
      <c r="G33" s="35">
        <f>SUM(G31:G32)</f>
        <v>11.143032000000002</v>
      </c>
      <c r="H33" s="35">
        <f t="shared" si="1"/>
        <v>0.51183200000000184</v>
      </c>
      <c r="I33" s="36">
        <f t="shared" si="2"/>
        <v>4.8144329896907388E-2</v>
      </c>
      <c r="J33" s="36">
        <f t="shared" si="10"/>
        <v>4.5210789427875417E-2</v>
      </c>
      <c r="K33" s="111">
        <f t="shared" si="11"/>
        <v>4.4646377497409538E-2</v>
      </c>
    </row>
    <row r="34" spans="1:11" s="1" customFormat="1" x14ac:dyDescent="0.2">
      <c r="A34" s="110" t="s">
        <v>91</v>
      </c>
      <c r="B34" s="74"/>
      <c r="C34" s="35"/>
      <c r="D34" s="35">
        <f>D29+D33</f>
        <v>107.8372</v>
      </c>
      <c r="E34" s="73"/>
      <c r="F34" s="35"/>
      <c r="G34" s="35">
        <f>G29+G33</f>
        <v>112.52903200000002</v>
      </c>
      <c r="H34" s="35">
        <f t="shared" si="1"/>
        <v>4.6918320000000193</v>
      </c>
      <c r="I34" s="36">
        <f t="shared" si="2"/>
        <v>4.3508473884707868E-2</v>
      </c>
      <c r="J34" s="36">
        <f t="shared" si="10"/>
        <v>0.4565657148139442</v>
      </c>
      <c r="K34" s="111">
        <f t="shared" si="11"/>
        <v>0.45086594403480829</v>
      </c>
    </row>
    <row r="35" spans="1:11" s="1" customFormat="1" x14ac:dyDescent="0.2">
      <c r="A35" s="110" t="s">
        <v>92</v>
      </c>
      <c r="B35" s="74"/>
      <c r="C35" s="35"/>
      <c r="D35" s="35">
        <f>D30+D33</f>
        <v>106.91463999999999</v>
      </c>
      <c r="E35" s="73"/>
      <c r="F35" s="35"/>
      <c r="G35" s="35">
        <f>G30+G33</f>
        <v>111.60647200000001</v>
      </c>
      <c r="H35" s="35">
        <f t="shared" si="1"/>
        <v>4.6918320000000193</v>
      </c>
      <c r="I35" s="36">
        <f t="shared" si="2"/>
        <v>4.3883905889782915E-2</v>
      </c>
      <c r="J35" s="36">
        <f t="shared" si="10"/>
        <v>0.45282259840769312</v>
      </c>
      <c r="K35" s="111">
        <f t="shared" si="11"/>
        <v>0.44716955672980813</v>
      </c>
    </row>
    <row r="36" spans="1:11" x14ac:dyDescent="0.2">
      <c r="A36" s="107" t="s">
        <v>42</v>
      </c>
      <c r="B36" s="73">
        <f>B8</f>
        <v>1096</v>
      </c>
      <c r="C36" s="34">
        <v>3.5999999999999999E-3</v>
      </c>
      <c r="D36" s="22">
        <f>B36*C36</f>
        <v>3.9455999999999998</v>
      </c>
      <c r="E36" s="73">
        <f t="shared" si="6"/>
        <v>1096</v>
      </c>
      <c r="F36" s="34">
        <v>3.5999999999999999E-3</v>
      </c>
      <c r="G36" s="22">
        <f>E36*F36</f>
        <v>3.9455999999999998</v>
      </c>
      <c r="H36" s="22">
        <f t="shared" si="1"/>
        <v>0</v>
      </c>
      <c r="I36" s="23">
        <f t="shared" si="2"/>
        <v>0</v>
      </c>
      <c r="J36" s="23">
        <f t="shared" si="10"/>
        <v>1.6008541550147679E-2</v>
      </c>
      <c r="K36" s="108">
        <f t="shared" si="11"/>
        <v>1.5808690763319987E-2</v>
      </c>
    </row>
    <row r="37" spans="1:11" x14ac:dyDescent="0.2">
      <c r="A37" s="107" t="s">
        <v>43</v>
      </c>
      <c r="B37" s="73">
        <f>B8</f>
        <v>1096</v>
      </c>
      <c r="C37" s="34">
        <v>2.0999999999999999E-3</v>
      </c>
      <c r="D37" s="22">
        <f>B37*C37</f>
        <v>2.3015999999999996</v>
      </c>
      <c r="E37" s="73">
        <f t="shared" si="6"/>
        <v>1096</v>
      </c>
      <c r="F37" s="34">
        <v>2.0999999999999999E-3</v>
      </c>
      <c r="G37" s="22">
        <f>E37*F37</f>
        <v>2.3015999999999996</v>
      </c>
      <c r="H37" s="22">
        <f>G37-D37</f>
        <v>0</v>
      </c>
      <c r="I37" s="23">
        <f t="shared" si="2"/>
        <v>0</v>
      </c>
      <c r="J37" s="23">
        <f t="shared" si="10"/>
        <v>9.3383159042528131E-3</v>
      </c>
      <c r="K37" s="108">
        <f t="shared" si="11"/>
        <v>9.2217362786033239E-3</v>
      </c>
    </row>
    <row r="38" spans="1:11" x14ac:dyDescent="0.2">
      <c r="A38" s="107" t="s">
        <v>96</v>
      </c>
      <c r="B38" s="73">
        <f>B8</f>
        <v>1096</v>
      </c>
      <c r="C38" s="34">
        <v>1.1000000000000001E-3</v>
      </c>
      <c r="D38" s="22">
        <f>B38*C38</f>
        <v>1.2056</v>
      </c>
      <c r="E38" s="73">
        <f t="shared" si="6"/>
        <v>1096</v>
      </c>
      <c r="F38" s="34">
        <v>1.1000000000000001E-3</v>
      </c>
      <c r="G38" s="22">
        <f>E38*F38</f>
        <v>1.2056</v>
      </c>
      <c r="H38" s="22">
        <f>G38-D38</f>
        <v>0</v>
      </c>
      <c r="I38" s="23">
        <f t="shared" ref="I38" si="12">IF(ISERROR(H38/D38),0,(H38/D38))</f>
        <v>0</v>
      </c>
      <c r="J38" s="23">
        <f t="shared" ref="J38" si="13">G38/$G$46</f>
        <v>4.8914988069895691E-3</v>
      </c>
      <c r="K38" s="108">
        <f t="shared" ref="K38" si="14">G38/$G$51</f>
        <v>4.8304332887922187E-3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1.0143287174414336E-3</v>
      </c>
      <c r="K39" s="108">
        <f t="shared" si="11"/>
        <v>1.0016658279678621E-3</v>
      </c>
    </row>
    <row r="40" spans="1:11" s="1" customFormat="1" x14ac:dyDescent="0.2">
      <c r="A40" s="110" t="s">
        <v>45</v>
      </c>
      <c r="B40" s="74"/>
      <c r="C40" s="35"/>
      <c r="D40" s="35">
        <f>SUM(D36:D39)</f>
        <v>7.7027999999999999</v>
      </c>
      <c r="E40" s="73"/>
      <c r="F40" s="35"/>
      <c r="G40" s="35">
        <f>SUM(G36:G39)</f>
        <v>7.7027999999999999</v>
      </c>
      <c r="H40" s="35">
        <f t="shared" si="1"/>
        <v>0</v>
      </c>
      <c r="I40" s="36">
        <f t="shared" si="2"/>
        <v>0</v>
      </c>
      <c r="J40" s="36">
        <f t="shared" si="10"/>
        <v>3.1252684978831498E-2</v>
      </c>
      <c r="K40" s="111">
        <f t="shared" si="11"/>
        <v>3.0862526158683394E-2</v>
      </c>
    </row>
    <row r="41" spans="1:11" s="1" customFormat="1" ht="13.5" thickBot="1" x14ac:dyDescent="0.25">
      <c r="A41" s="112" t="s">
        <v>46</v>
      </c>
      <c r="B41" s="113">
        <f>B4</f>
        <v>1000</v>
      </c>
      <c r="C41" s="114">
        <v>7.0000000000000001E-3</v>
      </c>
      <c r="D41" s="115">
        <f>B41*C41</f>
        <v>7</v>
      </c>
      <c r="E41" s="116">
        <f t="shared" si="6"/>
        <v>1000</v>
      </c>
      <c r="F41" s="114">
        <f>C41</f>
        <v>7.0000000000000001E-3</v>
      </c>
      <c r="G41" s="115">
        <f>E41*F41</f>
        <v>7</v>
      </c>
      <c r="H41" s="115">
        <f t="shared" si="1"/>
        <v>0</v>
      </c>
      <c r="I41" s="117">
        <f t="shared" si="2"/>
        <v>0</v>
      </c>
      <c r="J41" s="117">
        <f t="shared" si="10"/>
        <v>2.8401204088360138E-2</v>
      </c>
      <c r="K41" s="118">
        <f t="shared" si="11"/>
        <v>2.8046643183100139E-2</v>
      </c>
    </row>
    <row r="42" spans="1:11" s="1" customFormat="1" x14ac:dyDescent="0.2">
      <c r="A42" s="37" t="s">
        <v>105</v>
      </c>
      <c r="B42" s="38"/>
      <c r="C42" s="39"/>
      <c r="D42" s="39">
        <f>SUM(D14,D25,D26,D27,D33,D40,D41)</f>
        <v>230.04000000000002</v>
      </c>
      <c r="E42" s="38"/>
      <c r="F42" s="39"/>
      <c r="G42" s="39">
        <f>SUM(G14,G25,G26,G27,G33,G40,G41)</f>
        <v>234.73183200000003</v>
      </c>
      <c r="H42" s="39">
        <f t="shared" si="1"/>
        <v>4.6918320000000051</v>
      </c>
      <c r="I42" s="40">
        <f>IF(ISERROR(H42/D42),0,(H42/D42))</f>
        <v>2.0395722483046448E-2</v>
      </c>
      <c r="J42" s="40">
        <f t="shared" si="10"/>
        <v>0.95238095238095233</v>
      </c>
      <c r="K42" s="41"/>
    </row>
    <row r="43" spans="1:11" x14ac:dyDescent="0.2">
      <c r="A43" s="154" t="s">
        <v>106</v>
      </c>
      <c r="B43" s="43"/>
      <c r="C43" s="26">
        <v>0.13</v>
      </c>
      <c r="D43" s="26">
        <f>D42*C43</f>
        <v>29.905200000000004</v>
      </c>
      <c r="E43" s="26"/>
      <c r="F43" s="26">
        <f>C43</f>
        <v>0.13</v>
      </c>
      <c r="G43" s="26">
        <f>G42*F43</f>
        <v>30.515138160000003</v>
      </c>
      <c r="H43" s="26">
        <f t="shared" si="1"/>
        <v>0.60993815999999867</v>
      </c>
      <c r="I43" s="44">
        <f t="shared" si="2"/>
        <v>2.0395722483046379E-2</v>
      </c>
      <c r="J43" s="44">
        <f t="shared" si="10"/>
        <v>0.1238095238095238</v>
      </c>
      <c r="K43" s="45"/>
    </row>
    <row r="44" spans="1:11" s="1" customFormat="1" x14ac:dyDescent="0.2">
      <c r="A44" s="46" t="s">
        <v>107</v>
      </c>
      <c r="B44" s="24"/>
      <c r="C44" s="25"/>
      <c r="D44" s="25">
        <f>SUM(D42:D43)</f>
        <v>259.9452</v>
      </c>
      <c r="E44" s="25"/>
      <c r="F44" s="25"/>
      <c r="G44" s="25">
        <f>SUM(G42:G43)</f>
        <v>265.24697016000005</v>
      </c>
      <c r="H44" s="25">
        <f t="shared" si="1"/>
        <v>5.3017701600000464</v>
      </c>
      <c r="I44" s="27">
        <f t="shared" si="2"/>
        <v>2.0395722483046604E-2</v>
      </c>
      <c r="J44" s="27">
        <f t="shared" si="10"/>
        <v>1.0761904761904761</v>
      </c>
      <c r="K44" s="47"/>
    </row>
    <row r="45" spans="1:11" x14ac:dyDescent="0.2">
      <c r="A45" s="42" t="s">
        <v>108</v>
      </c>
      <c r="B45" s="43"/>
      <c r="C45" s="26">
        <v>-0.08</v>
      </c>
      <c r="D45" s="26">
        <f>D42*C45</f>
        <v>-18.403200000000002</v>
      </c>
      <c r="E45" s="26"/>
      <c r="F45" s="26">
        <f>C45</f>
        <v>-0.08</v>
      </c>
      <c r="G45" s="26">
        <f>G42*F45</f>
        <v>-18.778546560000002</v>
      </c>
      <c r="H45" s="26">
        <f t="shared" si="1"/>
        <v>-0.37534656000000055</v>
      </c>
      <c r="I45" s="44">
        <f t="shared" si="2"/>
        <v>2.0395722483046455E-2</v>
      </c>
      <c r="J45" s="44">
        <f t="shared" si="10"/>
        <v>-7.6190476190476183E-2</v>
      </c>
      <c r="K45" s="45"/>
    </row>
    <row r="46" spans="1:11" s="1" customFormat="1" ht="13.5" thickBot="1" x14ac:dyDescent="0.25">
      <c r="A46" s="48" t="s">
        <v>109</v>
      </c>
      <c r="B46" s="49"/>
      <c r="C46" s="50"/>
      <c r="D46" s="50">
        <f>SUM(D44:D45)</f>
        <v>241.542</v>
      </c>
      <c r="E46" s="50"/>
      <c r="F46" s="50"/>
      <c r="G46" s="50">
        <f>SUM(G44:G45)</f>
        <v>246.46842360000005</v>
      </c>
      <c r="H46" s="50">
        <f t="shared" si="1"/>
        <v>4.9264236000000494</v>
      </c>
      <c r="I46" s="51">
        <f t="shared" si="2"/>
        <v>2.0395722483046632E-2</v>
      </c>
      <c r="J46" s="51">
        <f t="shared" si="10"/>
        <v>1</v>
      </c>
      <c r="K46" s="52"/>
    </row>
    <row r="47" spans="1:11" x14ac:dyDescent="0.2">
      <c r="A47" s="53" t="s">
        <v>110</v>
      </c>
      <c r="B47" s="54"/>
      <c r="C47" s="55"/>
      <c r="D47" s="55">
        <f>SUM(D18,D25,D26,D28,D33,D40,D41)</f>
        <v>233.00744</v>
      </c>
      <c r="E47" s="55"/>
      <c r="F47" s="55"/>
      <c r="G47" s="55">
        <f>SUM(G18,G25,G26,G28,G33,G40,G41)</f>
        <v>237.69927200000001</v>
      </c>
      <c r="H47" s="55">
        <f>G47-D47</f>
        <v>4.6918320000000051</v>
      </c>
      <c r="I47" s="56">
        <f>IF(ISERROR(H47/D47),0,(H47/D47))</f>
        <v>2.0135975057277163E-2</v>
      </c>
      <c r="J47" s="56"/>
      <c r="K47" s="57">
        <f>G47/$G$51</f>
        <v>0.95238095238095233</v>
      </c>
    </row>
    <row r="48" spans="1:11" x14ac:dyDescent="0.2">
      <c r="A48" s="155" t="s">
        <v>106</v>
      </c>
      <c r="B48" s="59"/>
      <c r="C48" s="31">
        <v>0.13</v>
      </c>
      <c r="D48" s="31">
        <f>D47*C48</f>
        <v>30.290967200000001</v>
      </c>
      <c r="E48" s="31"/>
      <c r="F48" s="31">
        <f>C48</f>
        <v>0.13</v>
      </c>
      <c r="G48" s="31">
        <f>G47*F48</f>
        <v>30.900905360000003</v>
      </c>
      <c r="H48" s="31">
        <f>G48-D48</f>
        <v>0.60993816000000223</v>
      </c>
      <c r="I48" s="32">
        <f>IF(ISERROR(H48/D48),0,(H48/D48))</f>
        <v>2.0135975057277215E-2</v>
      </c>
      <c r="J48" s="32"/>
      <c r="K48" s="60">
        <f>G48/$G$51</f>
        <v>0.12380952380952381</v>
      </c>
    </row>
    <row r="49" spans="1:11" x14ac:dyDescent="0.2">
      <c r="A49" s="150" t="s">
        <v>111</v>
      </c>
      <c r="B49" s="29"/>
      <c r="C49" s="30"/>
      <c r="D49" s="30">
        <f>SUM(D47:D48)</f>
        <v>263.29840719999999</v>
      </c>
      <c r="E49" s="30"/>
      <c r="F49" s="30"/>
      <c r="G49" s="30">
        <f>SUM(G47:G48)</f>
        <v>268.60017736000003</v>
      </c>
      <c r="H49" s="30">
        <f>G49-D49</f>
        <v>5.3017701600000464</v>
      </c>
      <c r="I49" s="33">
        <f>IF(ISERROR(H49/D49),0,(H49/D49))</f>
        <v>2.0135975057277319E-2</v>
      </c>
      <c r="J49" s="33"/>
      <c r="K49" s="62">
        <f>G49/$G$51</f>
        <v>1.0761904761904761</v>
      </c>
    </row>
    <row r="50" spans="1:11" x14ac:dyDescent="0.2">
      <c r="A50" s="58" t="s">
        <v>108</v>
      </c>
      <c r="B50" s="59"/>
      <c r="C50" s="31">
        <v>-0.08</v>
      </c>
      <c r="D50" s="31">
        <f>D47*C50</f>
        <v>-18.6405952</v>
      </c>
      <c r="E50" s="31"/>
      <c r="F50" s="31">
        <f>C50</f>
        <v>-0.08</v>
      </c>
      <c r="G50" s="31">
        <f>G47*F50</f>
        <v>-19.01594176</v>
      </c>
      <c r="H50" s="31">
        <f>G50-D50</f>
        <v>-0.37534656000000055</v>
      </c>
      <c r="I50" s="32">
        <f>IF(ISERROR(H50/D50),0,(H50/D50))</f>
        <v>2.013597505727717E-2</v>
      </c>
      <c r="J50" s="32"/>
      <c r="K50" s="60">
        <f>G50/$G$51</f>
        <v>-7.6190476190476183E-2</v>
      </c>
    </row>
    <row r="51" spans="1:11" ht="13.5" thickBot="1" x14ac:dyDescent="0.25">
      <c r="A51" s="63" t="s">
        <v>121</v>
      </c>
      <c r="B51" s="64"/>
      <c r="C51" s="65"/>
      <c r="D51" s="65">
        <f>SUM(D49:D50)</f>
        <v>244.65781199999998</v>
      </c>
      <c r="E51" s="65"/>
      <c r="F51" s="65"/>
      <c r="G51" s="65">
        <f>SUM(G49:G50)</f>
        <v>249.58423560000003</v>
      </c>
      <c r="H51" s="65">
        <f>G51-D51</f>
        <v>4.9264236000000494</v>
      </c>
      <c r="I51" s="66">
        <f>IF(ISERROR(H51/D51),0,(H51/D51))</f>
        <v>2.0135975057277346E-2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100</v>
      </c>
      <c r="B1" s="192"/>
      <c r="C1" s="192"/>
      <c r="D1" s="192"/>
      <c r="E1" s="192"/>
      <c r="F1" s="192"/>
      <c r="G1" s="192"/>
      <c r="H1" s="192"/>
      <c r="I1" s="192"/>
      <c r="J1" s="192"/>
      <c r="K1" s="193"/>
    </row>
    <row r="3" spans="1:11" x14ac:dyDescent="0.2">
      <c r="A3" s="13" t="s">
        <v>13</v>
      </c>
      <c r="B3" s="13" t="s">
        <v>4</v>
      </c>
    </row>
    <row r="4" spans="1:11" x14ac:dyDescent="0.2">
      <c r="A4" s="15" t="s">
        <v>62</v>
      </c>
      <c r="B4" s="15">
        <v>2000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2192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0.16268094929336271</v>
      </c>
      <c r="K12" s="106"/>
    </row>
    <row r="13" spans="1:11" x14ac:dyDescent="0.2">
      <c r="A13" s="107" t="s">
        <v>32</v>
      </c>
      <c r="B13" s="73">
        <f>IF(B4&gt;B7,(B4)-B7,0)</f>
        <v>1250</v>
      </c>
      <c r="C13" s="21">
        <v>0.121</v>
      </c>
      <c r="D13" s="22">
        <f>B13*C13</f>
        <v>151.25</v>
      </c>
      <c r="E13" s="73">
        <f t="shared" ref="E13" si="0">B13</f>
        <v>1250</v>
      </c>
      <c r="F13" s="21">
        <f>C13</f>
        <v>0.121</v>
      </c>
      <c r="G13" s="22">
        <f>E13*F13</f>
        <v>151.25</v>
      </c>
      <c r="H13" s="22">
        <f t="shared" ref="H13:H46" si="1">G13-D13</f>
        <v>0</v>
      </c>
      <c r="I13" s="23">
        <f t="shared" ref="I13:I46" si="2">IF(ISERROR(H13/D13),0,(H13/D13))</f>
        <v>0</v>
      </c>
      <c r="J13" s="23">
        <f>G13/$G$46</f>
        <v>0.31851771625399494</v>
      </c>
      <c r="K13" s="108"/>
    </row>
    <row r="14" spans="1:11" s="1" customFormat="1" x14ac:dyDescent="0.2">
      <c r="A14" s="46" t="s">
        <v>33</v>
      </c>
      <c r="B14" s="24"/>
      <c r="C14" s="25"/>
      <c r="D14" s="25">
        <f>SUM(D12:D13)</f>
        <v>228.5</v>
      </c>
      <c r="E14" s="76"/>
      <c r="F14" s="25"/>
      <c r="G14" s="25">
        <f>SUM(G12:G13)</f>
        <v>228.5</v>
      </c>
      <c r="H14" s="25">
        <f t="shared" si="1"/>
        <v>0</v>
      </c>
      <c r="I14" s="27">
        <f t="shared" si="2"/>
        <v>0</v>
      </c>
      <c r="J14" s="27">
        <f>G14/$G$46</f>
        <v>0.48119866554735768</v>
      </c>
      <c r="K14" s="108"/>
    </row>
    <row r="15" spans="1:11" s="1" customFormat="1" x14ac:dyDescent="0.2">
      <c r="A15" s="109" t="s">
        <v>34</v>
      </c>
      <c r="B15" s="75">
        <f>B4*0.65</f>
        <v>1300</v>
      </c>
      <c r="C15" s="28">
        <v>8.6999999999999994E-2</v>
      </c>
      <c r="D15" s="22">
        <f>B15*C15</f>
        <v>113.1</v>
      </c>
      <c r="E15" s="73">
        <f t="shared" ref="E15:F17" si="3">B15</f>
        <v>1300</v>
      </c>
      <c r="F15" s="28">
        <f t="shared" si="3"/>
        <v>8.6999999999999994E-2</v>
      </c>
      <c r="G15" s="22">
        <f>E15*F15</f>
        <v>113.1</v>
      </c>
      <c r="H15" s="22">
        <f t="shared" si="1"/>
        <v>0</v>
      </c>
      <c r="I15" s="23">
        <f t="shared" si="2"/>
        <v>0</v>
      </c>
      <c r="J15" s="23"/>
      <c r="K15" s="108">
        <f t="shared" ref="K15:K26" si="4">G15/$G$51</f>
        <v>0.24222955473715349</v>
      </c>
    </row>
    <row r="16" spans="1:11" s="1" customFormat="1" x14ac:dyDescent="0.2">
      <c r="A16" s="109" t="s">
        <v>35</v>
      </c>
      <c r="B16" s="75">
        <f>B4*0.17</f>
        <v>340</v>
      </c>
      <c r="C16" s="28">
        <v>0.13200000000000001</v>
      </c>
      <c r="D16" s="22">
        <f>B16*C16</f>
        <v>44.88</v>
      </c>
      <c r="E16" s="73">
        <f t="shared" si="3"/>
        <v>340</v>
      </c>
      <c r="F16" s="28">
        <f t="shared" si="3"/>
        <v>0.13200000000000001</v>
      </c>
      <c r="G16" s="22">
        <f>E16*F16</f>
        <v>44.88</v>
      </c>
      <c r="H16" s="22">
        <f t="shared" si="1"/>
        <v>0</v>
      </c>
      <c r="I16" s="23">
        <f t="shared" si="2"/>
        <v>0</v>
      </c>
      <c r="J16" s="23"/>
      <c r="K16" s="108">
        <f t="shared" si="4"/>
        <v>9.6120799439464624E-2</v>
      </c>
    </row>
    <row r="17" spans="1:11" s="1" customFormat="1" x14ac:dyDescent="0.2">
      <c r="A17" s="109" t="s">
        <v>36</v>
      </c>
      <c r="B17" s="75">
        <f>B4*0.18</f>
        <v>360</v>
      </c>
      <c r="C17" s="28">
        <v>0.18</v>
      </c>
      <c r="D17" s="22">
        <f>B17*C17</f>
        <v>64.8</v>
      </c>
      <c r="E17" s="73">
        <f t="shared" si="3"/>
        <v>360</v>
      </c>
      <c r="F17" s="28">
        <f t="shared" si="3"/>
        <v>0.18</v>
      </c>
      <c r="G17" s="22">
        <f>E17*F17</f>
        <v>64.8</v>
      </c>
      <c r="H17" s="22">
        <f t="shared" si="1"/>
        <v>0</v>
      </c>
      <c r="I17" s="23">
        <f t="shared" si="2"/>
        <v>0</v>
      </c>
      <c r="J17" s="23"/>
      <c r="K17" s="108">
        <f t="shared" si="4"/>
        <v>0.1387840419714195</v>
      </c>
    </row>
    <row r="18" spans="1:11" s="1" customFormat="1" x14ac:dyDescent="0.2">
      <c r="A18" s="61" t="s">
        <v>37</v>
      </c>
      <c r="B18" s="29"/>
      <c r="C18" s="30"/>
      <c r="D18" s="30">
        <f>SUM(D15:D17)</f>
        <v>222.77999999999997</v>
      </c>
      <c r="E18" s="77"/>
      <c r="F18" s="30"/>
      <c r="G18" s="30">
        <f>SUM(G15:G17)</f>
        <v>222.77999999999997</v>
      </c>
      <c r="H18" s="31">
        <f t="shared" si="1"/>
        <v>0</v>
      </c>
      <c r="I18" s="32">
        <f t="shared" si="2"/>
        <v>0</v>
      </c>
      <c r="J18" s="33">
        <f t="shared" ref="J18:J23" si="5">G18/$G$46</f>
        <v>0.46915290464175202</v>
      </c>
      <c r="K18" s="62">
        <f t="shared" si="4"/>
        <v>0.4771343961480376</v>
      </c>
    </row>
    <row r="19" spans="1:11" x14ac:dyDescent="0.2">
      <c r="A19" s="107" t="s">
        <v>38</v>
      </c>
      <c r="B19" s="73">
        <v>1</v>
      </c>
      <c r="C19" s="78">
        <f>VLOOKUP($B$3,'Data for Bill Impacts'!$A$3:$Y$15,7,0)</f>
        <v>27.87</v>
      </c>
      <c r="D19" s="22">
        <f>B19*C19</f>
        <v>27.87</v>
      </c>
      <c r="E19" s="73">
        <f t="shared" ref="E19:E41" si="6">B19</f>
        <v>1</v>
      </c>
      <c r="F19" s="78">
        <f>VLOOKUP($B$3,'Data for Bill Impacts'!$A$3:$Y$15,17,0)</f>
        <v>29.68</v>
      </c>
      <c r="G19" s="22">
        <f>E19*F19</f>
        <v>29.68</v>
      </c>
      <c r="H19" s="22">
        <f t="shared" si="1"/>
        <v>1.8099999999999987</v>
      </c>
      <c r="I19" s="23">
        <f t="shared" si="2"/>
        <v>6.4944384642985242E-2</v>
      </c>
      <c r="J19" s="23">
        <f t="shared" si="5"/>
        <v>6.2503178964750883E-2</v>
      </c>
      <c r="K19" s="108">
        <f t="shared" si="4"/>
        <v>6.3566517989378568E-2</v>
      </c>
    </row>
    <row r="20" spans="1:11" hidden="1" x14ac:dyDescent="0.2">
      <c r="A20" s="107" t="s">
        <v>114</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0.73</v>
      </c>
      <c r="D21" s="22">
        <f t="shared" si="7"/>
        <v>0.73</v>
      </c>
      <c r="E21" s="73">
        <f t="shared" si="6"/>
        <v>1</v>
      </c>
      <c r="F21" s="122">
        <f>VLOOKUP($B$3,'Data for Bill Impacts'!$A$3:$Y$15,22,0)</f>
        <v>0</v>
      </c>
      <c r="G21" s="22">
        <f t="shared" si="8"/>
        <v>0</v>
      </c>
      <c r="H21" s="22">
        <f t="shared" si="1"/>
        <v>-0.73</v>
      </c>
      <c r="I21" s="23">
        <f t="shared" si="2"/>
        <v>-1</v>
      </c>
      <c r="J21" s="23">
        <f t="shared" si="5"/>
        <v>0</v>
      </c>
      <c r="K21" s="108">
        <f t="shared" si="4"/>
        <v>0</v>
      </c>
    </row>
    <row r="22" spans="1:11" hidden="1" x14ac:dyDescent="0.2">
      <c r="A22" s="107" t="s">
        <v>123</v>
      </c>
      <c r="B22" s="73">
        <f>B4</f>
        <v>2000</v>
      </c>
      <c r="C22" s="78">
        <v>0</v>
      </c>
      <c r="D22" s="22">
        <f>B22*C22</f>
        <v>0</v>
      </c>
      <c r="E22" s="73">
        <f>B22</f>
        <v>2000</v>
      </c>
      <c r="F22" s="78">
        <f>C22</f>
        <v>0</v>
      </c>
      <c r="G22" s="22">
        <f>E22*F22</f>
        <v>0</v>
      </c>
      <c r="H22" s="22">
        <f>G22-D22</f>
        <v>0</v>
      </c>
      <c r="I22" s="23">
        <f>IF(ISERROR(H22/D22),0,(H22/D22))</f>
        <v>0</v>
      </c>
      <c r="J22" s="23">
        <f t="shared" si="5"/>
        <v>0</v>
      </c>
      <c r="K22" s="108">
        <f t="shared" si="4"/>
        <v>0</v>
      </c>
    </row>
    <row r="23" spans="1:11" x14ac:dyDescent="0.2">
      <c r="A23" s="107" t="s">
        <v>39</v>
      </c>
      <c r="B23" s="73">
        <f>IF($B$9="kWh",$B$4,$B$5)</f>
        <v>2000</v>
      </c>
      <c r="C23" s="126">
        <f>VLOOKUP($B$3,'Data for Bill Impacts'!$A$3:$Y$15,10,0)</f>
        <v>5.6000000000000001E-2</v>
      </c>
      <c r="D23" s="22">
        <f>B23*C23</f>
        <v>112</v>
      </c>
      <c r="E23" s="73">
        <f t="shared" si="6"/>
        <v>2000</v>
      </c>
      <c r="F23" s="126">
        <f>VLOOKUP($B$3,'Data for Bill Impacts'!$A$3:$Y$15,19,0)</f>
        <v>5.91E-2</v>
      </c>
      <c r="G23" s="22">
        <f>E23*F23</f>
        <v>118.2</v>
      </c>
      <c r="H23" s="22">
        <f t="shared" si="1"/>
        <v>6.2000000000000028</v>
      </c>
      <c r="I23" s="23">
        <f t="shared" si="2"/>
        <v>5.5357142857142883E-2</v>
      </c>
      <c r="J23" s="23">
        <f t="shared" si="5"/>
        <v>0.24891764668576666</v>
      </c>
      <c r="K23" s="108">
        <f t="shared" si="4"/>
        <v>0.25315237285527448</v>
      </c>
    </row>
    <row r="24" spans="1:11" x14ac:dyDescent="0.2">
      <c r="A24" s="107" t="s">
        <v>124</v>
      </c>
      <c r="B24" s="73">
        <f>IF($B$9="kWh",$B$4,$B$5)</f>
        <v>2000</v>
      </c>
      <c r="C24" s="78">
        <f>VLOOKUP($B$3,'Data for Bill Impacts'!$A$3:$Y$15,14,0)</f>
        <v>2.0000000000000001E-4</v>
      </c>
      <c r="D24" s="22">
        <f>B24*C24</f>
        <v>0.4</v>
      </c>
      <c r="E24" s="73">
        <f t="shared" si="6"/>
        <v>2000</v>
      </c>
      <c r="F24" s="126">
        <f>VLOOKUP($B$3,'Data for Bill Impacts'!$A$3:$Y$15,23,0)</f>
        <v>2.0000000000000001E-4</v>
      </c>
      <c r="G24" s="22">
        <f>E24*F24</f>
        <v>0.4</v>
      </c>
      <c r="H24" s="22">
        <f t="shared" si="1"/>
        <v>0</v>
      </c>
      <c r="I24" s="23">
        <f>IF(ISERROR(H24/D24),0,(H24/D24))</f>
        <v>0</v>
      </c>
      <c r="J24" s="23">
        <f t="shared" ref="J24" si="9">G24/$G$46</f>
        <v>8.423609024899041E-4</v>
      </c>
      <c r="K24" s="108">
        <f t="shared" si="4"/>
        <v>8.5669161710752787E-4</v>
      </c>
    </row>
    <row r="25" spans="1:11" s="1" customFormat="1" x14ac:dyDescent="0.2">
      <c r="A25" s="110" t="s">
        <v>72</v>
      </c>
      <c r="B25" s="74"/>
      <c r="C25" s="35"/>
      <c r="D25" s="35">
        <f>SUM(D19:D24)</f>
        <v>141</v>
      </c>
      <c r="E25" s="73"/>
      <c r="F25" s="35"/>
      <c r="G25" s="35">
        <f>SUM(G19:G24)</f>
        <v>148.28</v>
      </c>
      <c r="H25" s="35">
        <f t="shared" si="1"/>
        <v>7.2800000000000011</v>
      </c>
      <c r="I25" s="36">
        <f t="shared" si="2"/>
        <v>5.1631205673758875E-2</v>
      </c>
      <c r="J25" s="36">
        <f>G25/$G$46</f>
        <v>0.31226318655300744</v>
      </c>
      <c r="K25" s="111">
        <f t="shared" si="4"/>
        <v>0.3175755824617606</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1.6636627824175606E-3</v>
      </c>
      <c r="K26" s="108">
        <f t="shared" si="4"/>
        <v>1.6919659437873676E-3</v>
      </c>
    </row>
    <row r="27" spans="1:11" s="1" customFormat="1" x14ac:dyDescent="0.2">
      <c r="A27" s="119" t="s">
        <v>75</v>
      </c>
      <c r="B27" s="120">
        <f>B8-B4</f>
        <v>192</v>
      </c>
      <c r="C27" s="121">
        <f>IF(B4&gt;B7,C13,C12)</f>
        <v>0.121</v>
      </c>
      <c r="D27" s="22">
        <f>B27*C27</f>
        <v>23.231999999999999</v>
      </c>
      <c r="E27" s="73">
        <f>B27</f>
        <v>192</v>
      </c>
      <c r="F27" s="121">
        <f>C27</f>
        <v>0.121</v>
      </c>
      <c r="G27" s="22">
        <f>E27*F27</f>
        <v>23.231999999999999</v>
      </c>
      <c r="H27" s="22">
        <f t="shared" si="1"/>
        <v>0</v>
      </c>
      <c r="I27" s="23">
        <f>IF(ISERROR(H27/D27),0,(H27/D27))</f>
        <v>0</v>
      </c>
      <c r="J27" s="23">
        <f t="shared" ref="J27:J46" si="10">G27/$G$46</f>
        <v>4.8924321216613623E-2</v>
      </c>
      <c r="K27" s="108">
        <f t="shared" ref="K27:K41" si="11">G27/$G$51</f>
        <v>4.9756649121605219E-2</v>
      </c>
    </row>
    <row r="28" spans="1:11" s="1" customFormat="1" x14ac:dyDescent="0.2">
      <c r="A28" s="119" t="s">
        <v>74</v>
      </c>
      <c r="B28" s="120">
        <f>B8-B4</f>
        <v>192</v>
      </c>
      <c r="C28" s="121">
        <f>0.65*C15+0.17*C16+0.18*C17</f>
        <v>0.11139</v>
      </c>
      <c r="D28" s="22">
        <f>B28*C28</f>
        <v>21.386880000000001</v>
      </c>
      <c r="E28" s="73">
        <f>B28</f>
        <v>192</v>
      </c>
      <c r="F28" s="121">
        <f>C28</f>
        <v>0.11139</v>
      </c>
      <c r="G28" s="22">
        <f>E28*F28</f>
        <v>21.386880000000001</v>
      </c>
      <c r="H28" s="22">
        <f t="shared" si="1"/>
        <v>0</v>
      </c>
      <c r="I28" s="23">
        <f>IF(ISERROR(H28/D28),0,(H28/D28))</f>
        <v>0</v>
      </c>
      <c r="J28" s="23">
        <f t="shared" si="10"/>
        <v>4.50386788456082E-2</v>
      </c>
      <c r="K28" s="108">
        <f t="shared" si="11"/>
        <v>4.5804902030211619E-2</v>
      </c>
    </row>
    <row r="29" spans="1:11" s="1" customFormat="1" x14ac:dyDescent="0.2">
      <c r="A29" s="110" t="s">
        <v>78</v>
      </c>
      <c r="B29" s="74"/>
      <c r="C29" s="35"/>
      <c r="D29" s="35">
        <f>SUM(D25,D26:D27)</f>
        <v>165.02199999999999</v>
      </c>
      <c r="E29" s="73"/>
      <c r="F29" s="35"/>
      <c r="G29" s="35">
        <f>SUM(G25,G26:G27)</f>
        <v>172.30199999999999</v>
      </c>
      <c r="H29" s="35">
        <f t="shared" si="1"/>
        <v>7.2800000000000011</v>
      </c>
      <c r="I29" s="36">
        <f>IF(ISERROR(H29/D29),0,(H29/D29))</f>
        <v>4.4115330077201836E-2</v>
      </c>
      <c r="J29" s="36">
        <f t="shared" si="10"/>
        <v>0.36285117055203858</v>
      </c>
      <c r="K29" s="111">
        <f t="shared" si="11"/>
        <v>0.36902419752715315</v>
      </c>
    </row>
    <row r="30" spans="1:11" s="1" customFormat="1" x14ac:dyDescent="0.2">
      <c r="A30" s="110" t="s">
        <v>77</v>
      </c>
      <c r="B30" s="74"/>
      <c r="C30" s="35"/>
      <c r="D30" s="35">
        <f>SUM(D25,D26,D28)</f>
        <v>163.17687999999998</v>
      </c>
      <c r="E30" s="73"/>
      <c r="F30" s="35"/>
      <c r="G30" s="35">
        <f>SUM(G25,G26,G28)</f>
        <v>170.45687999999998</v>
      </c>
      <c r="H30" s="35">
        <f t="shared" si="1"/>
        <v>7.2800000000000011</v>
      </c>
      <c r="I30" s="36">
        <f>IF(ISERROR(H30/D30),0,(H30/D30))</f>
        <v>4.4614163477080832E-2</v>
      </c>
      <c r="J30" s="36">
        <f t="shared" si="10"/>
        <v>0.35896552818103317</v>
      </c>
      <c r="K30" s="111">
        <f t="shared" si="11"/>
        <v>0.36507245043575953</v>
      </c>
    </row>
    <row r="31" spans="1:11" x14ac:dyDescent="0.2">
      <c r="A31" s="107" t="s">
        <v>40</v>
      </c>
      <c r="B31" s="73">
        <f>B8</f>
        <v>2192</v>
      </c>
      <c r="C31" s="78">
        <f>VLOOKUP($B$3,'Data for Bill Impacts'!$A$3:$Y$15,15,0)</f>
        <v>5.8999999999999999E-3</v>
      </c>
      <c r="D31" s="22">
        <f>B31*C31</f>
        <v>12.9328</v>
      </c>
      <c r="E31" s="73">
        <f t="shared" si="6"/>
        <v>2192</v>
      </c>
      <c r="F31" s="126">
        <f>VLOOKUP($B$3,'Data for Bill Impacts'!$A$3:$Y$15,24,0)</f>
        <v>5.6930000000000001E-3</v>
      </c>
      <c r="G31" s="22">
        <f>E31*F31</f>
        <v>12.479056</v>
      </c>
      <c r="H31" s="22">
        <f t="shared" si="1"/>
        <v>-0.45374400000000037</v>
      </c>
      <c r="I31" s="23">
        <f t="shared" si="2"/>
        <v>-3.5084745762711894E-2</v>
      </c>
      <c r="J31" s="23">
        <f t="shared" si="10"/>
        <v>2.627967218595513E-2</v>
      </c>
      <c r="K31" s="108">
        <f t="shared" si="11"/>
        <v>2.6726756661538495E-2</v>
      </c>
    </row>
    <row r="32" spans="1:11" x14ac:dyDescent="0.2">
      <c r="A32" s="107" t="s">
        <v>41</v>
      </c>
      <c r="B32" s="73">
        <f>B8</f>
        <v>2192</v>
      </c>
      <c r="C32" s="126">
        <f>VLOOKUP($B$3,'Data for Bill Impacts'!$A$3:$Y$15,16,0)</f>
        <v>3.8E-3</v>
      </c>
      <c r="D32" s="22">
        <f>B32*C32</f>
        <v>8.3295999999999992</v>
      </c>
      <c r="E32" s="73">
        <f t="shared" si="6"/>
        <v>2192</v>
      </c>
      <c r="F32" s="126">
        <f>VLOOKUP($B$3,'Data for Bill Impacts'!$A$3:$Y$15,25,0)</f>
        <v>4.4740000000000005E-3</v>
      </c>
      <c r="G32" s="22">
        <f>E32*F32</f>
        <v>9.8070080000000015</v>
      </c>
      <c r="H32" s="22">
        <f t="shared" si="1"/>
        <v>1.4774080000000023</v>
      </c>
      <c r="I32" s="23">
        <f t="shared" si="2"/>
        <v>0.17736842105263187</v>
      </c>
      <c r="J32" s="23">
        <f t="shared" si="10"/>
        <v>2.0652600274014277E-2</v>
      </c>
      <c r="K32" s="108">
        <f t="shared" si="11"/>
        <v>2.1003953856266161E-2</v>
      </c>
    </row>
    <row r="33" spans="1:11" s="1" customFormat="1" x14ac:dyDescent="0.2">
      <c r="A33" s="110" t="s">
        <v>76</v>
      </c>
      <c r="B33" s="74"/>
      <c r="C33" s="35"/>
      <c r="D33" s="35">
        <f>SUM(D31:D32)</f>
        <v>21.2624</v>
      </c>
      <c r="E33" s="73"/>
      <c r="F33" s="35"/>
      <c r="G33" s="35">
        <f>SUM(G31:G32)</f>
        <v>22.286064000000003</v>
      </c>
      <c r="H33" s="35">
        <f t="shared" si="1"/>
        <v>1.0236640000000037</v>
      </c>
      <c r="I33" s="36">
        <f t="shared" si="2"/>
        <v>4.8144329896907388E-2</v>
      </c>
      <c r="J33" s="36">
        <f t="shared" si="10"/>
        <v>4.6932272459969407E-2</v>
      </c>
      <c r="K33" s="111">
        <f t="shared" si="11"/>
        <v>4.7730710517804656E-2</v>
      </c>
    </row>
    <row r="34" spans="1:11" s="1" customFormat="1" x14ac:dyDescent="0.2">
      <c r="A34" s="110" t="s">
        <v>91</v>
      </c>
      <c r="B34" s="74"/>
      <c r="C34" s="35"/>
      <c r="D34" s="35">
        <f>D29+D33</f>
        <v>186.28440000000001</v>
      </c>
      <c r="E34" s="73"/>
      <c r="F34" s="35"/>
      <c r="G34" s="35">
        <f>G29+G33</f>
        <v>194.588064</v>
      </c>
      <c r="H34" s="35">
        <f t="shared" si="1"/>
        <v>8.3036639999999977</v>
      </c>
      <c r="I34" s="36">
        <f t="shared" si="2"/>
        <v>4.4575197923175519E-2</v>
      </c>
      <c r="J34" s="36">
        <f t="shared" si="10"/>
        <v>0.40978344301200803</v>
      </c>
      <c r="K34" s="111">
        <f t="shared" si="11"/>
        <v>0.41675490804495779</v>
      </c>
    </row>
    <row r="35" spans="1:11" s="1" customFormat="1" x14ac:dyDescent="0.2">
      <c r="A35" s="110" t="s">
        <v>92</v>
      </c>
      <c r="B35" s="74"/>
      <c r="C35" s="35"/>
      <c r="D35" s="35">
        <f>D30+D33</f>
        <v>184.43928</v>
      </c>
      <c r="E35" s="73"/>
      <c r="F35" s="35"/>
      <c r="G35" s="35">
        <f>G30+G33</f>
        <v>192.74294399999999</v>
      </c>
      <c r="H35" s="35">
        <f t="shared" si="1"/>
        <v>8.3036639999999977</v>
      </c>
      <c r="I35" s="36">
        <f t="shared" si="2"/>
        <v>4.5021125651759204E-2</v>
      </c>
      <c r="J35" s="36">
        <f t="shared" si="10"/>
        <v>0.40589780064100256</v>
      </c>
      <c r="K35" s="111">
        <f t="shared" si="11"/>
        <v>0.41280316095356417</v>
      </c>
    </row>
    <row r="36" spans="1:11" x14ac:dyDescent="0.2">
      <c r="A36" s="107" t="s">
        <v>42</v>
      </c>
      <c r="B36" s="73">
        <f>B8</f>
        <v>2192</v>
      </c>
      <c r="C36" s="34">
        <v>3.5999999999999999E-3</v>
      </c>
      <c r="D36" s="22">
        <f>B36*C36</f>
        <v>7.8911999999999995</v>
      </c>
      <c r="E36" s="73">
        <f t="shared" si="6"/>
        <v>2192</v>
      </c>
      <c r="F36" s="34">
        <v>3.5999999999999999E-3</v>
      </c>
      <c r="G36" s="22">
        <f>E36*F36</f>
        <v>7.8911999999999995</v>
      </c>
      <c r="H36" s="22">
        <f t="shared" si="1"/>
        <v>0</v>
      </c>
      <c r="I36" s="23">
        <f t="shared" si="2"/>
        <v>0</v>
      </c>
      <c r="J36" s="23">
        <f t="shared" si="10"/>
        <v>1.6618095884320828E-2</v>
      </c>
      <c r="K36" s="108">
        <f t="shared" si="11"/>
        <v>1.690081222229731E-2</v>
      </c>
    </row>
    <row r="37" spans="1:11" x14ac:dyDescent="0.2">
      <c r="A37" s="107" t="s">
        <v>43</v>
      </c>
      <c r="B37" s="73">
        <f>B8</f>
        <v>2192</v>
      </c>
      <c r="C37" s="34">
        <v>2.0999999999999999E-3</v>
      </c>
      <c r="D37" s="22">
        <f>B37*C37</f>
        <v>4.6031999999999993</v>
      </c>
      <c r="E37" s="73">
        <f t="shared" si="6"/>
        <v>2192</v>
      </c>
      <c r="F37" s="34">
        <v>2.0999999999999999E-3</v>
      </c>
      <c r="G37" s="22">
        <f>E37*F37</f>
        <v>4.6031999999999993</v>
      </c>
      <c r="H37" s="22">
        <f>G37-D37</f>
        <v>0</v>
      </c>
      <c r="I37" s="23">
        <f t="shared" si="2"/>
        <v>0</v>
      </c>
      <c r="J37" s="23">
        <f t="shared" si="10"/>
        <v>9.6938892658538136E-3</v>
      </c>
      <c r="K37" s="108">
        <f t="shared" si="11"/>
        <v>9.8588071296734289E-3</v>
      </c>
    </row>
    <row r="38" spans="1:11" x14ac:dyDescent="0.2">
      <c r="A38" s="107" t="s">
        <v>96</v>
      </c>
      <c r="B38" s="73">
        <f>B8</f>
        <v>2192</v>
      </c>
      <c r="C38" s="34">
        <v>1.1000000000000001E-3</v>
      </c>
      <c r="D38" s="22">
        <f>B38*C38</f>
        <v>2.4112</v>
      </c>
      <c r="E38" s="73">
        <f t="shared" si="6"/>
        <v>2192</v>
      </c>
      <c r="F38" s="34">
        <v>1.1000000000000001E-3</v>
      </c>
      <c r="G38" s="22">
        <f>E38*F38</f>
        <v>2.4112</v>
      </c>
      <c r="H38" s="22">
        <f>G38-D38</f>
        <v>0</v>
      </c>
      <c r="I38" s="23">
        <f t="shared" ref="I38" si="12">IF(ISERROR(H38/D38),0,(H38/D38))</f>
        <v>0</v>
      </c>
      <c r="J38" s="23">
        <f t="shared" ref="J38" si="13">G38/$G$46</f>
        <v>5.0777515202091415E-3</v>
      </c>
      <c r="K38" s="108">
        <f t="shared" ref="K38" si="14">G38/$G$51</f>
        <v>5.1641370679241776E-3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5.2647556405618998E-4</v>
      </c>
      <c r="K39" s="108">
        <f t="shared" si="11"/>
        <v>5.3543226069220488E-4</v>
      </c>
    </row>
    <row r="40" spans="1:11" s="1" customFormat="1" x14ac:dyDescent="0.2">
      <c r="A40" s="110" t="s">
        <v>45</v>
      </c>
      <c r="B40" s="74"/>
      <c r="C40" s="35"/>
      <c r="D40" s="35">
        <f>SUM(D36:D39)</f>
        <v>15.1556</v>
      </c>
      <c r="E40" s="73"/>
      <c r="F40" s="35"/>
      <c r="G40" s="35">
        <f>SUM(G36:G39)</f>
        <v>15.1556</v>
      </c>
      <c r="H40" s="35">
        <f t="shared" si="1"/>
        <v>0</v>
      </c>
      <c r="I40" s="36">
        <f t="shared" si="2"/>
        <v>0</v>
      </c>
      <c r="J40" s="36">
        <f t="shared" si="10"/>
        <v>3.1916212234439974E-2</v>
      </c>
      <c r="K40" s="111">
        <f t="shared" si="11"/>
        <v>3.2459188680587121E-2</v>
      </c>
    </row>
    <row r="41" spans="1:11" s="1" customFormat="1" ht="13.5" thickBot="1" x14ac:dyDescent="0.25">
      <c r="A41" s="112" t="s">
        <v>46</v>
      </c>
      <c r="B41" s="113">
        <f>B4</f>
        <v>2000</v>
      </c>
      <c r="C41" s="114">
        <v>7.0000000000000001E-3</v>
      </c>
      <c r="D41" s="115">
        <f>B41*C41</f>
        <v>14</v>
      </c>
      <c r="E41" s="116">
        <f t="shared" si="6"/>
        <v>2000</v>
      </c>
      <c r="F41" s="114">
        <f>C41</f>
        <v>7.0000000000000001E-3</v>
      </c>
      <c r="G41" s="115">
        <f>E41*F41</f>
        <v>14</v>
      </c>
      <c r="H41" s="115">
        <f t="shared" si="1"/>
        <v>0</v>
      </c>
      <c r="I41" s="117">
        <f t="shared" si="2"/>
        <v>0</v>
      </c>
      <c r="J41" s="117">
        <f t="shared" si="10"/>
        <v>2.9482631587146643E-2</v>
      </c>
      <c r="K41" s="118">
        <f t="shared" si="11"/>
        <v>2.9984206598763476E-2</v>
      </c>
    </row>
    <row r="42" spans="1:11" s="1" customFormat="1" x14ac:dyDescent="0.2">
      <c r="A42" s="37" t="s">
        <v>105</v>
      </c>
      <c r="B42" s="38"/>
      <c r="C42" s="39"/>
      <c r="D42" s="39">
        <f>SUM(D14,D25,D26,D27,D33,D40,D41)</f>
        <v>443.94000000000005</v>
      </c>
      <c r="E42" s="38"/>
      <c r="F42" s="39"/>
      <c r="G42" s="39">
        <f>SUM(G14,G25,G26,G27,G33,G40,G41)</f>
        <v>452.24366400000002</v>
      </c>
      <c r="H42" s="39">
        <f t="shared" si="1"/>
        <v>8.3036639999999693</v>
      </c>
      <c r="I42" s="40">
        <f>IF(ISERROR(H42/D42),0,(H42/D42))</f>
        <v>1.8704473577510403E-2</v>
      </c>
      <c r="J42" s="40">
        <f t="shared" si="10"/>
        <v>0.95238095238095233</v>
      </c>
      <c r="K42" s="41"/>
    </row>
    <row r="43" spans="1:11" x14ac:dyDescent="0.2">
      <c r="A43" s="154" t="s">
        <v>106</v>
      </c>
      <c r="B43" s="43"/>
      <c r="C43" s="26">
        <v>0.13</v>
      </c>
      <c r="D43" s="26">
        <f>D42*C43</f>
        <v>57.71220000000001</v>
      </c>
      <c r="E43" s="26"/>
      <c r="F43" s="26">
        <f>C43</f>
        <v>0.13</v>
      </c>
      <c r="G43" s="26">
        <f>G42*F43</f>
        <v>58.791676320000008</v>
      </c>
      <c r="H43" s="26">
        <f t="shared" si="1"/>
        <v>1.0794763199999977</v>
      </c>
      <c r="I43" s="44">
        <f t="shared" si="2"/>
        <v>1.8704473577510431E-2</v>
      </c>
      <c r="J43" s="44">
        <f t="shared" si="10"/>
        <v>0.12380952380952381</v>
      </c>
      <c r="K43" s="45"/>
    </row>
    <row r="44" spans="1:11" s="1" customFormat="1" x14ac:dyDescent="0.2">
      <c r="A44" s="46" t="s">
        <v>107</v>
      </c>
      <c r="B44" s="24"/>
      <c r="C44" s="25"/>
      <c r="D44" s="25">
        <f>SUM(D42:D43)</f>
        <v>501.65220000000005</v>
      </c>
      <c r="E44" s="25"/>
      <c r="F44" s="25"/>
      <c r="G44" s="25">
        <f>SUM(G42:G43)</f>
        <v>511.03534032000005</v>
      </c>
      <c r="H44" s="25">
        <f t="shared" si="1"/>
        <v>9.3831403199999954</v>
      </c>
      <c r="I44" s="27">
        <f t="shared" si="2"/>
        <v>1.8704473577510462E-2</v>
      </c>
      <c r="J44" s="27">
        <f t="shared" si="10"/>
        <v>1.0761904761904761</v>
      </c>
      <c r="K44" s="47"/>
    </row>
    <row r="45" spans="1:11" x14ac:dyDescent="0.2">
      <c r="A45" s="42" t="s">
        <v>108</v>
      </c>
      <c r="B45" s="43"/>
      <c r="C45" s="26">
        <v>-0.08</v>
      </c>
      <c r="D45" s="26">
        <f>D42*C45</f>
        <v>-35.515200000000007</v>
      </c>
      <c r="E45" s="26"/>
      <c r="F45" s="26">
        <f>C45</f>
        <v>-0.08</v>
      </c>
      <c r="G45" s="26">
        <f>G42*F45</f>
        <v>-36.179493120000004</v>
      </c>
      <c r="H45" s="26">
        <f t="shared" si="1"/>
        <v>-0.66429311999999641</v>
      </c>
      <c r="I45" s="44">
        <f t="shared" si="2"/>
        <v>1.8704473577510369E-2</v>
      </c>
      <c r="J45" s="44">
        <f t="shared" si="10"/>
        <v>-7.6190476190476197E-2</v>
      </c>
      <c r="K45" s="45"/>
    </row>
    <row r="46" spans="1:11" s="1" customFormat="1" ht="13.5" thickBot="1" x14ac:dyDescent="0.25">
      <c r="A46" s="48" t="s">
        <v>109</v>
      </c>
      <c r="B46" s="49"/>
      <c r="C46" s="50"/>
      <c r="D46" s="50">
        <f>SUM(D44:D45)</f>
        <v>466.13700000000006</v>
      </c>
      <c r="E46" s="50"/>
      <c r="F46" s="50"/>
      <c r="G46" s="50">
        <f>SUM(G44:G45)</f>
        <v>474.85584720000003</v>
      </c>
      <c r="H46" s="50">
        <f t="shared" si="1"/>
        <v>8.7188471999999706</v>
      </c>
      <c r="I46" s="51">
        <f t="shared" si="2"/>
        <v>1.870447357751041E-2</v>
      </c>
      <c r="J46" s="51">
        <f t="shared" si="10"/>
        <v>1</v>
      </c>
      <c r="K46" s="52"/>
    </row>
    <row r="47" spans="1:11" x14ac:dyDescent="0.2">
      <c r="A47" s="53" t="s">
        <v>110</v>
      </c>
      <c r="B47" s="54"/>
      <c r="C47" s="55"/>
      <c r="D47" s="55">
        <f>SUM(D18,D25,D26,D28,D33,D40,D41)</f>
        <v>436.37488000000002</v>
      </c>
      <c r="E47" s="55"/>
      <c r="F47" s="55"/>
      <c r="G47" s="55">
        <f>SUM(G18,G25,G26,G28,G33,G40,G41)</f>
        <v>444.67854399999999</v>
      </c>
      <c r="H47" s="55">
        <f>G47-D47</f>
        <v>8.3036639999999693</v>
      </c>
      <c r="I47" s="56">
        <f>IF(ISERROR(H47/D47),0,(H47/D47))</f>
        <v>1.9028739692807179E-2</v>
      </c>
      <c r="J47" s="56"/>
      <c r="K47" s="57">
        <f>G47/$G$51</f>
        <v>0.95238095238095244</v>
      </c>
    </row>
    <row r="48" spans="1:11" x14ac:dyDescent="0.2">
      <c r="A48" s="58" t="s">
        <v>106</v>
      </c>
      <c r="B48" s="59"/>
      <c r="C48" s="31">
        <v>0.13</v>
      </c>
      <c r="D48" s="31">
        <f>D47*C48</f>
        <v>56.728734400000008</v>
      </c>
      <c r="E48" s="31"/>
      <c r="F48" s="31">
        <f>C48</f>
        <v>0.13</v>
      </c>
      <c r="G48" s="31">
        <f>G47*F48</f>
        <v>57.808210719999998</v>
      </c>
      <c r="H48" s="31">
        <f>G48-D48</f>
        <v>1.0794763199999906</v>
      </c>
      <c r="I48" s="32">
        <f>IF(ISERROR(H48/D48),0,(H48/D48))</f>
        <v>1.9028739692807082E-2</v>
      </c>
      <c r="J48" s="32"/>
      <c r="K48" s="60">
        <f>G48/$G$51</f>
        <v>0.12380952380952381</v>
      </c>
    </row>
    <row r="49" spans="1:11" x14ac:dyDescent="0.2">
      <c r="A49" s="150" t="s">
        <v>111</v>
      </c>
      <c r="B49" s="29"/>
      <c r="C49" s="30"/>
      <c r="D49" s="30">
        <f>SUM(D47:D48)</f>
        <v>493.10361440000003</v>
      </c>
      <c r="E49" s="30"/>
      <c r="F49" s="30"/>
      <c r="G49" s="30">
        <f>SUM(G47:G48)</f>
        <v>502.48675471999996</v>
      </c>
      <c r="H49" s="30">
        <f>G49-D49</f>
        <v>9.3831403199999386</v>
      </c>
      <c r="I49" s="33">
        <f>IF(ISERROR(H49/D49),0,(H49/D49))</f>
        <v>1.9028739692807124E-2</v>
      </c>
      <c r="J49" s="33"/>
      <c r="K49" s="62">
        <f>G49/$G$51</f>
        <v>1.0761904761904761</v>
      </c>
    </row>
    <row r="50" spans="1:11" x14ac:dyDescent="0.2">
      <c r="A50" s="58" t="s">
        <v>108</v>
      </c>
      <c r="B50" s="59"/>
      <c r="C50" s="31">
        <v>-0.08</v>
      </c>
      <c r="D50" s="31">
        <f>D47*C50</f>
        <v>-34.909990400000005</v>
      </c>
      <c r="E50" s="31"/>
      <c r="F50" s="31">
        <f>C50</f>
        <v>-0.08</v>
      </c>
      <c r="G50" s="31">
        <f>G47*F50</f>
        <v>-35.574283520000002</v>
      </c>
      <c r="H50" s="31">
        <f>G50-D50</f>
        <v>-0.66429311999999641</v>
      </c>
      <c r="I50" s="32">
        <f>IF(ISERROR(H50/D50),0,(H50/D50))</f>
        <v>1.9028739692807144E-2</v>
      </c>
      <c r="J50" s="32"/>
      <c r="K50" s="60">
        <f>G50/$G$51</f>
        <v>-7.6190476190476197E-2</v>
      </c>
    </row>
    <row r="51" spans="1:11" ht="13.5" thickBot="1" x14ac:dyDescent="0.25">
      <c r="A51" s="63" t="s">
        <v>121</v>
      </c>
      <c r="B51" s="64"/>
      <c r="C51" s="65"/>
      <c r="D51" s="65">
        <f>SUM(D49:D50)</f>
        <v>458.193624</v>
      </c>
      <c r="E51" s="65"/>
      <c r="F51" s="65"/>
      <c r="G51" s="65">
        <f>SUM(G49:G50)</f>
        <v>466.91247119999997</v>
      </c>
      <c r="H51" s="65">
        <f>G51-D51</f>
        <v>8.7188471999999706</v>
      </c>
      <c r="I51" s="66">
        <f>IF(ISERROR(H51/D51),0,(H51/D51))</f>
        <v>1.9028739692807186E-2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120</v>
      </c>
      <c r="B1" s="192"/>
      <c r="C1" s="192"/>
      <c r="D1" s="192"/>
      <c r="E1" s="192"/>
      <c r="F1" s="192"/>
      <c r="G1" s="192"/>
      <c r="H1" s="192"/>
      <c r="I1" s="192"/>
      <c r="J1" s="192"/>
      <c r="K1" s="193"/>
    </row>
    <row r="3" spans="1:11" x14ac:dyDescent="0.2">
      <c r="A3" s="13" t="s">
        <v>13</v>
      </c>
      <c r="B3" s="13" t="s">
        <v>4</v>
      </c>
    </row>
    <row r="4" spans="1:11" x14ac:dyDescent="0.2">
      <c r="A4" s="15" t="s">
        <v>62</v>
      </c>
      <c r="B4" s="169">
        <f>VLOOKUP(B3,'Data for Bill Impacts'!A19:D32,3,FALSE)</f>
        <v>1982</v>
      </c>
    </row>
    <row r="5" spans="1:11" x14ac:dyDescent="0.2">
      <c r="A5" s="15" t="s">
        <v>16</v>
      </c>
      <c r="B5" s="169">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69">
        <f>B4*B6</f>
        <v>2172.2720000000004</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0.16410162773160727</v>
      </c>
      <c r="K12" s="106"/>
    </row>
    <row r="13" spans="1:11" x14ac:dyDescent="0.2">
      <c r="A13" s="107" t="s">
        <v>32</v>
      </c>
      <c r="B13" s="73">
        <f>IF(B4&gt;B7,(B4)-B7,0)</f>
        <v>1232</v>
      </c>
      <c r="C13" s="21">
        <v>0.121</v>
      </c>
      <c r="D13" s="22">
        <f>B13*C13</f>
        <v>149.072</v>
      </c>
      <c r="E13" s="73">
        <f t="shared" ref="E13" si="0">B13</f>
        <v>1232</v>
      </c>
      <c r="F13" s="21">
        <f>C13</f>
        <v>0.121</v>
      </c>
      <c r="G13" s="22">
        <f>E13*F13</f>
        <v>149.072</v>
      </c>
      <c r="H13" s="22">
        <f t="shared" ref="H13:H46" si="1">G13-D13</f>
        <v>0</v>
      </c>
      <c r="I13" s="23">
        <f t="shared" ref="I13:I46" si="2">IF(ISERROR(H13/D13),0,(H13/D13))</f>
        <v>0</v>
      </c>
      <c r="J13" s="23">
        <f>G13/$G$46</f>
        <v>0.31667259351723182</v>
      </c>
      <c r="K13" s="108"/>
    </row>
    <row r="14" spans="1:11" s="1" customFormat="1" x14ac:dyDescent="0.2">
      <c r="A14" s="46" t="s">
        <v>33</v>
      </c>
      <c r="B14" s="24"/>
      <c r="C14" s="25"/>
      <c r="D14" s="25">
        <f>SUM(D12:D13)</f>
        <v>226.322</v>
      </c>
      <c r="E14" s="76"/>
      <c r="F14" s="25"/>
      <c r="G14" s="25">
        <f>SUM(G12:G13)</f>
        <v>226.322</v>
      </c>
      <c r="H14" s="25">
        <f t="shared" si="1"/>
        <v>0</v>
      </c>
      <c r="I14" s="27">
        <f t="shared" si="2"/>
        <v>0</v>
      </c>
      <c r="J14" s="27">
        <f>G14/$G$46</f>
        <v>0.48077422124883912</v>
      </c>
      <c r="K14" s="108"/>
    </row>
    <row r="15" spans="1:11" s="1" customFormat="1" x14ac:dyDescent="0.2">
      <c r="A15" s="109" t="s">
        <v>34</v>
      </c>
      <c r="B15" s="75">
        <f>B4*0.65</f>
        <v>1288.3</v>
      </c>
      <c r="C15" s="28">
        <v>8.6999999999999994E-2</v>
      </c>
      <c r="D15" s="22">
        <f>B15*C15</f>
        <v>112.08209999999998</v>
      </c>
      <c r="E15" s="73">
        <f t="shared" ref="E15:F17" si="3">B15</f>
        <v>1288.3</v>
      </c>
      <c r="F15" s="28">
        <f t="shared" si="3"/>
        <v>8.6999999999999994E-2</v>
      </c>
      <c r="G15" s="22">
        <f>E15*F15</f>
        <v>112.08209999999998</v>
      </c>
      <c r="H15" s="22">
        <f t="shared" si="1"/>
        <v>0</v>
      </c>
      <c r="I15" s="23">
        <f t="shared" si="2"/>
        <v>0</v>
      </c>
      <c r="J15" s="23"/>
      <c r="K15" s="108">
        <f t="shared" ref="K15:K26" si="4">G15/$G$51</f>
        <v>0.24207767542148051</v>
      </c>
    </row>
    <row r="16" spans="1:11" s="1" customFormat="1" x14ac:dyDescent="0.2">
      <c r="A16" s="109" t="s">
        <v>35</v>
      </c>
      <c r="B16" s="75">
        <f>B4*0.17</f>
        <v>336.94</v>
      </c>
      <c r="C16" s="28">
        <v>0.13200000000000001</v>
      </c>
      <c r="D16" s="22">
        <f>B16*C16</f>
        <v>44.476080000000003</v>
      </c>
      <c r="E16" s="73">
        <f t="shared" si="3"/>
        <v>336.94</v>
      </c>
      <c r="F16" s="28">
        <f t="shared" si="3"/>
        <v>0.13200000000000001</v>
      </c>
      <c r="G16" s="22">
        <f>E16*F16</f>
        <v>44.476080000000003</v>
      </c>
      <c r="H16" s="22">
        <f t="shared" si="1"/>
        <v>0</v>
      </c>
      <c r="I16" s="23">
        <f t="shared" si="2"/>
        <v>0</v>
      </c>
      <c r="J16" s="23"/>
      <c r="K16" s="108">
        <f t="shared" si="4"/>
        <v>9.6060531148683001E-2</v>
      </c>
    </row>
    <row r="17" spans="1:11" s="1" customFormat="1" x14ac:dyDescent="0.2">
      <c r="A17" s="109" t="s">
        <v>36</v>
      </c>
      <c r="B17" s="75">
        <f>B4*0.18</f>
        <v>356.76</v>
      </c>
      <c r="C17" s="28">
        <v>0.18</v>
      </c>
      <c r="D17" s="22">
        <f>B17*C17</f>
        <v>64.216799999999992</v>
      </c>
      <c r="E17" s="73">
        <f t="shared" si="3"/>
        <v>356.76</v>
      </c>
      <c r="F17" s="28">
        <f t="shared" si="3"/>
        <v>0.18</v>
      </c>
      <c r="G17" s="22">
        <f>E17*F17</f>
        <v>64.216799999999992</v>
      </c>
      <c r="H17" s="22">
        <f t="shared" si="1"/>
        <v>0</v>
      </c>
      <c r="I17" s="23">
        <f t="shared" si="2"/>
        <v>0</v>
      </c>
      <c r="J17" s="23"/>
      <c r="K17" s="108">
        <f t="shared" si="4"/>
        <v>0.13869702358365993</v>
      </c>
    </row>
    <row r="18" spans="1:11" s="1" customFormat="1" x14ac:dyDescent="0.2">
      <c r="A18" s="61" t="s">
        <v>37</v>
      </c>
      <c r="B18" s="29"/>
      <c r="C18" s="30"/>
      <c r="D18" s="30">
        <f>SUM(D15:D17)</f>
        <v>220.77497999999997</v>
      </c>
      <c r="E18" s="77"/>
      <c r="F18" s="30"/>
      <c r="G18" s="30">
        <f>SUM(G15:G17)</f>
        <v>220.77497999999997</v>
      </c>
      <c r="H18" s="31">
        <f t="shared" si="1"/>
        <v>0</v>
      </c>
      <c r="I18" s="32">
        <f t="shared" si="2"/>
        <v>0</v>
      </c>
      <c r="J18" s="33">
        <f t="shared" ref="J18:J23" si="5">G18/$G$46</f>
        <v>0.46899072596003927</v>
      </c>
      <c r="K18" s="62">
        <f t="shared" si="4"/>
        <v>0.4768352301538234</v>
      </c>
    </row>
    <row r="19" spans="1:11" x14ac:dyDescent="0.2">
      <c r="A19" s="107" t="s">
        <v>38</v>
      </c>
      <c r="B19" s="73">
        <v>1</v>
      </c>
      <c r="C19" s="78">
        <f>VLOOKUP($B$3,'Data for Bill Impacts'!$A$3:$Y$15,7,0)</f>
        <v>27.87</v>
      </c>
      <c r="D19" s="22">
        <f>B19*C19</f>
        <v>27.87</v>
      </c>
      <c r="E19" s="73">
        <f t="shared" ref="E19:E41" si="6">B19</f>
        <v>1</v>
      </c>
      <c r="F19" s="78">
        <f>VLOOKUP($B$3,'Data for Bill Impacts'!$A$3:$Y$15,17,0)</f>
        <v>29.68</v>
      </c>
      <c r="G19" s="22">
        <f>E19*F19</f>
        <v>29.68</v>
      </c>
      <c r="H19" s="22">
        <f t="shared" si="1"/>
        <v>1.8099999999999987</v>
      </c>
      <c r="I19" s="23">
        <f t="shared" si="2"/>
        <v>6.4944384642985242E-2</v>
      </c>
      <c r="J19" s="23">
        <f t="shared" si="5"/>
        <v>6.3049013735587106E-2</v>
      </c>
      <c r="K19" s="108">
        <f t="shared" si="4"/>
        <v>6.4103593763049971E-2</v>
      </c>
    </row>
    <row r="20" spans="1:11" hidden="1" x14ac:dyDescent="0.2">
      <c r="A20" s="107" t="s">
        <v>114</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0.73</v>
      </c>
      <c r="D21" s="22">
        <f t="shared" si="7"/>
        <v>0.73</v>
      </c>
      <c r="E21" s="73">
        <f t="shared" si="6"/>
        <v>1</v>
      </c>
      <c r="F21" s="122">
        <f>VLOOKUP($B$3,'Data for Bill Impacts'!$A$3:$Y$15,22,0)</f>
        <v>0</v>
      </c>
      <c r="G21" s="22">
        <f t="shared" si="8"/>
        <v>0</v>
      </c>
      <c r="H21" s="22">
        <f t="shared" si="1"/>
        <v>-0.73</v>
      </c>
      <c r="I21" s="23">
        <f t="shared" si="2"/>
        <v>-1</v>
      </c>
      <c r="J21" s="23">
        <f t="shared" si="5"/>
        <v>0</v>
      </c>
      <c r="K21" s="108">
        <f t="shared" si="4"/>
        <v>0</v>
      </c>
    </row>
    <row r="22" spans="1:11" hidden="1" x14ac:dyDescent="0.2">
      <c r="A22" s="107" t="s">
        <v>123</v>
      </c>
      <c r="B22" s="73">
        <f>B4</f>
        <v>1982</v>
      </c>
      <c r="C22" s="78">
        <v>0</v>
      </c>
      <c r="D22" s="22">
        <f>B22*C22</f>
        <v>0</v>
      </c>
      <c r="E22" s="73">
        <f>B22</f>
        <v>1982</v>
      </c>
      <c r="F22" s="78">
        <f>C22</f>
        <v>0</v>
      </c>
      <c r="G22" s="22">
        <f>E22*F22</f>
        <v>0</v>
      </c>
      <c r="H22" s="22">
        <f>G22-D22</f>
        <v>0</v>
      </c>
      <c r="I22" s="23">
        <f>IF(ISERROR(H22/D22),0,(H22/D22))</f>
        <v>0</v>
      </c>
      <c r="J22" s="23">
        <f t="shared" si="5"/>
        <v>0</v>
      </c>
      <c r="K22" s="108">
        <f t="shared" si="4"/>
        <v>0</v>
      </c>
    </row>
    <row r="23" spans="1:11" x14ac:dyDescent="0.2">
      <c r="A23" s="107" t="s">
        <v>39</v>
      </c>
      <c r="B23" s="73">
        <f>IF($B$9="kWh",$B$4,$B$5)</f>
        <v>1982</v>
      </c>
      <c r="C23" s="126">
        <f>VLOOKUP($B$3,'Data for Bill Impacts'!$A$3:$Y$15,10,0)</f>
        <v>5.6000000000000001E-2</v>
      </c>
      <c r="D23" s="22">
        <f>B23*C23</f>
        <v>110.992</v>
      </c>
      <c r="E23" s="73">
        <f t="shared" si="6"/>
        <v>1982</v>
      </c>
      <c r="F23" s="126">
        <f>VLOOKUP($B$3,'Data for Bill Impacts'!$A$3:$Y$15,19,0)</f>
        <v>5.91E-2</v>
      </c>
      <c r="G23" s="22">
        <f>E23*F23</f>
        <v>117.1362</v>
      </c>
      <c r="H23" s="22">
        <f t="shared" si="1"/>
        <v>6.1441999999999979</v>
      </c>
      <c r="I23" s="23">
        <f t="shared" si="2"/>
        <v>5.5357142857142834E-2</v>
      </c>
      <c r="J23" s="23">
        <f t="shared" si="5"/>
        <v>0.24883159982259023</v>
      </c>
      <c r="K23" s="108">
        <f t="shared" si="4"/>
        <v>0.25299364487019455</v>
      </c>
    </row>
    <row r="24" spans="1:11" x14ac:dyDescent="0.2">
      <c r="A24" s="107" t="s">
        <v>124</v>
      </c>
      <c r="B24" s="73">
        <f>IF($B$9="kWh",$B$4,$B$5)</f>
        <v>1982</v>
      </c>
      <c r="C24" s="78">
        <f>VLOOKUP($B$3,'Data for Bill Impacts'!$A$3:$Y$15,14,0)</f>
        <v>2.0000000000000001E-4</v>
      </c>
      <c r="D24" s="22">
        <f>B24*C24</f>
        <v>0.39640000000000003</v>
      </c>
      <c r="E24" s="73">
        <f t="shared" si="6"/>
        <v>1982</v>
      </c>
      <c r="F24" s="126">
        <f>VLOOKUP($B$3,'Data for Bill Impacts'!$A$3:$Y$15,23,0)</f>
        <v>2.0000000000000001E-4</v>
      </c>
      <c r="G24" s="22">
        <f>E24*F24</f>
        <v>0.39640000000000003</v>
      </c>
      <c r="H24" s="22">
        <f t="shared" si="1"/>
        <v>0</v>
      </c>
      <c r="I24" s="23">
        <f>IF(ISERROR(H24/D24),0,(H24/D24))</f>
        <v>0</v>
      </c>
      <c r="J24" s="23">
        <f t="shared" ref="J24" si="9">G24/$G$46</f>
        <v>8.4206971175157443E-4</v>
      </c>
      <c r="K24" s="108">
        <f t="shared" si="4"/>
        <v>8.5615446656580219E-4</v>
      </c>
    </row>
    <row r="25" spans="1:11" s="1" customFormat="1" x14ac:dyDescent="0.2">
      <c r="A25" s="110" t="s">
        <v>72</v>
      </c>
      <c r="B25" s="74"/>
      <c r="C25" s="35"/>
      <c r="D25" s="35">
        <f>SUM(D19:D24)</f>
        <v>139.98840000000001</v>
      </c>
      <c r="E25" s="73"/>
      <c r="F25" s="35"/>
      <c r="G25" s="35">
        <f>SUM(G19:G24)</f>
        <v>147.21260000000001</v>
      </c>
      <c r="H25" s="35">
        <f t="shared" si="1"/>
        <v>7.2241999999999962</v>
      </c>
      <c r="I25" s="36">
        <f t="shared" si="2"/>
        <v>5.1605704472656271E-2</v>
      </c>
      <c r="J25" s="36">
        <f>G25/$G$46</f>
        <v>0.31272268326992891</v>
      </c>
      <c r="K25" s="111">
        <f t="shared" si="4"/>
        <v>0.3179533930998103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1.6781914033394143E-3</v>
      </c>
      <c r="K26" s="108">
        <f t="shared" si="4"/>
        <v>1.7062614242860335E-3</v>
      </c>
    </row>
    <row r="27" spans="1:11" s="1" customFormat="1" x14ac:dyDescent="0.2">
      <c r="A27" s="119" t="s">
        <v>75</v>
      </c>
      <c r="B27" s="120">
        <f>B8-B4</f>
        <v>190.27200000000039</v>
      </c>
      <c r="C27" s="121">
        <f>IF(B4&gt;B7,C13,C12)</f>
        <v>0.121</v>
      </c>
      <c r="D27" s="22">
        <f>B27*C27</f>
        <v>23.022912000000048</v>
      </c>
      <c r="E27" s="73">
        <f>B27</f>
        <v>190.27200000000039</v>
      </c>
      <c r="F27" s="121">
        <f>C27</f>
        <v>0.121</v>
      </c>
      <c r="G27" s="22">
        <f>E27*F27</f>
        <v>23.022912000000048</v>
      </c>
      <c r="H27" s="22">
        <f t="shared" si="1"/>
        <v>0</v>
      </c>
      <c r="I27" s="23">
        <f>IF(ISERROR(H27/D27),0,(H27/D27))</f>
        <v>0</v>
      </c>
      <c r="J27" s="23">
        <f t="shared" ref="J27:J46" si="10">G27/$G$46</f>
        <v>4.8907408858531544E-2</v>
      </c>
      <c r="K27" s="108">
        <f t="shared" ref="K27:K41" si="11">G27/$G$51</f>
        <v>4.9725451418141886E-2</v>
      </c>
    </row>
    <row r="28" spans="1:11" s="1" customFormat="1" x14ac:dyDescent="0.2">
      <c r="A28" s="119" t="s">
        <v>74</v>
      </c>
      <c r="B28" s="120">
        <f>B8-B4</f>
        <v>190.27200000000039</v>
      </c>
      <c r="C28" s="121">
        <f>0.65*C15+0.17*C16+0.18*C17</f>
        <v>0.11139</v>
      </c>
      <c r="D28" s="22">
        <f>B28*C28</f>
        <v>21.194398080000045</v>
      </c>
      <c r="E28" s="73">
        <f>B28</f>
        <v>190.27200000000039</v>
      </c>
      <c r="F28" s="121">
        <f>C28</f>
        <v>0.11139</v>
      </c>
      <c r="G28" s="22">
        <f>E28*F28</f>
        <v>21.194398080000045</v>
      </c>
      <c r="H28" s="22">
        <f t="shared" si="1"/>
        <v>0</v>
      </c>
      <c r="I28" s="23">
        <f>IF(ISERROR(H28/D28),0,(H28/D28))</f>
        <v>0</v>
      </c>
      <c r="J28" s="23">
        <f t="shared" si="10"/>
        <v>4.5023109692163873E-2</v>
      </c>
      <c r="K28" s="108">
        <f t="shared" si="11"/>
        <v>4.5776182094767151E-2</v>
      </c>
    </row>
    <row r="29" spans="1:11" s="1" customFormat="1" x14ac:dyDescent="0.2">
      <c r="A29" s="110" t="s">
        <v>78</v>
      </c>
      <c r="B29" s="74"/>
      <c r="C29" s="35"/>
      <c r="D29" s="35">
        <f>SUM(D25,D26:D27)</f>
        <v>163.80131200000005</v>
      </c>
      <c r="E29" s="73"/>
      <c r="F29" s="35"/>
      <c r="G29" s="35">
        <f>SUM(G25,G26:G27)</f>
        <v>171.02551200000005</v>
      </c>
      <c r="H29" s="35">
        <f t="shared" si="1"/>
        <v>7.2241999999999962</v>
      </c>
      <c r="I29" s="36">
        <f>IF(ISERROR(H29/D29),0,(H29/D29))</f>
        <v>4.4103431845527549E-2</v>
      </c>
      <c r="J29" s="36">
        <f t="shared" si="10"/>
        <v>0.36330828353179984</v>
      </c>
      <c r="K29" s="111">
        <f t="shared" si="11"/>
        <v>0.36938510594223822</v>
      </c>
    </row>
    <row r="30" spans="1:11" s="1" customFormat="1" x14ac:dyDescent="0.2">
      <c r="A30" s="110" t="s">
        <v>77</v>
      </c>
      <c r="B30" s="74"/>
      <c r="C30" s="35"/>
      <c r="D30" s="35">
        <f>SUM(D25,D26,D28)</f>
        <v>161.97279808000005</v>
      </c>
      <c r="E30" s="73"/>
      <c r="F30" s="35"/>
      <c r="G30" s="35">
        <f>SUM(G25,G26,G28)</f>
        <v>169.19699808000004</v>
      </c>
      <c r="H30" s="35">
        <f t="shared" si="1"/>
        <v>7.2241999999999962</v>
      </c>
      <c r="I30" s="36">
        <f>IF(ISERROR(H30/D30),0,(H30/D30))</f>
        <v>4.4601316305172979E-2</v>
      </c>
      <c r="J30" s="36">
        <f t="shared" si="10"/>
        <v>0.35942398436543221</v>
      </c>
      <c r="K30" s="111">
        <f t="shared" si="11"/>
        <v>0.36543583661886347</v>
      </c>
    </row>
    <row r="31" spans="1:11" x14ac:dyDescent="0.2">
      <c r="A31" s="107" t="s">
        <v>40</v>
      </c>
      <c r="B31" s="73">
        <f>B8</f>
        <v>2172.2720000000004</v>
      </c>
      <c r="C31" s="78">
        <f>VLOOKUP($B$3,'Data for Bill Impacts'!$A$3:$Y$15,15,0)</f>
        <v>5.8999999999999999E-3</v>
      </c>
      <c r="D31" s="22">
        <f>B31*C31</f>
        <v>12.816404800000003</v>
      </c>
      <c r="E31" s="73">
        <f t="shared" si="6"/>
        <v>2172.2720000000004</v>
      </c>
      <c r="F31" s="126">
        <f>VLOOKUP($B$3,'Data for Bill Impacts'!$A$3:$Y$15,24,0)</f>
        <v>5.6930000000000001E-3</v>
      </c>
      <c r="G31" s="22">
        <f>E31*F31</f>
        <v>12.366744496000003</v>
      </c>
      <c r="H31" s="22">
        <f t="shared" si="1"/>
        <v>-0.44966030400000001</v>
      </c>
      <c r="I31" s="23">
        <f t="shared" si="2"/>
        <v>-3.5084745762711859E-2</v>
      </c>
      <c r="J31" s="23">
        <f t="shared" si="10"/>
        <v>2.6270587722129392E-2</v>
      </c>
      <c r="K31" s="108">
        <f t="shared" si="11"/>
        <v>2.6709998832311937E-2</v>
      </c>
    </row>
    <row r="32" spans="1:11" x14ac:dyDescent="0.2">
      <c r="A32" s="107" t="s">
        <v>41</v>
      </c>
      <c r="B32" s="73">
        <f>B8</f>
        <v>2172.2720000000004</v>
      </c>
      <c r="C32" s="126">
        <f>VLOOKUP($B$3,'Data for Bill Impacts'!$A$3:$Y$15,16,0)</f>
        <v>3.8E-3</v>
      </c>
      <c r="D32" s="22">
        <f>B32*C32</f>
        <v>8.2546336000000018</v>
      </c>
      <c r="E32" s="73">
        <f t="shared" si="6"/>
        <v>2172.2720000000004</v>
      </c>
      <c r="F32" s="126">
        <f>VLOOKUP($B$3,'Data for Bill Impacts'!$A$3:$Y$15,25,0)</f>
        <v>4.4740000000000005E-3</v>
      </c>
      <c r="G32" s="22">
        <f>E32*F32</f>
        <v>9.7187449280000031</v>
      </c>
      <c r="H32" s="22">
        <f t="shared" si="1"/>
        <v>1.4641113280000013</v>
      </c>
      <c r="I32" s="23">
        <f t="shared" si="2"/>
        <v>0.1773684210526317</v>
      </c>
      <c r="J32" s="23">
        <f t="shared" si="10"/>
        <v>2.0645460999263468E-2</v>
      </c>
      <c r="K32" s="108">
        <f t="shared" si="11"/>
        <v>2.0990784257116389E-2</v>
      </c>
    </row>
    <row r="33" spans="1:11" s="1" customFormat="1" x14ac:dyDescent="0.2">
      <c r="A33" s="110" t="s">
        <v>76</v>
      </c>
      <c r="B33" s="74"/>
      <c r="C33" s="35"/>
      <c r="D33" s="35">
        <f>SUM(D31:D32)</f>
        <v>21.071038400000006</v>
      </c>
      <c r="E33" s="73"/>
      <c r="F33" s="35"/>
      <c r="G33" s="35">
        <f>SUM(G31:G32)</f>
        <v>22.085489424000006</v>
      </c>
      <c r="H33" s="35">
        <f t="shared" si="1"/>
        <v>1.0144510239999995</v>
      </c>
      <c r="I33" s="36">
        <f t="shared" si="2"/>
        <v>4.814432989690718E-2</v>
      </c>
      <c r="J33" s="36">
        <f t="shared" si="10"/>
        <v>4.6916048721392857E-2</v>
      </c>
      <c r="K33" s="111">
        <f t="shared" si="11"/>
        <v>4.7700783089428329E-2</v>
      </c>
    </row>
    <row r="34" spans="1:11" s="1" customFormat="1" x14ac:dyDescent="0.2">
      <c r="A34" s="110" t="s">
        <v>91</v>
      </c>
      <c r="B34" s="74"/>
      <c r="C34" s="35"/>
      <c r="D34" s="35">
        <f>D29+D33</f>
        <v>184.87235040000007</v>
      </c>
      <c r="E34" s="73"/>
      <c r="F34" s="35"/>
      <c r="G34" s="35">
        <f>G29+G33</f>
        <v>193.11100142400005</v>
      </c>
      <c r="H34" s="35">
        <f t="shared" si="1"/>
        <v>8.238651023999978</v>
      </c>
      <c r="I34" s="36">
        <f t="shared" si="2"/>
        <v>4.4563997840533623E-2</v>
      </c>
      <c r="J34" s="36">
        <f t="shared" si="10"/>
        <v>0.41022433225319271</v>
      </c>
      <c r="K34" s="111">
        <f t="shared" si="11"/>
        <v>0.41708588903166655</v>
      </c>
    </row>
    <row r="35" spans="1:11" s="1" customFormat="1" x14ac:dyDescent="0.2">
      <c r="A35" s="110" t="s">
        <v>92</v>
      </c>
      <c r="B35" s="74"/>
      <c r="C35" s="35"/>
      <c r="D35" s="35">
        <f>D30+D33</f>
        <v>183.04383648000004</v>
      </c>
      <c r="E35" s="73"/>
      <c r="F35" s="35"/>
      <c r="G35" s="35">
        <f>G30+G33</f>
        <v>191.28248750400004</v>
      </c>
      <c r="H35" s="35">
        <f t="shared" si="1"/>
        <v>8.2386510240000064</v>
      </c>
      <c r="I35" s="36">
        <f t="shared" si="2"/>
        <v>4.5009169292079321E-2</v>
      </c>
      <c r="J35" s="36">
        <f t="shared" si="10"/>
        <v>0.40634003308682504</v>
      </c>
      <c r="K35" s="111">
        <f t="shared" si="11"/>
        <v>0.4131366197082918</v>
      </c>
    </row>
    <row r="36" spans="1:11" x14ac:dyDescent="0.2">
      <c r="A36" s="107" t="s">
        <v>42</v>
      </c>
      <c r="B36" s="73">
        <f>B8</f>
        <v>2172.2720000000004</v>
      </c>
      <c r="C36" s="34">
        <v>3.5999999999999999E-3</v>
      </c>
      <c r="D36" s="22">
        <f>B36*C36</f>
        <v>7.820179200000001</v>
      </c>
      <c r="E36" s="73">
        <f t="shared" si="6"/>
        <v>2172.2720000000004</v>
      </c>
      <c r="F36" s="34">
        <v>3.5999999999999999E-3</v>
      </c>
      <c r="G36" s="22">
        <f>E36*F36</f>
        <v>7.820179200000001</v>
      </c>
      <c r="H36" s="22">
        <f t="shared" si="1"/>
        <v>0</v>
      </c>
      <c r="I36" s="23">
        <f t="shared" si="2"/>
        <v>0</v>
      </c>
      <c r="J36" s="23">
        <f t="shared" si="10"/>
        <v>1.661235127343506E-2</v>
      </c>
      <c r="K36" s="108">
        <f t="shared" si="11"/>
        <v>1.6890215316410145E-2</v>
      </c>
    </row>
    <row r="37" spans="1:11" x14ac:dyDescent="0.2">
      <c r="A37" s="107" t="s">
        <v>43</v>
      </c>
      <c r="B37" s="73">
        <f>B8</f>
        <v>2172.2720000000004</v>
      </c>
      <c r="C37" s="34">
        <v>2.0999999999999999E-3</v>
      </c>
      <c r="D37" s="22">
        <f>B37*C37</f>
        <v>4.5617712000000008</v>
      </c>
      <c r="E37" s="73">
        <f t="shared" si="6"/>
        <v>2172.2720000000004</v>
      </c>
      <c r="F37" s="34">
        <v>2.0999999999999999E-3</v>
      </c>
      <c r="G37" s="22">
        <f>E37*F37</f>
        <v>4.5617712000000008</v>
      </c>
      <c r="H37" s="22">
        <f>G37-D37</f>
        <v>0</v>
      </c>
      <c r="I37" s="23">
        <f t="shared" si="2"/>
        <v>0</v>
      </c>
      <c r="J37" s="23">
        <f t="shared" si="10"/>
        <v>9.6905382428371205E-3</v>
      </c>
      <c r="K37" s="108">
        <f t="shared" si="11"/>
        <v>9.8526256012392514E-3</v>
      </c>
    </row>
    <row r="38" spans="1:11" x14ac:dyDescent="0.2">
      <c r="A38" s="107" t="s">
        <v>96</v>
      </c>
      <c r="B38" s="73">
        <f>B8</f>
        <v>2172.2720000000004</v>
      </c>
      <c r="C38" s="34">
        <v>1.1000000000000001E-3</v>
      </c>
      <c r="D38" s="22">
        <f>B38*C38</f>
        <v>2.3894992000000004</v>
      </c>
      <c r="E38" s="73">
        <f t="shared" si="6"/>
        <v>2172.2720000000004</v>
      </c>
      <c r="F38" s="34">
        <v>1.1000000000000001E-3</v>
      </c>
      <c r="G38" s="22">
        <f>E38*F38</f>
        <v>2.3894992000000004</v>
      </c>
      <c r="H38" s="22">
        <f>G38-D38</f>
        <v>0</v>
      </c>
      <c r="I38" s="23">
        <f t="shared" si="2"/>
        <v>0</v>
      </c>
      <c r="J38" s="23">
        <f t="shared" si="10"/>
        <v>5.0759962224384914E-3</v>
      </c>
      <c r="K38" s="108">
        <f t="shared" si="11"/>
        <v>5.1608991244586561E-3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5.3107322890487787E-4</v>
      </c>
      <c r="K39" s="108">
        <f t="shared" si="11"/>
        <v>5.3995614692595997E-4</v>
      </c>
    </row>
    <row r="40" spans="1:11" s="1" customFormat="1" x14ac:dyDescent="0.2">
      <c r="A40" s="110" t="s">
        <v>45</v>
      </c>
      <c r="B40" s="74"/>
      <c r="C40" s="35"/>
      <c r="D40" s="35">
        <f>SUM(D36:D39)</f>
        <v>15.0214496</v>
      </c>
      <c r="E40" s="73"/>
      <c r="F40" s="35"/>
      <c r="G40" s="35">
        <f>SUM(G36:G39)</f>
        <v>15.0214496</v>
      </c>
      <c r="H40" s="35">
        <f t="shared" si="1"/>
        <v>0</v>
      </c>
      <c r="I40" s="36">
        <f t="shared" si="2"/>
        <v>0</v>
      </c>
      <c r="J40" s="36">
        <f t="shared" si="10"/>
        <v>3.1909958967615545E-2</v>
      </c>
      <c r="K40" s="111">
        <f t="shared" si="11"/>
        <v>3.2443696189034012E-2</v>
      </c>
    </row>
    <row r="41" spans="1:11" s="1" customFormat="1" ht="13.5" thickBot="1" x14ac:dyDescent="0.25">
      <c r="A41" s="112" t="s">
        <v>46</v>
      </c>
      <c r="B41" s="113">
        <f>B4</f>
        <v>1982</v>
      </c>
      <c r="C41" s="114">
        <v>7.0000000000000001E-3</v>
      </c>
      <c r="D41" s="115">
        <f>B41*C41</f>
        <v>13.874000000000001</v>
      </c>
      <c r="E41" s="116">
        <f t="shared" si="6"/>
        <v>1982</v>
      </c>
      <c r="F41" s="114">
        <f>C41</f>
        <v>7.0000000000000001E-3</v>
      </c>
      <c r="G41" s="115">
        <f>E41*F41</f>
        <v>13.874000000000001</v>
      </c>
      <c r="H41" s="115">
        <f t="shared" si="1"/>
        <v>0</v>
      </c>
      <c r="I41" s="117">
        <f t="shared" si="2"/>
        <v>0</v>
      </c>
      <c r="J41" s="117">
        <f t="shared" si="10"/>
        <v>2.9472439911305104E-2</v>
      </c>
      <c r="K41" s="118">
        <f t="shared" si="11"/>
        <v>2.9965406329803074E-2</v>
      </c>
    </row>
    <row r="42" spans="1:11" s="1" customFormat="1" x14ac:dyDescent="0.2">
      <c r="A42" s="37" t="s">
        <v>105</v>
      </c>
      <c r="B42" s="38"/>
      <c r="C42" s="39"/>
      <c r="D42" s="39">
        <f>SUM(D14,D25,D26,D27,D33,D40,D41)</f>
        <v>440.08980000000008</v>
      </c>
      <c r="E42" s="38"/>
      <c r="F42" s="39"/>
      <c r="G42" s="39">
        <f>SUM(G14,G25,G26,G27,G33,G40,G41)</f>
        <v>448.32845102400006</v>
      </c>
      <c r="H42" s="39">
        <f t="shared" si="1"/>
        <v>8.238651023999978</v>
      </c>
      <c r="I42" s="40">
        <f>IF(ISERROR(H42/D42),0,(H42/D42))</f>
        <v>1.8720386212086663E-2</v>
      </c>
      <c r="J42" s="40">
        <f t="shared" si="10"/>
        <v>0.95238095238095244</v>
      </c>
      <c r="K42" s="41"/>
    </row>
    <row r="43" spans="1:11" x14ac:dyDescent="0.2">
      <c r="A43" s="154" t="s">
        <v>106</v>
      </c>
      <c r="B43" s="43"/>
      <c r="C43" s="26">
        <v>0.13</v>
      </c>
      <c r="D43" s="26">
        <f>D42*C43</f>
        <v>57.211674000000009</v>
      </c>
      <c r="E43" s="26"/>
      <c r="F43" s="26">
        <f>C43</f>
        <v>0.13</v>
      </c>
      <c r="G43" s="26">
        <f>G42*F43</f>
        <v>58.282698633120013</v>
      </c>
      <c r="H43" s="26">
        <f t="shared" si="1"/>
        <v>1.071024633120004</v>
      </c>
      <c r="I43" s="44">
        <f t="shared" si="2"/>
        <v>1.8720386212086781E-2</v>
      </c>
      <c r="J43" s="44">
        <f t="shared" si="10"/>
        <v>0.12380952380952383</v>
      </c>
      <c r="K43" s="45"/>
    </row>
    <row r="44" spans="1:11" s="1" customFormat="1" x14ac:dyDescent="0.2">
      <c r="A44" s="46" t="s">
        <v>107</v>
      </c>
      <c r="B44" s="24"/>
      <c r="C44" s="25"/>
      <c r="D44" s="25">
        <f>SUM(D42:D43)</f>
        <v>497.3014740000001</v>
      </c>
      <c r="E44" s="25"/>
      <c r="F44" s="25"/>
      <c r="G44" s="25">
        <f>SUM(G42:G43)</f>
        <v>506.61114965712005</v>
      </c>
      <c r="H44" s="25">
        <f t="shared" si="1"/>
        <v>9.3096756571199535</v>
      </c>
      <c r="I44" s="27">
        <f t="shared" si="2"/>
        <v>1.8720386212086618E-2</v>
      </c>
      <c r="J44" s="27">
        <f t="shared" si="10"/>
        <v>1.0761904761904764</v>
      </c>
      <c r="K44" s="47"/>
    </row>
    <row r="45" spans="1:11" x14ac:dyDescent="0.2">
      <c r="A45" s="42" t="s">
        <v>108</v>
      </c>
      <c r="B45" s="43"/>
      <c r="C45" s="26">
        <v>-0.08</v>
      </c>
      <c r="D45" s="26">
        <f>D42*C45</f>
        <v>-35.207184000000005</v>
      </c>
      <c r="E45" s="26"/>
      <c r="F45" s="26">
        <f>C45</f>
        <v>-0.08</v>
      </c>
      <c r="G45" s="26">
        <f>G42*F45</f>
        <v>-35.866276081920006</v>
      </c>
      <c r="H45" s="26">
        <f t="shared" si="1"/>
        <v>-0.65909208192000079</v>
      </c>
      <c r="I45" s="44">
        <f t="shared" si="2"/>
        <v>1.8720386212086736E-2</v>
      </c>
      <c r="J45" s="44">
        <f t="shared" si="10"/>
        <v>-7.6190476190476197E-2</v>
      </c>
      <c r="K45" s="45"/>
    </row>
    <row r="46" spans="1:11" s="1" customFormat="1" ht="13.5" thickBot="1" x14ac:dyDescent="0.25">
      <c r="A46" s="48" t="s">
        <v>109</v>
      </c>
      <c r="B46" s="49"/>
      <c r="C46" s="50"/>
      <c r="D46" s="50">
        <f>SUM(D44:D45)</f>
        <v>462.09429000000011</v>
      </c>
      <c r="E46" s="50"/>
      <c r="F46" s="50"/>
      <c r="G46" s="50">
        <f>SUM(G44:G45)</f>
        <v>470.74487357520002</v>
      </c>
      <c r="H46" s="50">
        <f t="shared" si="1"/>
        <v>8.650583575199903</v>
      </c>
      <c r="I46" s="51">
        <f t="shared" si="2"/>
        <v>1.87203862120865E-2</v>
      </c>
      <c r="J46" s="51">
        <f t="shared" si="10"/>
        <v>1</v>
      </c>
      <c r="K46" s="52"/>
    </row>
    <row r="47" spans="1:11" x14ac:dyDescent="0.2">
      <c r="A47" s="53" t="s">
        <v>110</v>
      </c>
      <c r="B47" s="54"/>
      <c r="C47" s="55"/>
      <c r="D47" s="55">
        <f>SUM(D18,D25,D26,D28,D33,D40,D41)</f>
        <v>432.71426608000007</v>
      </c>
      <c r="E47" s="55"/>
      <c r="F47" s="55"/>
      <c r="G47" s="55">
        <f>SUM(G18,G25,G26,G28,G33,G40,G41)</f>
        <v>440.95291710400005</v>
      </c>
      <c r="H47" s="55">
        <f>G47-D47</f>
        <v>8.238651023999978</v>
      </c>
      <c r="I47" s="56">
        <f>IF(ISERROR(H47/D47),0,(H47/D47))</f>
        <v>1.9039471701810771E-2</v>
      </c>
      <c r="J47" s="56"/>
      <c r="K47" s="57">
        <f>G47/$G$51</f>
        <v>0.95238095238095233</v>
      </c>
    </row>
    <row r="48" spans="1:11" x14ac:dyDescent="0.2">
      <c r="A48" s="58" t="s">
        <v>106</v>
      </c>
      <c r="B48" s="59"/>
      <c r="C48" s="31">
        <v>0.13</v>
      </c>
      <c r="D48" s="31">
        <f>D47*C48</f>
        <v>56.252854590400013</v>
      </c>
      <c r="E48" s="31"/>
      <c r="F48" s="31">
        <f>C48</f>
        <v>0.13</v>
      </c>
      <c r="G48" s="31">
        <f>G47*F48</f>
        <v>57.323879223520009</v>
      </c>
      <c r="H48" s="31">
        <f>G48-D48</f>
        <v>1.0710246331199968</v>
      </c>
      <c r="I48" s="32">
        <f>IF(ISERROR(H48/D48),0,(H48/D48))</f>
        <v>1.9039471701810765E-2</v>
      </c>
      <c r="J48" s="32"/>
      <c r="K48" s="60">
        <f>G48/$G$51</f>
        <v>0.12380952380952381</v>
      </c>
    </row>
    <row r="49" spans="1:11" x14ac:dyDescent="0.2">
      <c r="A49" s="150" t="s">
        <v>111</v>
      </c>
      <c r="B49" s="29"/>
      <c r="C49" s="30"/>
      <c r="D49" s="30">
        <f>SUM(D47:D48)</f>
        <v>488.96712067040011</v>
      </c>
      <c r="E49" s="30"/>
      <c r="F49" s="30"/>
      <c r="G49" s="30">
        <f>SUM(G47:G48)</f>
        <v>498.27679632752006</v>
      </c>
      <c r="H49" s="30">
        <f>G49-D49</f>
        <v>9.3096756571199535</v>
      </c>
      <c r="I49" s="33">
        <f>IF(ISERROR(H49/D49),0,(H49/D49))</f>
        <v>1.9039471701810726E-2</v>
      </c>
      <c r="J49" s="33"/>
      <c r="K49" s="62">
        <f>G49/$G$51</f>
        <v>1.0761904761904761</v>
      </c>
    </row>
    <row r="50" spans="1:11" x14ac:dyDescent="0.2">
      <c r="A50" s="58" t="s">
        <v>108</v>
      </c>
      <c r="B50" s="59"/>
      <c r="C50" s="31">
        <v>-0.08</v>
      </c>
      <c r="D50" s="31">
        <f>D47*C50</f>
        <v>-34.617141286400006</v>
      </c>
      <c r="E50" s="31"/>
      <c r="F50" s="31">
        <f>C50</f>
        <v>-0.08</v>
      </c>
      <c r="G50" s="31">
        <f>G47*F50</f>
        <v>-35.276233368320007</v>
      </c>
      <c r="H50" s="31">
        <f>G50-D50</f>
        <v>-0.65909208192000079</v>
      </c>
      <c r="I50" s="32">
        <f>IF(ISERROR(H50/D50),0,(H50/D50))</f>
        <v>1.9039471701810844E-2</v>
      </c>
      <c r="J50" s="32"/>
      <c r="K50" s="60">
        <f>G50/$G$51</f>
        <v>-7.6190476190476197E-2</v>
      </c>
    </row>
    <row r="51" spans="1:11" ht="13.5" thickBot="1" x14ac:dyDescent="0.25">
      <c r="A51" s="63" t="s">
        <v>121</v>
      </c>
      <c r="B51" s="64"/>
      <c r="C51" s="65"/>
      <c r="D51" s="65">
        <f>SUM(D49:D50)</f>
        <v>454.34997938400011</v>
      </c>
      <c r="E51" s="65"/>
      <c r="F51" s="65"/>
      <c r="G51" s="65">
        <f>SUM(G49:G50)</f>
        <v>463.00056295920007</v>
      </c>
      <c r="H51" s="65">
        <f>G51-D51</f>
        <v>8.6505835751999598</v>
      </c>
      <c r="I51" s="66">
        <f>IF(ISERROR(H51/D51),0,(H51/D51))</f>
        <v>1.9039471701810733E-2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101</v>
      </c>
      <c r="B1" s="192"/>
      <c r="C1" s="192"/>
      <c r="D1" s="192"/>
      <c r="E1" s="192"/>
      <c r="F1" s="192"/>
      <c r="G1" s="192"/>
      <c r="H1" s="192"/>
      <c r="I1" s="192"/>
      <c r="J1" s="192"/>
      <c r="K1" s="193"/>
    </row>
    <row r="3" spans="1:11" x14ac:dyDescent="0.2">
      <c r="A3" s="13" t="s">
        <v>13</v>
      </c>
      <c r="B3" s="13" t="s">
        <v>4</v>
      </c>
    </row>
    <row r="4" spans="1:11" x14ac:dyDescent="0.2">
      <c r="A4" s="15" t="s">
        <v>62</v>
      </c>
      <c r="B4" s="15">
        <v>15000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16440</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2.2431014694833867E-2</v>
      </c>
      <c r="K12" s="106"/>
    </row>
    <row r="13" spans="1:11" x14ac:dyDescent="0.2">
      <c r="A13" s="107" t="s">
        <v>32</v>
      </c>
      <c r="B13" s="73">
        <f>IF(B4&gt;B7,(B4)-B7,0)</f>
        <v>14250</v>
      </c>
      <c r="C13" s="21">
        <v>0.121</v>
      </c>
      <c r="D13" s="22">
        <f>B13*C13</f>
        <v>1724.25</v>
      </c>
      <c r="E13" s="73">
        <f t="shared" ref="E13" si="0">B13</f>
        <v>14250</v>
      </c>
      <c r="F13" s="21">
        <f>C13</f>
        <v>0.121</v>
      </c>
      <c r="G13" s="22">
        <f>E13*F13</f>
        <v>1724.25</v>
      </c>
      <c r="H13" s="22">
        <f t="shared" ref="H13:H46" si="1">G13-D13</f>
        <v>0</v>
      </c>
      <c r="I13" s="23">
        <f t="shared" ref="I13:I46" si="2">IF(ISERROR(H13/D13),0,(H13/D13))</f>
        <v>0</v>
      </c>
      <c r="J13" s="23">
        <f>G13/$G$46</f>
        <v>0.50066895906235986</v>
      </c>
      <c r="K13" s="108"/>
    </row>
    <row r="14" spans="1:11" s="1" customFormat="1" x14ac:dyDescent="0.2">
      <c r="A14" s="46" t="s">
        <v>33</v>
      </c>
      <c r="B14" s="24"/>
      <c r="C14" s="25"/>
      <c r="D14" s="25">
        <f>SUM(D12:D13)</f>
        <v>1801.5</v>
      </c>
      <c r="E14" s="76"/>
      <c r="F14" s="25"/>
      <c r="G14" s="25">
        <f>SUM(G12:G13)</f>
        <v>1801.5</v>
      </c>
      <c r="H14" s="25">
        <f t="shared" si="1"/>
        <v>0</v>
      </c>
      <c r="I14" s="27">
        <f t="shared" si="2"/>
        <v>0</v>
      </c>
      <c r="J14" s="27">
        <f>G14/$G$46</f>
        <v>0.52309997375719364</v>
      </c>
      <c r="K14" s="108"/>
    </row>
    <row r="15" spans="1:11" s="1" customFormat="1" x14ac:dyDescent="0.2">
      <c r="A15" s="109" t="s">
        <v>34</v>
      </c>
      <c r="B15" s="75">
        <f>B4*0.65</f>
        <v>9750</v>
      </c>
      <c r="C15" s="28">
        <v>8.6999999999999994E-2</v>
      </c>
      <c r="D15" s="22">
        <f>B15*C15</f>
        <v>848.24999999999989</v>
      </c>
      <c r="E15" s="73">
        <f t="shared" ref="E15:F17" si="3">B15</f>
        <v>9750</v>
      </c>
      <c r="F15" s="28">
        <f t="shared" si="3"/>
        <v>8.6999999999999994E-2</v>
      </c>
      <c r="G15" s="22">
        <f>E15*F15</f>
        <v>848.24999999999989</v>
      </c>
      <c r="H15" s="22">
        <f t="shared" si="1"/>
        <v>0</v>
      </c>
      <c r="I15" s="23">
        <f t="shared" si="2"/>
        <v>0</v>
      </c>
      <c r="J15" s="23"/>
      <c r="K15" s="108">
        <f t="shared" ref="K15:K26" si="4">G15/$G$51</f>
        <v>0.25765605770878958</v>
      </c>
    </row>
    <row r="16" spans="1:11" s="1" customFormat="1" x14ac:dyDescent="0.2">
      <c r="A16" s="109" t="s">
        <v>35</v>
      </c>
      <c r="B16" s="75">
        <f>B4*0.17</f>
        <v>2550</v>
      </c>
      <c r="C16" s="28">
        <v>0.13200000000000001</v>
      </c>
      <c r="D16" s="22">
        <f>B16*C16</f>
        <v>336.6</v>
      </c>
      <c r="E16" s="73">
        <f t="shared" si="3"/>
        <v>2550</v>
      </c>
      <c r="F16" s="28">
        <f t="shared" si="3"/>
        <v>0.13200000000000001</v>
      </c>
      <c r="G16" s="22">
        <f>E16*F16</f>
        <v>336.6</v>
      </c>
      <c r="H16" s="22">
        <f t="shared" si="1"/>
        <v>0</v>
      </c>
      <c r="I16" s="23">
        <f t="shared" si="2"/>
        <v>0</v>
      </c>
      <c r="J16" s="23"/>
      <c r="K16" s="108">
        <f t="shared" si="4"/>
        <v>0.1022422977008884</v>
      </c>
    </row>
    <row r="17" spans="1:11" s="1" customFormat="1" x14ac:dyDescent="0.2">
      <c r="A17" s="109" t="s">
        <v>36</v>
      </c>
      <c r="B17" s="75">
        <f>B4*0.18</f>
        <v>2700</v>
      </c>
      <c r="C17" s="28">
        <v>0.18</v>
      </c>
      <c r="D17" s="22">
        <f>B17*C17</f>
        <v>486</v>
      </c>
      <c r="E17" s="73">
        <f t="shared" si="3"/>
        <v>2700</v>
      </c>
      <c r="F17" s="28">
        <f t="shared" si="3"/>
        <v>0.18</v>
      </c>
      <c r="G17" s="22">
        <f>E17*F17</f>
        <v>486</v>
      </c>
      <c r="H17" s="22">
        <f t="shared" si="1"/>
        <v>0</v>
      </c>
      <c r="I17" s="23">
        <f t="shared" si="2"/>
        <v>0</v>
      </c>
      <c r="J17" s="23"/>
      <c r="K17" s="108">
        <f t="shared" si="4"/>
        <v>0.14762256887294045</v>
      </c>
    </row>
    <row r="18" spans="1:11" s="1" customFormat="1" x14ac:dyDescent="0.2">
      <c r="A18" s="61" t="s">
        <v>37</v>
      </c>
      <c r="B18" s="29"/>
      <c r="C18" s="30"/>
      <c r="D18" s="30">
        <f>SUM(D15:D17)</f>
        <v>1670.85</v>
      </c>
      <c r="E18" s="77"/>
      <c r="F18" s="30"/>
      <c r="G18" s="30">
        <f>SUM(G15:G17)</f>
        <v>1670.85</v>
      </c>
      <c r="H18" s="31">
        <f t="shared" si="1"/>
        <v>0</v>
      </c>
      <c r="I18" s="32">
        <f t="shared" si="2"/>
        <v>0</v>
      </c>
      <c r="J18" s="33">
        <f t="shared" ref="J18:J23" si="5">G18/$G$46</f>
        <v>0.48516324793350374</v>
      </c>
      <c r="K18" s="62">
        <f t="shared" si="4"/>
        <v>0.50752092428261841</v>
      </c>
    </row>
    <row r="19" spans="1:11" x14ac:dyDescent="0.2">
      <c r="A19" s="107" t="s">
        <v>38</v>
      </c>
      <c r="B19" s="73">
        <v>1</v>
      </c>
      <c r="C19" s="78">
        <f>VLOOKUP($B$3,'Data for Bill Impacts'!$A$3:$Y$15,7,0)</f>
        <v>27.87</v>
      </c>
      <c r="D19" s="22">
        <f>B19*C19</f>
        <v>27.87</v>
      </c>
      <c r="E19" s="73">
        <f t="shared" ref="E19:E41" si="6">B19</f>
        <v>1</v>
      </c>
      <c r="F19" s="78">
        <f>VLOOKUP($B$3,'Data for Bill Impacts'!$A$3:$Y$15,17,0)</f>
        <v>29.68</v>
      </c>
      <c r="G19" s="22">
        <f>E19*F19</f>
        <v>29.68</v>
      </c>
      <c r="H19" s="22">
        <f t="shared" si="1"/>
        <v>1.8099999999999987</v>
      </c>
      <c r="I19" s="23">
        <f t="shared" si="2"/>
        <v>6.4944384642985242E-2</v>
      </c>
      <c r="J19" s="23">
        <f t="shared" si="5"/>
        <v>8.618155548772417E-3</v>
      </c>
      <c r="K19" s="108">
        <f t="shared" si="4"/>
        <v>9.0153042060676387E-3</v>
      </c>
    </row>
    <row r="20" spans="1:11" hidden="1" x14ac:dyDescent="0.2">
      <c r="A20" s="107" t="s">
        <v>114</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0.73</v>
      </c>
      <c r="D21" s="22">
        <f t="shared" si="7"/>
        <v>0.73</v>
      </c>
      <c r="E21" s="73">
        <f t="shared" si="6"/>
        <v>1</v>
      </c>
      <c r="F21" s="122">
        <f>VLOOKUP($B$3,'Data for Bill Impacts'!$A$3:$Y$15,22,0)</f>
        <v>0</v>
      </c>
      <c r="G21" s="22">
        <f t="shared" si="8"/>
        <v>0</v>
      </c>
      <c r="H21" s="22">
        <f t="shared" si="1"/>
        <v>-0.73</v>
      </c>
      <c r="I21" s="23">
        <f t="shared" si="2"/>
        <v>-1</v>
      </c>
      <c r="J21" s="23">
        <f t="shared" si="5"/>
        <v>0</v>
      </c>
      <c r="K21" s="108">
        <f t="shared" si="4"/>
        <v>0</v>
      </c>
    </row>
    <row r="22" spans="1:11" hidden="1" x14ac:dyDescent="0.2">
      <c r="A22" s="107" t="s">
        <v>123</v>
      </c>
      <c r="B22" s="73">
        <f>B4</f>
        <v>15000</v>
      </c>
      <c r="C22" s="78">
        <v>0</v>
      </c>
      <c r="D22" s="22">
        <f>B22*C22</f>
        <v>0</v>
      </c>
      <c r="E22" s="73">
        <f>B22</f>
        <v>15000</v>
      </c>
      <c r="F22" s="78">
        <f>C22</f>
        <v>0</v>
      </c>
      <c r="G22" s="22">
        <f>E22*F22</f>
        <v>0</v>
      </c>
      <c r="H22" s="22">
        <f>G22-D22</f>
        <v>0</v>
      </c>
      <c r="I22" s="23">
        <f>IF(ISERROR(H22/D22),0,(H22/D22))</f>
        <v>0</v>
      </c>
      <c r="J22" s="23">
        <f t="shared" si="5"/>
        <v>0</v>
      </c>
      <c r="K22" s="108">
        <f t="shared" si="4"/>
        <v>0</v>
      </c>
    </row>
    <row r="23" spans="1:11" x14ac:dyDescent="0.2">
      <c r="A23" s="107" t="s">
        <v>39</v>
      </c>
      <c r="B23" s="73">
        <f>IF($B$9="kWh",$B$4,$B$5)</f>
        <v>15000</v>
      </c>
      <c r="C23" s="126">
        <f>VLOOKUP($B$3,'Data for Bill Impacts'!$A$3:$Y$15,10,0)</f>
        <v>5.6000000000000001E-2</v>
      </c>
      <c r="D23" s="22">
        <f>B23*C23</f>
        <v>840</v>
      </c>
      <c r="E23" s="73">
        <f t="shared" si="6"/>
        <v>15000</v>
      </c>
      <c r="F23" s="126">
        <f>VLOOKUP($B$3,'Data for Bill Impacts'!$A$3:$Y$15,19,0)</f>
        <v>5.91E-2</v>
      </c>
      <c r="G23" s="22">
        <f>E23*F23</f>
        <v>886.5</v>
      </c>
      <c r="H23" s="22">
        <f t="shared" si="1"/>
        <v>46.5</v>
      </c>
      <c r="I23" s="23">
        <f t="shared" si="2"/>
        <v>5.5357142857142855E-2</v>
      </c>
      <c r="J23" s="23">
        <f t="shared" si="5"/>
        <v>0.25741222688634591</v>
      </c>
      <c r="K23" s="108">
        <f t="shared" si="4"/>
        <v>0.2692745006293451</v>
      </c>
    </row>
    <row r="24" spans="1:11" x14ac:dyDescent="0.2">
      <c r="A24" s="107" t="s">
        <v>124</v>
      </c>
      <c r="B24" s="73">
        <f>IF($B$9="kWh",$B$4,$B$5)</f>
        <v>15000</v>
      </c>
      <c r="C24" s="78">
        <f>VLOOKUP($B$3,'Data for Bill Impacts'!$A$3:$Y$15,14,0)</f>
        <v>2.0000000000000001E-4</v>
      </c>
      <c r="D24" s="22">
        <f>B24*C24</f>
        <v>3</v>
      </c>
      <c r="E24" s="73">
        <f t="shared" si="6"/>
        <v>15000</v>
      </c>
      <c r="F24" s="126">
        <f>VLOOKUP($B$3,'Data for Bill Impacts'!$A$3:$Y$15,23,0)</f>
        <v>2.0000000000000001E-4</v>
      </c>
      <c r="G24" s="22">
        <f>E24*F24</f>
        <v>3</v>
      </c>
      <c r="H24" s="22">
        <f t="shared" si="1"/>
        <v>0</v>
      </c>
      <c r="I24" s="23">
        <f>IF(ISERROR(H24/D24),0,(H24/D24))</f>
        <v>0</v>
      </c>
      <c r="J24" s="23">
        <f t="shared" ref="J24" si="9">G24/$G$46</f>
        <v>8.711073667896647E-4</v>
      </c>
      <c r="K24" s="108">
        <f t="shared" si="4"/>
        <v>9.1125042514160774E-4</v>
      </c>
    </row>
    <row r="25" spans="1:11" s="1" customFormat="1" x14ac:dyDescent="0.2">
      <c r="A25" s="110" t="s">
        <v>72</v>
      </c>
      <c r="B25" s="74"/>
      <c r="C25" s="35"/>
      <c r="D25" s="35">
        <f>SUM(D19:D24)</f>
        <v>871.6</v>
      </c>
      <c r="E25" s="73"/>
      <c r="F25" s="35"/>
      <c r="G25" s="35">
        <f>SUM(G19:G24)</f>
        <v>919.18</v>
      </c>
      <c r="H25" s="35">
        <f t="shared" si="1"/>
        <v>47.579999999999927</v>
      </c>
      <c r="I25" s="36">
        <f t="shared" si="2"/>
        <v>5.458926112895815E-2</v>
      </c>
      <c r="J25" s="36">
        <f>G25/$G$46</f>
        <v>0.26690148980190798</v>
      </c>
      <c r="K25" s="111">
        <f t="shared" si="4"/>
        <v>0.27920105526055433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2.2939160658794506E-4</v>
      </c>
      <c r="K26" s="108">
        <f t="shared" si="4"/>
        <v>2.3996261195395672E-4</v>
      </c>
    </row>
    <row r="27" spans="1:11" s="1" customFormat="1" x14ac:dyDescent="0.2">
      <c r="A27" s="119" t="s">
        <v>75</v>
      </c>
      <c r="B27" s="120">
        <f>B8-B4</f>
        <v>1440</v>
      </c>
      <c r="C27" s="121">
        <f>IF(B4&gt;B7,C13,C12)</f>
        <v>0.121</v>
      </c>
      <c r="D27" s="22">
        <f>B27*C27</f>
        <v>174.24</v>
      </c>
      <c r="E27" s="73">
        <f>B27</f>
        <v>1440</v>
      </c>
      <c r="F27" s="121">
        <f>C27</f>
        <v>0.121</v>
      </c>
      <c r="G27" s="22">
        <f>E27*F27</f>
        <v>174.24</v>
      </c>
      <c r="H27" s="22">
        <f t="shared" si="1"/>
        <v>0</v>
      </c>
      <c r="I27" s="23">
        <f>IF(ISERROR(H27/D27),0,(H27/D27))</f>
        <v>0</v>
      </c>
      <c r="J27" s="23">
        <f t="shared" ref="J27:J46" si="10">G27/$G$46</f>
        <v>5.0593915863143733E-2</v>
      </c>
      <c r="K27" s="108">
        <f t="shared" ref="K27:K41" si="11">G27/$G$51</f>
        <v>5.2925424692224582E-2</v>
      </c>
    </row>
    <row r="28" spans="1:11" s="1" customFormat="1" x14ac:dyDescent="0.2">
      <c r="A28" s="119" t="s">
        <v>74</v>
      </c>
      <c r="B28" s="120">
        <f>B8-B4</f>
        <v>1440</v>
      </c>
      <c r="C28" s="121">
        <f>0.65*C15+0.17*C16+0.18*C17</f>
        <v>0.11139</v>
      </c>
      <c r="D28" s="22">
        <f>B28*C28</f>
        <v>160.4016</v>
      </c>
      <c r="E28" s="73">
        <f>B28</f>
        <v>1440</v>
      </c>
      <c r="F28" s="121">
        <f>C28</f>
        <v>0.11139</v>
      </c>
      <c r="G28" s="22">
        <f>E28*F28</f>
        <v>160.4016</v>
      </c>
      <c r="H28" s="22">
        <f t="shared" si="1"/>
        <v>0</v>
      </c>
      <c r="I28" s="23">
        <f>IF(ISERROR(H28/D28),0,(H28/D28))</f>
        <v>0</v>
      </c>
      <c r="J28" s="23">
        <f t="shared" si="10"/>
        <v>4.6575671801616363E-2</v>
      </c>
      <c r="K28" s="108">
        <f t="shared" si="11"/>
        <v>4.8722008731131368E-2</v>
      </c>
    </row>
    <row r="29" spans="1:11" s="1" customFormat="1" x14ac:dyDescent="0.2">
      <c r="A29" s="110" t="s">
        <v>78</v>
      </c>
      <c r="B29" s="74"/>
      <c r="C29" s="35"/>
      <c r="D29" s="35">
        <f>SUM(D25,D26:D27)</f>
        <v>1046.6300000000001</v>
      </c>
      <c r="E29" s="73"/>
      <c r="F29" s="35"/>
      <c r="G29" s="35">
        <f>SUM(G25,G26:G27)</f>
        <v>1094.21</v>
      </c>
      <c r="H29" s="35">
        <f t="shared" si="1"/>
        <v>47.579999999999927</v>
      </c>
      <c r="I29" s="36">
        <f>IF(ISERROR(H29/D29),0,(H29/D29))</f>
        <v>4.546019128058619E-2</v>
      </c>
      <c r="J29" s="36">
        <f t="shared" si="10"/>
        <v>0.31772479727163971</v>
      </c>
      <c r="K29" s="111">
        <f t="shared" si="11"/>
        <v>0.33236644256473291</v>
      </c>
    </row>
    <row r="30" spans="1:11" s="1" customFormat="1" x14ac:dyDescent="0.2">
      <c r="A30" s="110" t="s">
        <v>77</v>
      </c>
      <c r="B30" s="74"/>
      <c r="C30" s="35"/>
      <c r="D30" s="35">
        <f>SUM(D25,D26,D28)</f>
        <v>1032.7916</v>
      </c>
      <c r="E30" s="73"/>
      <c r="F30" s="35"/>
      <c r="G30" s="35">
        <f>SUM(G25,G26,G28)</f>
        <v>1080.3715999999999</v>
      </c>
      <c r="H30" s="35">
        <f t="shared" si="1"/>
        <v>47.579999999999927</v>
      </c>
      <c r="I30" s="36">
        <f>IF(ISERROR(H30/D30),0,(H30/D30))</f>
        <v>4.6069313499451321E-2</v>
      </c>
      <c r="J30" s="36">
        <f t="shared" si="10"/>
        <v>0.31370655321011232</v>
      </c>
      <c r="K30" s="111">
        <f t="shared" si="11"/>
        <v>0.32816302660363966</v>
      </c>
    </row>
    <row r="31" spans="1:11" x14ac:dyDescent="0.2">
      <c r="A31" s="107" t="s">
        <v>40</v>
      </c>
      <c r="B31" s="73">
        <f>B8</f>
        <v>16440</v>
      </c>
      <c r="C31" s="78">
        <f>VLOOKUP($B$3,'Data for Bill Impacts'!$A$3:$Y$15,15,0)</f>
        <v>5.8999999999999999E-3</v>
      </c>
      <c r="D31" s="22">
        <f>B31*C31</f>
        <v>96.995999999999995</v>
      </c>
      <c r="E31" s="73">
        <f t="shared" si="6"/>
        <v>16440</v>
      </c>
      <c r="F31" s="126">
        <f>VLOOKUP($B$3,'Data for Bill Impacts'!$A$3:$Y$15,24,0)</f>
        <v>5.6930000000000001E-3</v>
      </c>
      <c r="G31" s="22">
        <f>E31*F31</f>
        <v>93.592920000000007</v>
      </c>
      <c r="H31" s="22">
        <f t="shared" si="1"/>
        <v>-3.4030799999999886</v>
      </c>
      <c r="I31" s="23">
        <f t="shared" si="2"/>
        <v>-3.5084745762711748E-2</v>
      </c>
      <c r="J31" s="23">
        <f t="shared" si="10"/>
        <v>2.7176494030451918E-2</v>
      </c>
      <c r="K31" s="108">
        <f t="shared" si="11"/>
        <v>2.842886271341483E-2</v>
      </c>
    </row>
    <row r="32" spans="1:11" x14ac:dyDescent="0.2">
      <c r="A32" s="107" t="s">
        <v>41</v>
      </c>
      <c r="B32" s="73">
        <f>B8</f>
        <v>16440</v>
      </c>
      <c r="C32" s="126">
        <f>VLOOKUP($B$3,'Data for Bill Impacts'!$A$3:$Y$15,16,0)</f>
        <v>3.8E-3</v>
      </c>
      <c r="D32" s="22">
        <f>B32*C32</f>
        <v>62.472000000000001</v>
      </c>
      <c r="E32" s="73">
        <f t="shared" si="6"/>
        <v>16440</v>
      </c>
      <c r="F32" s="126">
        <f>VLOOKUP($B$3,'Data for Bill Impacts'!$A$3:$Y$15,25,0)</f>
        <v>4.4740000000000005E-3</v>
      </c>
      <c r="G32" s="22">
        <f>E32*F32</f>
        <v>73.552560000000014</v>
      </c>
      <c r="H32" s="22">
        <f t="shared" si="1"/>
        <v>11.080560000000013</v>
      </c>
      <c r="I32" s="23">
        <f t="shared" si="2"/>
        <v>0.17736842105263179</v>
      </c>
      <c r="J32" s="23">
        <f t="shared" si="10"/>
        <v>2.1357392287412943E-2</v>
      </c>
      <c r="K32" s="108">
        <f t="shared" si="11"/>
        <v>2.2341600523417875E-2</v>
      </c>
    </row>
    <row r="33" spans="1:11" s="1" customFormat="1" x14ac:dyDescent="0.2">
      <c r="A33" s="110" t="s">
        <v>76</v>
      </c>
      <c r="B33" s="74"/>
      <c r="C33" s="35"/>
      <c r="D33" s="35">
        <f>SUM(D31:D32)</f>
        <v>159.46799999999999</v>
      </c>
      <c r="E33" s="73"/>
      <c r="F33" s="35"/>
      <c r="G33" s="35">
        <f>SUM(G31:G32)</f>
        <v>167.14548000000002</v>
      </c>
      <c r="H33" s="35">
        <f t="shared" si="1"/>
        <v>7.6774800000000312</v>
      </c>
      <c r="I33" s="36">
        <f t="shared" si="2"/>
        <v>4.8144329896907416E-2</v>
      </c>
      <c r="J33" s="36">
        <f t="shared" si="10"/>
        <v>4.8533886317864865E-2</v>
      </c>
      <c r="K33" s="111">
        <f t="shared" si="11"/>
        <v>5.0770463236832708E-2</v>
      </c>
    </row>
    <row r="34" spans="1:11" s="1" customFormat="1" x14ac:dyDescent="0.2">
      <c r="A34" s="110" t="s">
        <v>91</v>
      </c>
      <c r="B34" s="74"/>
      <c r="C34" s="35"/>
      <c r="D34" s="35">
        <f>D29+D33</f>
        <v>1206.0980000000002</v>
      </c>
      <c r="E34" s="73"/>
      <c r="F34" s="35"/>
      <c r="G34" s="35">
        <f>G29+G33</f>
        <v>1261.3554800000002</v>
      </c>
      <c r="H34" s="35">
        <f t="shared" si="1"/>
        <v>55.257479999999987</v>
      </c>
      <c r="I34" s="36">
        <f t="shared" si="2"/>
        <v>4.5815083019787761E-2</v>
      </c>
      <c r="J34" s="36">
        <f t="shared" si="10"/>
        <v>0.36625868358950459</v>
      </c>
      <c r="K34" s="111">
        <f t="shared" si="11"/>
        <v>0.38313690580156562</v>
      </c>
    </row>
    <row r="35" spans="1:11" s="1" customFormat="1" x14ac:dyDescent="0.2">
      <c r="A35" s="110" t="s">
        <v>92</v>
      </c>
      <c r="B35" s="74"/>
      <c r="C35" s="35"/>
      <c r="D35" s="35">
        <f>D30+D33</f>
        <v>1192.2596000000001</v>
      </c>
      <c r="E35" s="73"/>
      <c r="F35" s="35"/>
      <c r="G35" s="35">
        <f>G30+G33</f>
        <v>1247.5170800000001</v>
      </c>
      <c r="H35" s="35">
        <f t="shared" si="1"/>
        <v>55.257479999999987</v>
      </c>
      <c r="I35" s="36">
        <f t="shared" si="2"/>
        <v>4.6346852648533915E-2</v>
      </c>
      <c r="J35" s="36">
        <f t="shared" si="10"/>
        <v>0.36224043952797719</v>
      </c>
      <c r="K35" s="111">
        <f t="shared" si="11"/>
        <v>0.37893348984047237</v>
      </c>
    </row>
    <row r="36" spans="1:11" x14ac:dyDescent="0.2">
      <c r="A36" s="107" t="s">
        <v>42</v>
      </c>
      <c r="B36" s="73">
        <f>B8</f>
        <v>16440</v>
      </c>
      <c r="C36" s="34">
        <v>3.5999999999999999E-3</v>
      </c>
      <c r="D36" s="22">
        <f>B36*C36</f>
        <v>59.183999999999997</v>
      </c>
      <c r="E36" s="73">
        <f t="shared" si="6"/>
        <v>16440</v>
      </c>
      <c r="F36" s="34">
        <v>3.5999999999999999E-3</v>
      </c>
      <c r="G36" s="22">
        <f>E36*F36</f>
        <v>59.183999999999997</v>
      </c>
      <c r="H36" s="22">
        <f t="shared" si="1"/>
        <v>0</v>
      </c>
      <c r="I36" s="23">
        <f t="shared" si="2"/>
        <v>0</v>
      </c>
      <c r="J36" s="23">
        <f t="shared" si="10"/>
        <v>1.7185206132026506E-2</v>
      </c>
      <c r="K36" s="108">
        <f t="shared" si="11"/>
        <v>1.7977148387193637E-2</v>
      </c>
    </row>
    <row r="37" spans="1:11" x14ac:dyDescent="0.2">
      <c r="A37" s="107" t="s">
        <v>43</v>
      </c>
      <c r="B37" s="73">
        <f>B8</f>
        <v>16440</v>
      </c>
      <c r="C37" s="34">
        <v>2.0999999999999999E-3</v>
      </c>
      <c r="D37" s="22">
        <f>B37*C37</f>
        <v>34.524000000000001</v>
      </c>
      <c r="E37" s="73">
        <f t="shared" si="6"/>
        <v>16440</v>
      </c>
      <c r="F37" s="34">
        <v>2.0999999999999999E-3</v>
      </c>
      <c r="G37" s="22">
        <f>E37*F37</f>
        <v>34.524000000000001</v>
      </c>
      <c r="H37" s="22">
        <f>G37-D37</f>
        <v>0</v>
      </c>
      <c r="I37" s="23">
        <f t="shared" si="2"/>
        <v>0</v>
      </c>
      <c r="J37" s="23">
        <f t="shared" si="10"/>
        <v>1.0024703577015463E-2</v>
      </c>
      <c r="K37" s="108">
        <f t="shared" si="11"/>
        <v>1.0486669892529622E-2</v>
      </c>
    </row>
    <row r="38" spans="1:11" x14ac:dyDescent="0.2">
      <c r="A38" s="107" t="s">
        <v>96</v>
      </c>
      <c r="B38" s="73">
        <f>B8</f>
        <v>16440</v>
      </c>
      <c r="C38" s="34">
        <v>1.1000000000000001E-3</v>
      </c>
      <c r="D38" s="22">
        <f>B38*C38</f>
        <v>18.084</v>
      </c>
      <c r="E38" s="73">
        <f t="shared" si="6"/>
        <v>16440</v>
      </c>
      <c r="F38" s="34">
        <v>1.1000000000000001E-3</v>
      </c>
      <c r="G38" s="22">
        <f>E38*F38</f>
        <v>18.084</v>
      </c>
      <c r="H38" s="22">
        <f>G38-D38</f>
        <v>0</v>
      </c>
      <c r="I38" s="23">
        <f t="shared" ref="I38" si="12">IF(ISERROR(H38/D38),0,(H38/D38))</f>
        <v>0</v>
      </c>
      <c r="J38" s="23">
        <f t="shared" ref="J38" si="13">G38/$G$46</f>
        <v>5.2510352070080993E-3</v>
      </c>
      <c r="K38" s="108">
        <f t="shared" ref="K38" si="14">G38/$G$51</f>
        <v>5.4930175627536113E-3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7.2592280565805396E-5</v>
      </c>
      <c r="K39" s="108">
        <f t="shared" si="11"/>
        <v>7.5937535428467312E-5</v>
      </c>
    </row>
    <row r="40" spans="1:11" s="1" customFormat="1" x14ac:dyDescent="0.2">
      <c r="A40" s="110" t="s">
        <v>45</v>
      </c>
      <c r="B40" s="74"/>
      <c r="C40" s="35"/>
      <c r="D40" s="35">
        <f>SUM(D36:D39)</f>
        <v>112.042</v>
      </c>
      <c r="E40" s="73"/>
      <c r="F40" s="35"/>
      <c r="G40" s="35">
        <f>SUM(G36:G39)</f>
        <v>112.042</v>
      </c>
      <c r="H40" s="35">
        <f t="shared" si="1"/>
        <v>0</v>
      </c>
      <c r="I40" s="36">
        <f t="shared" si="2"/>
        <v>0</v>
      </c>
      <c r="J40" s="36">
        <f t="shared" si="10"/>
        <v>3.2533537196615871E-2</v>
      </c>
      <c r="K40" s="111">
        <f t="shared" si="11"/>
        <v>3.4032773377905341E-2</v>
      </c>
    </row>
    <row r="41" spans="1:11" s="1" customFormat="1" ht="13.5" thickBot="1" x14ac:dyDescent="0.25">
      <c r="A41" s="112" t="s">
        <v>46</v>
      </c>
      <c r="B41" s="113">
        <f>B4</f>
        <v>15000</v>
      </c>
      <c r="C41" s="114">
        <v>7.0000000000000001E-3</v>
      </c>
      <c r="D41" s="115">
        <f>B41*C41</f>
        <v>105</v>
      </c>
      <c r="E41" s="116">
        <f t="shared" si="6"/>
        <v>15000</v>
      </c>
      <c r="F41" s="114">
        <f>C41</f>
        <v>7.0000000000000001E-3</v>
      </c>
      <c r="G41" s="115">
        <f>E41*F41</f>
        <v>105</v>
      </c>
      <c r="H41" s="115">
        <f t="shared" si="1"/>
        <v>0</v>
      </c>
      <c r="I41" s="117">
        <f t="shared" si="2"/>
        <v>0</v>
      </c>
      <c r="J41" s="117">
        <f t="shared" si="10"/>
        <v>3.0488757837638266E-2</v>
      </c>
      <c r="K41" s="118">
        <f t="shared" si="11"/>
        <v>3.1893764879956273E-2</v>
      </c>
    </row>
    <row r="42" spans="1:11" s="1" customFormat="1" x14ac:dyDescent="0.2">
      <c r="A42" s="37" t="s">
        <v>105</v>
      </c>
      <c r="B42" s="38"/>
      <c r="C42" s="39"/>
      <c r="D42" s="39">
        <f>SUM(D14,D25,D26,D27,D33,D40,D41)</f>
        <v>3224.64</v>
      </c>
      <c r="E42" s="38"/>
      <c r="F42" s="39"/>
      <c r="G42" s="39">
        <f>SUM(G14,G25,G26,G27,G33,G40,G41)</f>
        <v>3279.8974800000001</v>
      </c>
      <c r="H42" s="39">
        <f t="shared" si="1"/>
        <v>55.257480000000214</v>
      </c>
      <c r="I42" s="40">
        <f>IF(ISERROR(H42/D42),0,(H42/D42))</f>
        <v>1.7136015183090273E-2</v>
      </c>
      <c r="J42" s="40">
        <f t="shared" si="10"/>
        <v>0.95238095238095244</v>
      </c>
      <c r="K42" s="41"/>
    </row>
    <row r="43" spans="1:11" x14ac:dyDescent="0.2">
      <c r="A43" s="154" t="s">
        <v>106</v>
      </c>
      <c r="B43" s="43"/>
      <c r="C43" s="26">
        <v>0.13</v>
      </c>
      <c r="D43" s="26">
        <f>D42*C43</f>
        <v>419.20319999999998</v>
      </c>
      <c r="E43" s="26"/>
      <c r="F43" s="26">
        <f>C43</f>
        <v>0.13</v>
      </c>
      <c r="G43" s="26">
        <f>G42*F43</f>
        <v>426.38667240000001</v>
      </c>
      <c r="H43" s="26">
        <f t="shared" si="1"/>
        <v>7.1834724000000278</v>
      </c>
      <c r="I43" s="44">
        <f t="shared" si="2"/>
        <v>1.7136015183090273E-2</v>
      </c>
      <c r="J43" s="44">
        <f t="shared" si="10"/>
        <v>0.12380952380952381</v>
      </c>
      <c r="K43" s="45"/>
    </row>
    <row r="44" spans="1:11" s="1" customFormat="1" x14ac:dyDescent="0.2">
      <c r="A44" s="46" t="s">
        <v>107</v>
      </c>
      <c r="B44" s="24"/>
      <c r="C44" s="25"/>
      <c r="D44" s="25">
        <f>SUM(D42:D43)</f>
        <v>3643.8431999999998</v>
      </c>
      <c r="E44" s="25"/>
      <c r="F44" s="25"/>
      <c r="G44" s="25">
        <f>SUM(G42:G43)</f>
        <v>3706.2841524</v>
      </c>
      <c r="H44" s="25">
        <f t="shared" si="1"/>
        <v>62.440952400000242</v>
      </c>
      <c r="I44" s="27">
        <f t="shared" si="2"/>
        <v>1.7136015183090273E-2</v>
      </c>
      <c r="J44" s="27">
        <f t="shared" si="10"/>
        <v>1.0761904761904761</v>
      </c>
      <c r="K44" s="47"/>
    </row>
    <row r="45" spans="1:11" x14ac:dyDescent="0.2">
      <c r="A45" s="42" t="s">
        <v>108</v>
      </c>
      <c r="B45" s="43"/>
      <c r="C45" s="26">
        <v>-0.08</v>
      </c>
      <c r="D45" s="26">
        <f>D42*C45</f>
        <v>-257.97120000000001</v>
      </c>
      <c r="E45" s="26"/>
      <c r="F45" s="26">
        <f>C45</f>
        <v>-0.08</v>
      </c>
      <c r="G45" s="26">
        <f>G42*F45</f>
        <v>-262.39179840000003</v>
      </c>
      <c r="H45" s="25">
        <f t="shared" si="1"/>
        <v>-4.4205984000000171</v>
      </c>
      <c r="I45" s="44">
        <f t="shared" si="2"/>
        <v>1.713601518309027E-2</v>
      </c>
      <c r="J45" s="44">
        <f t="shared" si="10"/>
        <v>-7.6190476190476197E-2</v>
      </c>
      <c r="K45" s="45"/>
    </row>
    <row r="46" spans="1:11" s="1" customFormat="1" ht="13.5" thickBot="1" x14ac:dyDescent="0.25">
      <c r="A46" s="48" t="s">
        <v>109</v>
      </c>
      <c r="B46" s="49"/>
      <c r="C46" s="50"/>
      <c r="D46" s="50">
        <f>SUM(D44:D45)</f>
        <v>3385.8719999999998</v>
      </c>
      <c r="E46" s="50"/>
      <c r="F46" s="50"/>
      <c r="G46" s="50">
        <f>SUM(G44:G45)</f>
        <v>3443.8923540000001</v>
      </c>
      <c r="H46" s="50">
        <f t="shared" si="1"/>
        <v>58.020354000000225</v>
      </c>
      <c r="I46" s="51">
        <f t="shared" si="2"/>
        <v>1.7136015183090273E-2</v>
      </c>
      <c r="J46" s="51">
        <f t="shared" si="10"/>
        <v>1</v>
      </c>
      <c r="K46" s="52"/>
    </row>
    <row r="47" spans="1:11" x14ac:dyDescent="0.2">
      <c r="A47" s="53" t="s">
        <v>110</v>
      </c>
      <c r="B47" s="54"/>
      <c r="C47" s="55"/>
      <c r="D47" s="55">
        <f>SUM(D18,D25,D26,D28,D33,D40,D41)</f>
        <v>3080.1515999999997</v>
      </c>
      <c r="E47" s="55"/>
      <c r="F47" s="55"/>
      <c r="G47" s="55">
        <f>SUM(G18,G25,G26,G28,G33,G40,G41)</f>
        <v>3135.4090799999999</v>
      </c>
      <c r="H47" s="55">
        <f>G47-D47</f>
        <v>55.257480000000214</v>
      </c>
      <c r="I47" s="56">
        <f>IF(ISERROR(H47/D47),0,(H47/D47))</f>
        <v>1.7939857245987574E-2</v>
      </c>
      <c r="J47" s="56"/>
      <c r="K47" s="57">
        <f>G47/$G$51</f>
        <v>0.95238095238095244</v>
      </c>
    </row>
    <row r="48" spans="1:11" x14ac:dyDescent="0.2">
      <c r="A48" s="58" t="s">
        <v>106</v>
      </c>
      <c r="B48" s="59"/>
      <c r="C48" s="31">
        <v>0.13</v>
      </c>
      <c r="D48" s="31">
        <f>D47*C48</f>
        <v>400.41970799999996</v>
      </c>
      <c r="E48" s="31"/>
      <c r="F48" s="31">
        <f>C48</f>
        <v>0.13</v>
      </c>
      <c r="G48" s="31">
        <f>G47*F48</f>
        <v>407.60318039999999</v>
      </c>
      <c r="H48" s="31">
        <f>G48-D48</f>
        <v>7.1834724000000278</v>
      </c>
      <c r="I48" s="32">
        <f>IF(ISERROR(H48/D48),0,(H48/D48))</f>
        <v>1.7939857245987574E-2</v>
      </c>
      <c r="J48" s="32"/>
      <c r="K48" s="60">
        <f>G48/$G$51</f>
        <v>0.12380952380952381</v>
      </c>
    </row>
    <row r="49" spans="1:11" x14ac:dyDescent="0.2">
      <c r="A49" s="150" t="s">
        <v>111</v>
      </c>
      <c r="B49" s="29"/>
      <c r="C49" s="30"/>
      <c r="D49" s="30">
        <f>SUM(D47:D48)</f>
        <v>3480.5713079999996</v>
      </c>
      <c r="E49" s="30"/>
      <c r="F49" s="30"/>
      <c r="G49" s="30">
        <f>SUM(G47:G48)</f>
        <v>3543.0122603999998</v>
      </c>
      <c r="H49" s="30">
        <f>G49-D49</f>
        <v>62.440952400000242</v>
      </c>
      <c r="I49" s="33">
        <f>IF(ISERROR(H49/D49),0,(H49/D49))</f>
        <v>1.7939857245987574E-2</v>
      </c>
      <c r="J49" s="33"/>
      <c r="K49" s="62">
        <f>G49/$G$51</f>
        <v>1.0761904761904761</v>
      </c>
    </row>
    <row r="50" spans="1:11" x14ac:dyDescent="0.2">
      <c r="A50" s="58" t="s">
        <v>108</v>
      </c>
      <c r="B50" s="59"/>
      <c r="C50" s="31">
        <v>-0.08</v>
      </c>
      <c r="D50" s="31">
        <f>D47*C50</f>
        <v>-246.41212799999997</v>
      </c>
      <c r="E50" s="31"/>
      <c r="F50" s="31">
        <f>C50</f>
        <v>-0.08</v>
      </c>
      <c r="G50" s="31">
        <f>G47*F50</f>
        <v>-250.83272639999998</v>
      </c>
      <c r="H50" s="31">
        <f>G50-D50</f>
        <v>-4.4205984000000171</v>
      </c>
      <c r="I50" s="32">
        <f>IF(ISERROR(H50/D50),0,(H50/D50))</f>
        <v>1.7939857245987574E-2</v>
      </c>
      <c r="J50" s="32"/>
      <c r="K50" s="60">
        <f>G50/$G$51</f>
        <v>-7.6190476190476183E-2</v>
      </c>
    </row>
    <row r="51" spans="1:11" ht="13.5" thickBot="1" x14ac:dyDescent="0.25">
      <c r="A51" s="63" t="s">
        <v>121</v>
      </c>
      <c r="B51" s="64"/>
      <c r="C51" s="65"/>
      <c r="D51" s="65">
        <f>SUM(D49:D50)</f>
        <v>3234.1591799999997</v>
      </c>
      <c r="E51" s="65"/>
      <c r="F51" s="65"/>
      <c r="G51" s="65">
        <f>SUM(G49:G50)</f>
        <v>3292.1795339999999</v>
      </c>
      <c r="H51" s="65">
        <f>G51-D51</f>
        <v>58.020354000000225</v>
      </c>
      <c r="I51" s="66">
        <f>IF(ISERROR(H51/D51),0,(H51/D51))</f>
        <v>1.7939857245987574E-2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theme="1" tint="0.499984740745262"/>
    <pageSetUpPr fitToPage="1"/>
  </sheetPr>
  <dimension ref="A1:J40"/>
  <sheetViews>
    <sheetView tabSelected="1" view="pageBreakPreview" topLeftCell="A10" zoomScaleNormal="100" zoomScaleSheetLayoutView="100" workbookViewId="0">
      <selection activeCell="N25" sqref="N25"/>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98</v>
      </c>
      <c r="B1" s="192"/>
      <c r="C1" s="192"/>
      <c r="D1" s="192"/>
      <c r="E1" s="192"/>
      <c r="F1" s="192"/>
      <c r="G1" s="192"/>
      <c r="H1" s="192"/>
      <c r="I1" s="192"/>
      <c r="J1" s="193"/>
    </row>
    <row r="3" spans="1:10" x14ac:dyDescent="0.2">
      <c r="A3" s="13" t="s">
        <v>13</v>
      </c>
      <c r="B3" s="13" t="s">
        <v>7</v>
      </c>
    </row>
    <row r="4" spans="1:10" x14ac:dyDescent="0.2">
      <c r="A4" s="15" t="s">
        <v>62</v>
      </c>
      <c r="B4" s="79">
        <v>15000</v>
      </c>
    </row>
    <row r="5" spans="1:10" x14ac:dyDescent="0.2">
      <c r="A5" s="15" t="s">
        <v>16</v>
      </c>
      <c r="B5" s="79">
        <v>60</v>
      </c>
    </row>
    <row r="6" spans="1:10" x14ac:dyDescent="0.2">
      <c r="A6" s="15" t="s">
        <v>20</v>
      </c>
      <c r="B6" s="80">
        <f>VLOOKUP($B$3,'Data for Bill Impacts'!$A$3:$Y$15,2,0)</f>
        <v>1.05</v>
      </c>
    </row>
    <row r="7" spans="1:10" x14ac:dyDescent="0.2">
      <c r="A7" s="81" t="s">
        <v>48</v>
      </c>
      <c r="B7" s="82">
        <f>B4/(B5*730)</f>
        <v>0.34246575342465752</v>
      </c>
    </row>
    <row r="8" spans="1:10" x14ac:dyDescent="0.2">
      <c r="A8" s="15" t="s">
        <v>15</v>
      </c>
      <c r="B8" s="79">
        <f>VLOOKUP($B$3,'Data for Bill Impacts'!$A$3:$Y$15,4,0)</f>
        <v>0</v>
      </c>
    </row>
    <row r="9" spans="1:10" x14ac:dyDescent="0.2">
      <c r="A9" s="15" t="s">
        <v>82</v>
      </c>
      <c r="B9" s="79">
        <f>B4*B6</f>
        <v>15750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15750</v>
      </c>
      <c r="C13" s="103">
        <v>0.10299999999999999</v>
      </c>
      <c r="D13" s="104">
        <f>B13*C13</f>
        <v>1622.25</v>
      </c>
      <c r="E13" s="102">
        <f>B13</f>
        <v>15750</v>
      </c>
      <c r="F13" s="103">
        <f>C13</f>
        <v>0.10299999999999999</v>
      </c>
      <c r="G13" s="104">
        <f>E13*F13</f>
        <v>1622.25</v>
      </c>
      <c r="H13" s="104">
        <f>G13-D13</f>
        <v>0</v>
      </c>
      <c r="I13" s="105">
        <f>IF(ISERROR(H13/D13),0,(H13/D13))</f>
        <v>0</v>
      </c>
      <c r="J13" s="124">
        <f t="shared" ref="J13:J21" si="0">G13/$G$38</f>
        <v>0.51612287578161087</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1622.25</v>
      </c>
      <c r="E15" s="76"/>
      <c r="F15" s="25"/>
      <c r="G15" s="25">
        <f>SUM(G13:G14)</f>
        <v>1622.25</v>
      </c>
      <c r="H15" s="25">
        <f t="shared" si="2"/>
        <v>0</v>
      </c>
      <c r="I15" s="27">
        <f t="shared" si="3"/>
        <v>0</v>
      </c>
      <c r="J15" s="47">
        <f t="shared" si="0"/>
        <v>0.51612287578161087</v>
      </c>
    </row>
    <row r="16" spans="1:10" s="1" customFormat="1" x14ac:dyDescent="0.2">
      <c r="A16" s="107" t="s">
        <v>38</v>
      </c>
      <c r="B16" s="73">
        <v>1</v>
      </c>
      <c r="C16" s="78">
        <f>VLOOKUP($B$3,'Data for Bill Impacts'!$A$3:$Y$15,7,0)</f>
        <v>93.97</v>
      </c>
      <c r="D16" s="22">
        <f>B16*C16</f>
        <v>93.97</v>
      </c>
      <c r="E16" s="73">
        <f t="shared" ref="E16:E33" si="4">B16</f>
        <v>1</v>
      </c>
      <c r="F16" s="78">
        <f>VLOOKUP($B$3,'Data for Bill Impacts'!$A$3:$Y$15,17,0)</f>
        <v>101.13</v>
      </c>
      <c r="G16" s="22">
        <f>E16*F16</f>
        <v>101.13</v>
      </c>
      <c r="H16" s="22">
        <f t="shared" si="2"/>
        <v>7.1599999999999966</v>
      </c>
      <c r="I16" s="23">
        <f t="shared" si="3"/>
        <v>7.6194530169202898E-2</v>
      </c>
      <c r="J16" s="125">
        <f t="shared" si="0"/>
        <v>3.2174761243824505E-2</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x14ac:dyDescent="0.2">
      <c r="A19" s="107" t="s">
        <v>85</v>
      </c>
      <c r="B19" s="73">
        <v>1</v>
      </c>
      <c r="C19" s="78">
        <f>VLOOKUP($B$3,'Data for Bill Impacts'!$A$3:$Y$15,13,0)</f>
        <v>1.42</v>
      </c>
      <c r="D19" s="22">
        <f t="shared" si="6"/>
        <v>1.42</v>
      </c>
      <c r="E19" s="73">
        <f t="shared" si="4"/>
        <v>1</v>
      </c>
      <c r="F19" s="78">
        <f>VLOOKUP($B$3,'Data for Bill Impacts'!$A$3:$Y$15,22,0)</f>
        <v>0.01</v>
      </c>
      <c r="G19" s="22">
        <f t="shared" si="5"/>
        <v>0.01</v>
      </c>
      <c r="H19" s="22">
        <f t="shared" si="2"/>
        <v>-1.41</v>
      </c>
      <c r="I19" s="23">
        <f t="shared" si="3"/>
        <v>-0.99295774647887325</v>
      </c>
      <c r="J19" s="125">
        <f t="shared" si="0"/>
        <v>3.1815248930905274E-6</v>
      </c>
    </row>
    <row r="20" spans="1:10" x14ac:dyDescent="0.2">
      <c r="A20" s="107" t="s">
        <v>39</v>
      </c>
      <c r="B20" s="73">
        <f>IF($B$10="kWh",$B$4,$B$5)</f>
        <v>60</v>
      </c>
      <c r="C20" s="78">
        <f>VLOOKUP($B$3,'Data for Bill Impacts'!$A$3:$Y$15,10,0)</f>
        <v>9.0851000000000006</v>
      </c>
      <c r="D20" s="22">
        <f>B20*C20</f>
        <v>545.10599999999999</v>
      </c>
      <c r="E20" s="73">
        <f t="shared" si="4"/>
        <v>60</v>
      </c>
      <c r="F20" s="126">
        <f>VLOOKUP($B$3,'Data for Bill Impacts'!$A$3:$Y$15,19,0)</f>
        <v>9.5976999999999997</v>
      </c>
      <c r="G20" s="22">
        <f>E20*F20</f>
        <v>575.86199999999997</v>
      </c>
      <c r="H20" s="22">
        <f t="shared" si="2"/>
        <v>30.755999999999972</v>
      </c>
      <c r="I20" s="23">
        <f t="shared" si="3"/>
        <v>5.6422053692309335E-2</v>
      </c>
      <c r="J20" s="125">
        <f t="shared" si="0"/>
        <v>0.18321192879848971</v>
      </c>
    </row>
    <row r="21" spans="1:10" s="1" customFormat="1" x14ac:dyDescent="0.2">
      <c r="A21" s="107" t="s">
        <v>124</v>
      </c>
      <c r="B21" s="73">
        <f>IF($B$10="kWh",$B$4,$B$5)</f>
        <v>60</v>
      </c>
      <c r="C21" s="78">
        <f>VLOOKUP($B$3,'Data for Bill Impacts'!$A$3:$Y$15,14,0)</f>
        <v>-6.2300000000000001E-2</v>
      </c>
      <c r="D21" s="22">
        <f>B21*C21</f>
        <v>-3.738</v>
      </c>
      <c r="E21" s="73">
        <f t="shared" si="4"/>
        <v>60</v>
      </c>
      <c r="F21" s="126">
        <f>VLOOKUP($B$3,'Data for Bill Impacts'!$A$3:$Y$15,23,0)</f>
        <v>6.4600000000000005E-2</v>
      </c>
      <c r="G21" s="22">
        <f>E21*F21</f>
        <v>3.8760000000000003</v>
      </c>
      <c r="H21" s="22">
        <f t="shared" si="2"/>
        <v>7.6140000000000008</v>
      </c>
      <c r="I21" s="23">
        <f>IF(ISERROR(H21/D21),0,(H21/D21))</f>
        <v>-2.0369181380417336</v>
      </c>
      <c r="J21" s="125">
        <f t="shared" si="0"/>
        <v>1.2331590485618886E-3</v>
      </c>
    </row>
    <row r="22" spans="1:10" s="1" customFormat="1" x14ac:dyDescent="0.2">
      <c r="A22" s="107" t="s">
        <v>112</v>
      </c>
      <c r="B22" s="73">
        <f>B9</f>
        <v>15750</v>
      </c>
      <c r="C22" s="126">
        <f>VLOOKUP($B$3,'Data for Bill Impacts'!$A$3:$Y$15,20,0)</f>
        <v>-1E-3</v>
      </c>
      <c r="D22" s="22">
        <f>B22*C22</f>
        <v>-15.75</v>
      </c>
      <c r="E22" s="73">
        <f>B22</f>
        <v>15750</v>
      </c>
      <c r="F22" s="126">
        <f>VLOOKUP($B$3,'Data for Bill Impacts'!$A$3:$Y$15,21,0)</f>
        <v>1.9E-3</v>
      </c>
      <c r="G22" s="22">
        <f>E22*F22</f>
        <v>29.925000000000001</v>
      </c>
      <c r="H22" s="22">
        <f t="shared" ref="H22" si="7">G22-D22</f>
        <v>45.674999999999997</v>
      </c>
      <c r="I22" s="23">
        <f>IF(ISERROR(H22/D22),0,(H22/D22))</f>
        <v>-2.9</v>
      </c>
      <c r="J22" s="125">
        <f t="shared" ref="J22" si="8">G22/$G$38</f>
        <v>9.5207132425734042E-3</v>
      </c>
    </row>
    <row r="23" spans="1:10" x14ac:dyDescent="0.2">
      <c r="A23" s="110" t="s">
        <v>93</v>
      </c>
      <c r="B23" s="74"/>
      <c r="C23" s="35"/>
      <c r="D23" s="35">
        <f>SUM(D16:D22)</f>
        <v>621.00799999999992</v>
      </c>
      <c r="E23" s="73"/>
      <c r="F23" s="35"/>
      <c r="G23" s="35">
        <f>SUM(G16:G22)</f>
        <v>710.80299999999988</v>
      </c>
      <c r="H23" s="35">
        <f t="shared" si="2"/>
        <v>89.794999999999959</v>
      </c>
      <c r="I23" s="36">
        <f t="shared" si="3"/>
        <v>0.14459556076572277</v>
      </c>
      <c r="J23" s="111">
        <f t="shared" ref="J23:J29" si="9">G23/$G$38</f>
        <v>0.2261437438583426</v>
      </c>
    </row>
    <row r="24" spans="1:10" x14ac:dyDescent="0.2">
      <c r="A24" s="107" t="s">
        <v>40</v>
      </c>
      <c r="B24" s="73">
        <f>B5</f>
        <v>60</v>
      </c>
      <c r="C24" s="78">
        <f>VLOOKUP($B$3,'Data for Bill Impacts'!$A$3:$Y$15,15,0)</f>
        <v>2.1128999999999998</v>
      </c>
      <c r="D24" s="22">
        <f>B24*C24</f>
        <v>126.77399999999999</v>
      </c>
      <c r="E24" s="73">
        <f t="shared" si="4"/>
        <v>60</v>
      </c>
      <c r="F24" s="126">
        <f>VLOOKUP($B$3,'Data for Bill Impacts'!$A$3:$Y$15,24,0)</f>
        <v>2.2310400000000001</v>
      </c>
      <c r="G24" s="22">
        <f>E24*F24</f>
        <v>133.86240000000001</v>
      </c>
      <c r="H24" s="22">
        <f t="shared" si="2"/>
        <v>7.0884000000000214</v>
      </c>
      <c r="I24" s="23">
        <f t="shared" si="3"/>
        <v>5.5913673150646208E-2</v>
      </c>
      <c r="J24" s="125">
        <f t="shared" si="9"/>
        <v>4.2588655784884147E-2</v>
      </c>
    </row>
    <row r="25" spans="1:10" s="1" customFormat="1" x14ac:dyDescent="0.2">
      <c r="A25" s="107" t="s">
        <v>41</v>
      </c>
      <c r="B25" s="73">
        <f>B5</f>
        <v>60</v>
      </c>
      <c r="C25" s="78">
        <f>VLOOKUP($B$3,'Data for Bill Impacts'!$A$3:$Y$15,16,0)</f>
        <v>1.3900999999999999</v>
      </c>
      <c r="D25" s="22">
        <f>B25*C25</f>
        <v>83.405999999999992</v>
      </c>
      <c r="E25" s="73">
        <f t="shared" si="4"/>
        <v>60</v>
      </c>
      <c r="F25" s="126">
        <f>VLOOKUP($B$3,'Data for Bill Impacts'!$A$3:$Y$15,25,0)</f>
        <v>1.7046749999999999</v>
      </c>
      <c r="G25" s="22">
        <f>E25*F25</f>
        <v>102.28049999999999</v>
      </c>
      <c r="H25" s="22">
        <f t="shared" si="2"/>
        <v>18.874499999999998</v>
      </c>
      <c r="I25" s="23">
        <f t="shared" si="3"/>
        <v>0.22629666930436659</v>
      </c>
      <c r="J25" s="125">
        <f t="shared" si="9"/>
        <v>3.254079568277457E-2</v>
      </c>
    </row>
    <row r="26" spans="1:10" x14ac:dyDescent="0.2">
      <c r="A26" s="110" t="s">
        <v>76</v>
      </c>
      <c r="B26" s="74"/>
      <c r="C26" s="35"/>
      <c r="D26" s="35">
        <f>SUM(D24:D25)</f>
        <v>210.17999999999998</v>
      </c>
      <c r="E26" s="73"/>
      <c r="F26" s="35"/>
      <c r="G26" s="35">
        <f>SUM(G24:G25)</f>
        <v>236.1429</v>
      </c>
      <c r="H26" s="35">
        <f t="shared" si="2"/>
        <v>25.962900000000019</v>
      </c>
      <c r="I26" s="36">
        <f t="shared" si="3"/>
        <v>0.12352697687696271</v>
      </c>
      <c r="J26" s="111">
        <f t="shared" si="9"/>
        <v>7.5129451467658717E-2</v>
      </c>
    </row>
    <row r="27" spans="1:10" s="1" customFormat="1" x14ac:dyDescent="0.2">
      <c r="A27" s="110" t="s">
        <v>80</v>
      </c>
      <c r="B27" s="74"/>
      <c r="C27" s="35"/>
      <c r="D27" s="35">
        <f>D23+D26</f>
        <v>831.18799999999987</v>
      </c>
      <c r="E27" s="73"/>
      <c r="F27" s="35"/>
      <c r="G27" s="35">
        <f>G23+G26</f>
        <v>946.94589999999994</v>
      </c>
      <c r="H27" s="35">
        <f t="shared" si="2"/>
        <v>115.75790000000006</v>
      </c>
      <c r="I27" s="36">
        <f t="shared" si="3"/>
        <v>0.13926801156898327</v>
      </c>
      <c r="J27" s="111">
        <f t="shared" si="9"/>
        <v>0.30127319532600133</v>
      </c>
    </row>
    <row r="28" spans="1:10" x14ac:dyDescent="0.2">
      <c r="A28" s="107" t="s">
        <v>42</v>
      </c>
      <c r="B28" s="73">
        <f>B9</f>
        <v>15750</v>
      </c>
      <c r="C28" s="34">
        <v>3.5999999999999999E-3</v>
      </c>
      <c r="D28" s="22">
        <f>B28*C28</f>
        <v>56.699999999999996</v>
      </c>
      <c r="E28" s="73">
        <f t="shared" si="4"/>
        <v>15750</v>
      </c>
      <c r="F28" s="34">
        <v>3.5999999999999999E-3</v>
      </c>
      <c r="G28" s="22">
        <f>E28*F28</f>
        <v>56.699999999999996</v>
      </c>
      <c r="H28" s="22">
        <f t="shared" si="2"/>
        <v>0</v>
      </c>
      <c r="I28" s="23">
        <f t="shared" si="3"/>
        <v>0</v>
      </c>
      <c r="J28" s="125">
        <f t="shared" si="9"/>
        <v>1.8039246143823288E-2</v>
      </c>
    </row>
    <row r="29" spans="1:10" x14ac:dyDescent="0.2">
      <c r="A29" s="107" t="s">
        <v>43</v>
      </c>
      <c r="B29" s="73">
        <f>B9</f>
        <v>15750</v>
      </c>
      <c r="C29" s="34">
        <v>2.0999999999999999E-3</v>
      </c>
      <c r="D29" s="22">
        <f>B29*C29</f>
        <v>33.074999999999996</v>
      </c>
      <c r="E29" s="73">
        <f t="shared" si="4"/>
        <v>15750</v>
      </c>
      <c r="F29" s="34">
        <v>2.0999999999999999E-3</v>
      </c>
      <c r="G29" s="22">
        <f>E29*F29</f>
        <v>33.074999999999996</v>
      </c>
      <c r="H29" s="22">
        <f>G29-D29</f>
        <v>0</v>
      </c>
      <c r="I29" s="23">
        <f t="shared" si="3"/>
        <v>0</v>
      </c>
      <c r="J29" s="125">
        <f t="shared" si="9"/>
        <v>1.0522893583896919E-2</v>
      </c>
    </row>
    <row r="30" spans="1:10" x14ac:dyDescent="0.2">
      <c r="A30" s="107" t="s">
        <v>96</v>
      </c>
      <c r="B30" s="73">
        <f>B9</f>
        <v>15750</v>
      </c>
      <c r="C30" s="34">
        <v>1.1000000000000001E-3</v>
      </c>
      <c r="D30" s="22">
        <f>B30*C30</f>
        <v>17.324999999999999</v>
      </c>
      <c r="E30" s="73">
        <f t="shared" si="4"/>
        <v>15750</v>
      </c>
      <c r="F30" s="34">
        <v>1.1000000000000001E-3</v>
      </c>
      <c r="G30" s="22">
        <f>E30*F30</f>
        <v>17.324999999999999</v>
      </c>
      <c r="H30" s="22">
        <f>G30-D30</f>
        <v>0</v>
      </c>
      <c r="I30" s="23">
        <f t="shared" ref="I30" si="10">IF(ISERROR(H30/D30),0,(H30/D30))</f>
        <v>0</v>
      </c>
      <c r="J30" s="125">
        <f t="shared" ref="J30" si="11">G30/$G$38</f>
        <v>5.5119918772793385E-3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2">G31/$G$38</f>
        <v>7.9538122327263184E-5</v>
      </c>
    </row>
    <row r="32" spans="1:10" x14ac:dyDescent="0.2">
      <c r="A32" s="110" t="s">
        <v>45</v>
      </c>
      <c r="B32" s="74"/>
      <c r="C32" s="35"/>
      <c r="D32" s="35">
        <f>SUM(D28:D31)</f>
        <v>107.35</v>
      </c>
      <c r="E32" s="73"/>
      <c r="F32" s="35"/>
      <c r="G32" s="35">
        <f>SUM(G28:G31)</f>
        <v>107.35</v>
      </c>
      <c r="H32" s="35">
        <f t="shared" si="2"/>
        <v>0</v>
      </c>
      <c r="I32" s="36">
        <f t="shared" si="3"/>
        <v>0</v>
      </c>
      <c r="J32" s="111">
        <f t="shared" si="12"/>
        <v>3.4153669727326814E-2</v>
      </c>
    </row>
    <row r="33" spans="1:10" ht="13.5" thickBot="1" x14ac:dyDescent="0.25">
      <c r="A33" s="112" t="s">
        <v>46</v>
      </c>
      <c r="B33" s="113">
        <f>B4</f>
        <v>15000</v>
      </c>
      <c r="C33" s="114">
        <v>7.0000000000000001E-3</v>
      </c>
      <c r="D33" s="115">
        <f>B33*C33</f>
        <v>105</v>
      </c>
      <c r="E33" s="116">
        <f t="shared" si="4"/>
        <v>15000</v>
      </c>
      <c r="F33" s="114">
        <f>C33</f>
        <v>7.0000000000000001E-3</v>
      </c>
      <c r="G33" s="115">
        <f>E33*F33</f>
        <v>105</v>
      </c>
      <c r="H33" s="115">
        <f t="shared" si="2"/>
        <v>0</v>
      </c>
      <c r="I33" s="117">
        <f t="shared" si="3"/>
        <v>0</v>
      </c>
      <c r="J33" s="118">
        <f t="shared" si="12"/>
        <v>3.3406011377450542E-2</v>
      </c>
    </row>
    <row r="34" spans="1:10" x14ac:dyDescent="0.2">
      <c r="A34" s="37" t="s">
        <v>115</v>
      </c>
      <c r="B34" s="38"/>
      <c r="C34" s="39"/>
      <c r="D34" s="39">
        <f>SUM(D15,D23,D26,D32,D33)</f>
        <v>2665.7879999999996</v>
      </c>
      <c r="E34" s="38"/>
      <c r="F34" s="39"/>
      <c r="G34" s="39">
        <f>SUM(G15,G23,G26,G32,G33)</f>
        <v>2781.5458999999996</v>
      </c>
      <c r="H34" s="39">
        <f t="shared" si="2"/>
        <v>115.75790000000006</v>
      </c>
      <c r="I34" s="40">
        <f>IF(ISERROR(H34/D34),0,(H34/D34))</f>
        <v>4.3423520550021265E-2</v>
      </c>
      <c r="J34" s="41">
        <f t="shared" si="12"/>
        <v>0.88495575221238942</v>
      </c>
    </row>
    <row r="35" spans="1:10" x14ac:dyDescent="0.2">
      <c r="A35" s="46" t="s">
        <v>106</v>
      </c>
      <c r="B35" s="43"/>
      <c r="C35" s="26">
        <v>0.13</v>
      </c>
      <c r="D35" s="26">
        <f>D34*C35</f>
        <v>346.55243999999993</v>
      </c>
      <c r="E35" s="26"/>
      <c r="F35" s="26">
        <f>C35</f>
        <v>0.13</v>
      </c>
      <c r="G35" s="26">
        <f>G34*F35</f>
        <v>361.60096699999997</v>
      </c>
      <c r="H35" s="26">
        <f t="shared" si="2"/>
        <v>15.048527000000036</v>
      </c>
      <c r="I35" s="44">
        <f t="shared" ref="I35:I38" si="13">IF(ISERROR(H35/D35),0,(H35/D35))</f>
        <v>4.3423520550021341E-2</v>
      </c>
      <c r="J35" s="45">
        <f t="shared" si="12"/>
        <v>0.11504424778761063</v>
      </c>
    </row>
    <row r="36" spans="1:10" x14ac:dyDescent="0.2">
      <c r="A36" s="46" t="s">
        <v>107</v>
      </c>
      <c r="B36" s="24"/>
      <c r="C36" s="25"/>
      <c r="D36" s="25">
        <f>SUM(D34:D35)</f>
        <v>3012.3404399999995</v>
      </c>
      <c r="E36" s="25"/>
      <c r="F36" s="25"/>
      <c r="G36" s="25">
        <f>SUM(G34:G35)</f>
        <v>3143.1468669999995</v>
      </c>
      <c r="H36" s="25">
        <f t="shared" si="2"/>
        <v>130.80642699999999</v>
      </c>
      <c r="I36" s="27">
        <f t="shared" si="13"/>
        <v>4.3423520550021237E-2</v>
      </c>
      <c r="J36" s="47">
        <f t="shared" si="12"/>
        <v>1</v>
      </c>
    </row>
    <row r="37" spans="1:10" x14ac:dyDescent="0.2">
      <c r="A37" s="46" t="s">
        <v>108</v>
      </c>
      <c r="B37" s="43"/>
      <c r="C37" s="26">
        <v>0</v>
      </c>
      <c r="D37" s="26">
        <f>D34*C37</f>
        <v>0</v>
      </c>
      <c r="E37" s="26"/>
      <c r="F37" s="26">
        <f>C37</f>
        <v>0</v>
      </c>
      <c r="G37" s="26">
        <f>G34*F37</f>
        <v>0</v>
      </c>
      <c r="H37" s="26">
        <f t="shared" si="2"/>
        <v>0</v>
      </c>
      <c r="I37" s="44">
        <f t="shared" si="13"/>
        <v>0</v>
      </c>
      <c r="J37" s="45">
        <f t="shared" si="12"/>
        <v>0</v>
      </c>
    </row>
    <row r="38" spans="1:10" ht="13.5" thickBot="1" x14ac:dyDescent="0.25">
      <c r="A38" s="46" t="s">
        <v>109</v>
      </c>
      <c r="B38" s="49"/>
      <c r="C38" s="50"/>
      <c r="D38" s="50">
        <f>SUM(D36:D37)</f>
        <v>3012.3404399999995</v>
      </c>
      <c r="E38" s="50"/>
      <c r="F38" s="50"/>
      <c r="G38" s="50">
        <f>SUM(G36:G37)</f>
        <v>3143.1468669999995</v>
      </c>
      <c r="H38" s="50">
        <f t="shared" si="2"/>
        <v>130.80642699999999</v>
      </c>
      <c r="I38" s="51">
        <f t="shared" si="13"/>
        <v>4.3423520550021237E-2</v>
      </c>
      <c r="J38" s="52">
        <f t="shared" si="12"/>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1" tint="0.499984740745262"/>
    <pageSetUpPr fitToPage="1"/>
  </sheetPr>
  <dimension ref="A1:J40"/>
  <sheetViews>
    <sheetView tabSelected="1" view="pageBreakPreview" topLeftCell="A13" zoomScaleNormal="100" zoomScaleSheetLayoutView="100" workbookViewId="0">
      <selection activeCell="N25" sqref="N25"/>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120</v>
      </c>
      <c r="B1" s="192"/>
      <c r="C1" s="192"/>
      <c r="D1" s="192"/>
      <c r="E1" s="192"/>
      <c r="F1" s="192"/>
      <c r="G1" s="192"/>
      <c r="H1" s="192"/>
      <c r="I1" s="192"/>
      <c r="J1" s="193"/>
    </row>
    <row r="3" spans="1:10" x14ac:dyDescent="0.2">
      <c r="A3" s="13" t="s">
        <v>13</v>
      </c>
      <c r="B3" s="13" t="s">
        <v>7</v>
      </c>
    </row>
    <row r="4" spans="1:10" x14ac:dyDescent="0.2">
      <c r="A4" s="15" t="s">
        <v>62</v>
      </c>
      <c r="B4" s="79">
        <f>VLOOKUP(B3,'Data for Bill Impacts'!A19:D31,3,FALSE)</f>
        <v>50525</v>
      </c>
    </row>
    <row r="5" spans="1:10" x14ac:dyDescent="0.2">
      <c r="A5" s="15" t="s">
        <v>16</v>
      </c>
      <c r="B5" s="79">
        <f>VLOOKUP(B3,'Data for Bill Impacts'!A19:D31,4,FALSE)</f>
        <v>135</v>
      </c>
    </row>
    <row r="6" spans="1:10" x14ac:dyDescent="0.2">
      <c r="A6" s="15" t="s">
        <v>20</v>
      </c>
      <c r="B6" s="80">
        <f>VLOOKUP($B$3,'Data for Bill Impacts'!$A$3:$Y$15,2,0)</f>
        <v>1.05</v>
      </c>
    </row>
    <row r="7" spans="1:10" x14ac:dyDescent="0.2">
      <c r="A7" s="81" t="s">
        <v>48</v>
      </c>
      <c r="B7" s="82">
        <f>B4/(B5*730)</f>
        <v>0.51268391679350589</v>
      </c>
    </row>
    <row r="8" spans="1:10" x14ac:dyDescent="0.2">
      <c r="A8" s="15" t="s">
        <v>15</v>
      </c>
      <c r="B8" s="79">
        <f>VLOOKUP($B$3,'Data for Bill Impacts'!$A$3:$Y$15,4,0)</f>
        <v>0</v>
      </c>
    </row>
    <row r="9" spans="1:10" x14ac:dyDescent="0.2">
      <c r="A9" s="15" t="s">
        <v>82</v>
      </c>
      <c r="B9" s="79">
        <f>B4*B6</f>
        <v>53051.25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53051.25</v>
      </c>
      <c r="C13" s="103">
        <v>0.10299999999999999</v>
      </c>
      <c r="D13" s="104">
        <f>B13*C13</f>
        <v>5464.2787499999995</v>
      </c>
      <c r="E13" s="102">
        <f>B13</f>
        <v>53051.25</v>
      </c>
      <c r="F13" s="103">
        <f>C13</f>
        <v>0.10299999999999999</v>
      </c>
      <c r="G13" s="104">
        <f>E13*F13</f>
        <v>5464.2787499999995</v>
      </c>
      <c r="H13" s="104">
        <f>G13-D13</f>
        <v>0</v>
      </c>
      <c r="I13" s="105">
        <f>IF(ISERROR(H13/D13),0,(H13/D13))</f>
        <v>0</v>
      </c>
      <c r="J13" s="124">
        <f t="shared" ref="J13:J21" si="0">G13/$G$38</f>
        <v>0.58851984641454491</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5464.2787499999995</v>
      </c>
      <c r="E15" s="76"/>
      <c r="F15" s="25"/>
      <c r="G15" s="25">
        <f>SUM(G13:G14)</f>
        <v>5464.2787499999995</v>
      </c>
      <c r="H15" s="25">
        <f t="shared" si="2"/>
        <v>0</v>
      </c>
      <c r="I15" s="27">
        <f t="shared" si="3"/>
        <v>0</v>
      </c>
      <c r="J15" s="47">
        <f t="shared" si="0"/>
        <v>0.58851984641454491</v>
      </c>
    </row>
    <row r="16" spans="1:10" s="1" customFormat="1" x14ac:dyDescent="0.2">
      <c r="A16" s="107" t="s">
        <v>38</v>
      </c>
      <c r="B16" s="73">
        <v>1</v>
      </c>
      <c r="C16" s="78">
        <f>VLOOKUP($B$3,'Data for Bill Impacts'!$A$3:$Y$15,7,0)</f>
        <v>93.97</v>
      </c>
      <c r="D16" s="22">
        <f>B16*C16</f>
        <v>93.97</v>
      </c>
      <c r="E16" s="73">
        <f t="shared" ref="E16:E33" si="4">B16</f>
        <v>1</v>
      </c>
      <c r="F16" s="78">
        <f>VLOOKUP($B$3,'Data for Bill Impacts'!$A$3:$Y$15,17,0)</f>
        <v>101.13</v>
      </c>
      <c r="G16" s="22">
        <f>E16*F16</f>
        <v>101.13</v>
      </c>
      <c r="H16" s="22">
        <f t="shared" si="2"/>
        <v>7.1599999999999966</v>
      </c>
      <c r="I16" s="23">
        <f t="shared" si="3"/>
        <v>7.6194530169202898E-2</v>
      </c>
      <c r="J16" s="125">
        <f t="shared" si="0"/>
        <v>1.0892016090486402E-2</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x14ac:dyDescent="0.2">
      <c r="A19" s="107" t="s">
        <v>85</v>
      </c>
      <c r="B19" s="73">
        <v>1</v>
      </c>
      <c r="C19" s="78">
        <f>VLOOKUP($B$3,'Data for Bill Impacts'!$A$3:$Y$15,13,0)</f>
        <v>1.42</v>
      </c>
      <c r="D19" s="22">
        <f t="shared" si="6"/>
        <v>1.42</v>
      </c>
      <c r="E19" s="73">
        <f t="shared" si="4"/>
        <v>1</v>
      </c>
      <c r="F19" s="78">
        <f>VLOOKUP($B$3,'Data for Bill Impacts'!$A$3:$Y$15,22,0)</f>
        <v>0.01</v>
      </c>
      <c r="G19" s="22">
        <f t="shared" si="5"/>
        <v>0.01</v>
      </c>
      <c r="H19" s="22">
        <f t="shared" si="2"/>
        <v>-1.41</v>
      </c>
      <c r="I19" s="23">
        <f t="shared" si="3"/>
        <v>-0.99295774647887325</v>
      </c>
      <c r="J19" s="125">
        <f t="shared" si="0"/>
        <v>1.0770311569748248E-6</v>
      </c>
    </row>
    <row r="20" spans="1:10" x14ac:dyDescent="0.2">
      <c r="A20" s="107" t="s">
        <v>39</v>
      </c>
      <c r="B20" s="73">
        <f>IF($B$10="kWh",$B$4,$B$5)</f>
        <v>135</v>
      </c>
      <c r="C20" s="78">
        <f>VLOOKUP($B$3,'Data for Bill Impacts'!$A$3:$Y$15,10,0)</f>
        <v>9.0851000000000006</v>
      </c>
      <c r="D20" s="22">
        <f>B20*C20</f>
        <v>1226.4885000000002</v>
      </c>
      <c r="E20" s="73">
        <f t="shared" si="4"/>
        <v>135</v>
      </c>
      <c r="F20" s="126">
        <f>VLOOKUP($B$3,'Data for Bill Impacts'!$A$3:$Y$15,19,0)</f>
        <v>9.5976999999999997</v>
      </c>
      <c r="G20" s="22">
        <f>E20*F20</f>
        <v>1295.6895</v>
      </c>
      <c r="H20" s="22">
        <f t="shared" si="2"/>
        <v>69.200999999999794</v>
      </c>
      <c r="I20" s="23">
        <f t="shared" si="3"/>
        <v>5.642205369230921E-2</v>
      </c>
      <c r="J20" s="125">
        <f t="shared" si="0"/>
        <v>0.13954979612651322</v>
      </c>
    </row>
    <row r="21" spans="1:10" s="1" customFormat="1" x14ac:dyDescent="0.2">
      <c r="A21" s="107" t="s">
        <v>124</v>
      </c>
      <c r="B21" s="73">
        <f>IF($B$10="kWh",$B$4,$B$5)</f>
        <v>135</v>
      </c>
      <c r="C21" s="78">
        <f>VLOOKUP($B$3,'Data for Bill Impacts'!$A$3:$Y$15,14,0)</f>
        <v>-6.2300000000000001E-2</v>
      </c>
      <c r="D21" s="22">
        <f>B21*C21</f>
        <v>-8.4105000000000008</v>
      </c>
      <c r="E21" s="73">
        <f t="shared" si="4"/>
        <v>135</v>
      </c>
      <c r="F21" s="126">
        <f>VLOOKUP($B$3,'Data for Bill Impacts'!$A$3:$Y$15,23,0)</f>
        <v>6.4600000000000005E-2</v>
      </c>
      <c r="G21" s="22">
        <f>E21*F21</f>
        <v>8.7210000000000001</v>
      </c>
      <c r="H21" s="22">
        <f t="shared" si="2"/>
        <v>17.131500000000003</v>
      </c>
      <c r="I21" s="23">
        <f>IF(ISERROR(H21/D21),0,(H21/D21))</f>
        <v>-2.0369181380417336</v>
      </c>
      <c r="J21" s="125">
        <f t="shared" si="0"/>
        <v>9.3927887199774472E-4</v>
      </c>
    </row>
    <row r="22" spans="1:10" s="1" customFormat="1" x14ac:dyDescent="0.2">
      <c r="A22" s="107" t="s">
        <v>112</v>
      </c>
      <c r="B22" s="73">
        <f>B9</f>
        <v>53051.25</v>
      </c>
      <c r="C22" s="126">
        <f>VLOOKUP($B$3,'Data for Bill Impacts'!$A$3:$Y$15,20,0)</f>
        <v>-1E-3</v>
      </c>
      <c r="D22" s="22">
        <f>B22*C22</f>
        <v>-53.051250000000003</v>
      </c>
      <c r="E22" s="73">
        <f>B22</f>
        <v>53051.25</v>
      </c>
      <c r="F22" s="126">
        <f>VLOOKUP($B$3,'Data for Bill Impacts'!$A$3:$Y$15,21,0)</f>
        <v>1.9E-3</v>
      </c>
      <c r="G22" s="22">
        <f>E22*F22</f>
        <v>100.797375</v>
      </c>
      <c r="H22" s="22">
        <f t="shared" ref="H22" si="7">G22-D22</f>
        <v>153.848625</v>
      </c>
      <c r="I22" s="23">
        <f>IF(ISERROR(H22/D22),0,(H22/D22))</f>
        <v>-2.9</v>
      </c>
      <c r="J22" s="125">
        <f t="shared" ref="J22" si="8">G22/$G$38</f>
        <v>1.0856191341627528E-2</v>
      </c>
    </row>
    <row r="23" spans="1:10" x14ac:dyDescent="0.2">
      <c r="A23" s="110" t="s">
        <v>93</v>
      </c>
      <c r="B23" s="74"/>
      <c r="C23" s="35"/>
      <c r="D23" s="35">
        <f>SUM(D16:D22)</f>
        <v>1260.4167500000003</v>
      </c>
      <c r="E23" s="73"/>
      <c r="F23" s="35"/>
      <c r="G23" s="35">
        <f>SUM(G16:G22)</f>
        <v>1506.3478750000002</v>
      </c>
      <c r="H23" s="35">
        <f t="shared" si="2"/>
        <v>245.93112499999984</v>
      </c>
      <c r="I23" s="36">
        <f t="shared" si="3"/>
        <v>0.19511889619048603</v>
      </c>
      <c r="J23" s="111">
        <f t="shared" ref="J23:J29" si="9">G23/$G$38</f>
        <v>0.16223835946178189</v>
      </c>
    </row>
    <row r="24" spans="1:10" x14ac:dyDescent="0.2">
      <c r="A24" s="107" t="s">
        <v>40</v>
      </c>
      <c r="B24" s="73">
        <f>B5</f>
        <v>135</v>
      </c>
      <c r="C24" s="78">
        <f>VLOOKUP($B$3,'Data for Bill Impacts'!$A$3:$Y$15,15,0)</f>
        <v>2.1128999999999998</v>
      </c>
      <c r="D24" s="22">
        <f>B24*C24</f>
        <v>285.24149999999997</v>
      </c>
      <c r="E24" s="73">
        <f t="shared" si="4"/>
        <v>135</v>
      </c>
      <c r="F24" s="126">
        <f>VLOOKUP($B$3,'Data for Bill Impacts'!$A$3:$Y$15,24,0)</f>
        <v>2.2310400000000001</v>
      </c>
      <c r="G24" s="22">
        <f>E24*F24</f>
        <v>301.19040000000001</v>
      </c>
      <c r="H24" s="22">
        <f t="shared" si="2"/>
        <v>15.948900000000037</v>
      </c>
      <c r="I24" s="23">
        <f t="shared" si="3"/>
        <v>5.5913673150646166E-2</v>
      </c>
      <c r="J24" s="125">
        <f t="shared" si="9"/>
        <v>3.2439144498171028E-2</v>
      </c>
    </row>
    <row r="25" spans="1:10" s="1" customFormat="1" x14ac:dyDescent="0.2">
      <c r="A25" s="107" t="s">
        <v>41</v>
      </c>
      <c r="B25" s="73">
        <f>B5</f>
        <v>135</v>
      </c>
      <c r="C25" s="78">
        <f>VLOOKUP($B$3,'Data for Bill Impacts'!$A$3:$Y$15,16,0)</f>
        <v>1.3900999999999999</v>
      </c>
      <c r="D25" s="22">
        <f>B25*C25</f>
        <v>187.6635</v>
      </c>
      <c r="E25" s="73">
        <f t="shared" si="4"/>
        <v>135</v>
      </c>
      <c r="F25" s="126">
        <f>VLOOKUP($B$3,'Data for Bill Impacts'!$A$3:$Y$15,25,0)</f>
        <v>1.7046749999999999</v>
      </c>
      <c r="G25" s="22">
        <f>E25*F25</f>
        <v>230.131125</v>
      </c>
      <c r="H25" s="22">
        <f t="shared" si="2"/>
        <v>42.467624999999998</v>
      </c>
      <c r="I25" s="23">
        <f t="shared" si="3"/>
        <v>0.22629666930436659</v>
      </c>
      <c r="J25" s="125">
        <f t="shared" si="9"/>
        <v>2.47858391814668E-2</v>
      </c>
    </row>
    <row r="26" spans="1:10" x14ac:dyDescent="0.2">
      <c r="A26" s="110" t="s">
        <v>76</v>
      </c>
      <c r="B26" s="74"/>
      <c r="C26" s="35"/>
      <c r="D26" s="35">
        <f>SUM(D24:D25)</f>
        <v>472.90499999999997</v>
      </c>
      <c r="E26" s="73"/>
      <c r="F26" s="35"/>
      <c r="G26" s="35">
        <f>SUM(G24:G25)</f>
        <v>531.32152500000007</v>
      </c>
      <c r="H26" s="35">
        <f t="shared" si="2"/>
        <v>58.416525000000092</v>
      </c>
      <c r="I26" s="36">
        <f t="shared" si="3"/>
        <v>0.1235269768769628</v>
      </c>
      <c r="J26" s="111">
        <f t="shared" si="9"/>
        <v>5.7224983679637832E-2</v>
      </c>
    </row>
    <row r="27" spans="1:10" s="1" customFormat="1" x14ac:dyDescent="0.2">
      <c r="A27" s="110" t="s">
        <v>80</v>
      </c>
      <c r="B27" s="74"/>
      <c r="C27" s="35"/>
      <c r="D27" s="35">
        <f>D23+D26</f>
        <v>1733.3217500000003</v>
      </c>
      <c r="E27" s="73"/>
      <c r="F27" s="35"/>
      <c r="G27" s="35">
        <f>G23+G26</f>
        <v>2037.6694000000002</v>
      </c>
      <c r="H27" s="35">
        <f t="shared" si="2"/>
        <v>304.34764999999993</v>
      </c>
      <c r="I27" s="36">
        <f t="shared" si="3"/>
        <v>0.17558635608189874</v>
      </c>
      <c r="J27" s="111">
        <f t="shared" si="9"/>
        <v>0.21946334314141971</v>
      </c>
    </row>
    <row r="28" spans="1:10" x14ac:dyDescent="0.2">
      <c r="A28" s="107" t="s">
        <v>42</v>
      </c>
      <c r="B28" s="73">
        <f>B9</f>
        <v>53051.25</v>
      </c>
      <c r="C28" s="34">
        <v>3.5999999999999999E-3</v>
      </c>
      <c r="D28" s="22">
        <f>B28*C28</f>
        <v>190.9845</v>
      </c>
      <c r="E28" s="73">
        <f t="shared" si="4"/>
        <v>53051.25</v>
      </c>
      <c r="F28" s="34">
        <v>3.5999999999999999E-3</v>
      </c>
      <c r="G28" s="22">
        <f>E28*F28</f>
        <v>190.9845</v>
      </c>
      <c r="H28" s="22">
        <f t="shared" si="2"/>
        <v>0</v>
      </c>
      <c r="I28" s="23">
        <f t="shared" si="3"/>
        <v>0</v>
      </c>
      <c r="J28" s="125">
        <f t="shared" si="9"/>
        <v>2.0569625699925841E-2</v>
      </c>
    </row>
    <row r="29" spans="1:10" x14ac:dyDescent="0.2">
      <c r="A29" s="107" t="s">
        <v>43</v>
      </c>
      <c r="B29" s="73">
        <f>B9</f>
        <v>53051.25</v>
      </c>
      <c r="C29" s="34">
        <v>2.0999999999999999E-3</v>
      </c>
      <c r="D29" s="22">
        <f>B29*C29</f>
        <v>111.407625</v>
      </c>
      <c r="E29" s="73">
        <f t="shared" si="4"/>
        <v>53051.25</v>
      </c>
      <c r="F29" s="34">
        <v>2.0999999999999999E-3</v>
      </c>
      <c r="G29" s="22">
        <f>E29*F29</f>
        <v>111.407625</v>
      </c>
      <c r="H29" s="22">
        <f>G29-D29</f>
        <v>0</v>
      </c>
      <c r="I29" s="23">
        <f t="shared" si="3"/>
        <v>0</v>
      </c>
      <c r="J29" s="125">
        <f t="shared" si="9"/>
        <v>1.1998948324956741E-2</v>
      </c>
    </row>
    <row r="30" spans="1:10" x14ac:dyDescent="0.2">
      <c r="A30" s="107" t="s">
        <v>96</v>
      </c>
      <c r="B30" s="73">
        <f>B9</f>
        <v>53051.25</v>
      </c>
      <c r="C30" s="34">
        <v>1.1000000000000001E-3</v>
      </c>
      <c r="D30" s="22">
        <f>B30*C30</f>
        <v>58.356375000000007</v>
      </c>
      <c r="E30" s="73">
        <f t="shared" si="4"/>
        <v>53051.25</v>
      </c>
      <c r="F30" s="34">
        <v>1.1000000000000001E-3</v>
      </c>
      <c r="G30" s="22">
        <f>E30*F30</f>
        <v>58.356375000000007</v>
      </c>
      <c r="H30" s="22">
        <f>G30-D30</f>
        <v>0</v>
      </c>
      <c r="I30" s="23">
        <f t="shared" ref="I30" si="10">IF(ISERROR(H30/D30),0,(H30/D30))</f>
        <v>0</v>
      </c>
      <c r="J30" s="125">
        <f t="shared" ref="J30" si="11">G30/$G$38</f>
        <v>6.2851634083106751E-3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2">G31/$G$38</f>
        <v>2.6925778924370618E-5</v>
      </c>
    </row>
    <row r="32" spans="1:10" x14ac:dyDescent="0.2">
      <c r="A32" s="110" t="s">
        <v>45</v>
      </c>
      <c r="B32" s="74"/>
      <c r="C32" s="35"/>
      <c r="D32" s="35">
        <f>SUM(D28:D31)</f>
        <v>360.99849999999998</v>
      </c>
      <c r="E32" s="73"/>
      <c r="F32" s="35"/>
      <c r="G32" s="35">
        <f>SUM(G28:G31)</f>
        <v>360.99849999999998</v>
      </c>
      <c r="H32" s="35">
        <f t="shared" si="2"/>
        <v>0</v>
      </c>
      <c r="I32" s="36">
        <f t="shared" si="3"/>
        <v>0</v>
      </c>
      <c r="J32" s="111">
        <f t="shared" si="12"/>
        <v>3.8880663212117625E-2</v>
      </c>
    </row>
    <row r="33" spans="1:10" ht="13.5" thickBot="1" x14ac:dyDescent="0.25">
      <c r="A33" s="112" t="s">
        <v>46</v>
      </c>
      <c r="B33" s="113">
        <f>B4</f>
        <v>50525</v>
      </c>
      <c r="C33" s="114">
        <v>7.0000000000000001E-3</v>
      </c>
      <c r="D33" s="115">
        <f>B33*C33</f>
        <v>353.67500000000001</v>
      </c>
      <c r="E33" s="116">
        <f t="shared" si="4"/>
        <v>50525</v>
      </c>
      <c r="F33" s="114">
        <f>C33</f>
        <v>7.0000000000000001E-3</v>
      </c>
      <c r="G33" s="115">
        <f>E33*F33</f>
        <v>353.67500000000001</v>
      </c>
      <c r="H33" s="115">
        <f t="shared" si="2"/>
        <v>0</v>
      </c>
      <c r="I33" s="117">
        <f t="shared" si="3"/>
        <v>0</v>
      </c>
      <c r="J33" s="118">
        <f t="shared" si="12"/>
        <v>3.8091899444307117E-2</v>
      </c>
    </row>
    <row r="34" spans="1:10" x14ac:dyDescent="0.2">
      <c r="A34" s="37" t="s">
        <v>115</v>
      </c>
      <c r="B34" s="38"/>
      <c r="C34" s="39"/>
      <c r="D34" s="39">
        <f>SUM(D15,D23,D26,D32,D33)</f>
        <v>7912.2739999999994</v>
      </c>
      <c r="E34" s="38"/>
      <c r="F34" s="39"/>
      <c r="G34" s="39">
        <f>SUM(G15,G23,G26,G32,G33)</f>
        <v>8216.6216499999991</v>
      </c>
      <c r="H34" s="39">
        <f t="shared" si="2"/>
        <v>304.3476499999997</v>
      </c>
      <c r="I34" s="40">
        <f>IF(ISERROR(H34/D34),0,(H34/D34))</f>
        <v>3.8465256637977868E-2</v>
      </c>
      <c r="J34" s="41">
        <f t="shared" si="12"/>
        <v>0.88495575221238931</v>
      </c>
    </row>
    <row r="35" spans="1:10" x14ac:dyDescent="0.2">
      <c r="A35" s="46" t="s">
        <v>106</v>
      </c>
      <c r="B35" s="43"/>
      <c r="C35" s="26">
        <v>0.13</v>
      </c>
      <c r="D35" s="26">
        <f>D34*C35</f>
        <v>1028.5956200000001</v>
      </c>
      <c r="E35" s="26"/>
      <c r="F35" s="26">
        <f>C35</f>
        <v>0.13</v>
      </c>
      <c r="G35" s="26">
        <f>G34*F35</f>
        <v>1068.1608145</v>
      </c>
      <c r="H35" s="26">
        <f t="shared" si="2"/>
        <v>39.565194499999961</v>
      </c>
      <c r="I35" s="44">
        <f t="shared" ref="I35:I38" si="13">IF(ISERROR(H35/D35),0,(H35/D35))</f>
        <v>3.8465256637977868E-2</v>
      </c>
      <c r="J35" s="45">
        <f t="shared" si="12"/>
        <v>0.11504424778761062</v>
      </c>
    </row>
    <row r="36" spans="1:10" x14ac:dyDescent="0.2">
      <c r="A36" s="46" t="s">
        <v>107</v>
      </c>
      <c r="B36" s="24"/>
      <c r="C36" s="25"/>
      <c r="D36" s="25">
        <f>SUM(D34:D35)</f>
        <v>8940.8696199999995</v>
      </c>
      <c r="E36" s="25"/>
      <c r="F36" s="25"/>
      <c r="G36" s="25">
        <f>SUM(G34:G35)</f>
        <v>9284.7824645000001</v>
      </c>
      <c r="H36" s="25">
        <f t="shared" si="2"/>
        <v>343.91284450000057</v>
      </c>
      <c r="I36" s="27">
        <f t="shared" si="13"/>
        <v>3.8465256637977972E-2</v>
      </c>
      <c r="J36" s="47">
        <f t="shared" si="12"/>
        <v>1</v>
      </c>
    </row>
    <row r="37" spans="1:10" x14ac:dyDescent="0.2">
      <c r="A37" s="46" t="s">
        <v>108</v>
      </c>
      <c r="B37" s="43"/>
      <c r="C37" s="26">
        <v>0</v>
      </c>
      <c r="D37" s="26">
        <f>D34*C37</f>
        <v>0</v>
      </c>
      <c r="E37" s="26"/>
      <c r="F37" s="26">
        <f>C37</f>
        <v>0</v>
      </c>
      <c r="G37" s="26">
        <f>G34*F37</f>
        <v>0</v>
      </c>
      <c r="H37" s="26">
        <f t="shared" si="2"/>
        <v>0</v>
      </c>
      <c r="I37" s="44">
        <f t="shared" si="13"/>
        <v>0</v>
      </c>
      <c r="J37" s="45">
        <f t="shared" si="12"/>
        <v>0</v>
      </c>
    </row>
    <row r="38" spans="1:10" ht="13.5" thickBot="1" x14ac:dyDescent="0.25">
      <c r="A38" s="46" t="s">
        <v>109</v>
      </c>
      <c r="B38" s="49"/>
      <c r="C38" s="50"/>
      <c r="D38" s="50">
        <f>SUM(D36:D37)</f>
        <v>8940.8696199999995</v>
      </c>
      <c r="E38" s="50"/>
      <c r="F38" s="50"/>
      <c r="G38" s="50">
        <f>SUM(G36:G37)</f>
        <v>9284.7824645000001</v>
      </c>
      <c r="H38" s="50">
        <f t="shared" si="2"/>
        <v>343.91284450000057</v>
      </c>
      <c r="I38" s="51">
        <f t="shared" si="13"/>
        <v>3.8465256637977972E-2</v>
      </c>
      <c r="J38" s="52">
        <f t="shared" si="12"/>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theme="1" tint="0.499984740745262"/>
    <pageSetUpPr fitToPage="1"/>
  </sheetPr>
  <dimension ref="A1:J40"/>
  <sheetViews>
    <sheetView tabSelected="1" view="pageBreakPreview" topLeftCell="A10" zoomScaleNormal="100" zoomScaleSheetLayoutView="100" workbookViewId="0">
      <selection activeCell="N25" sqref="N25"/>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101</v>
      </c>
      <c r="B1" s="192"/>
      <c r="C1" s="192"/>
      <c r="D1" s="192"/>
      <c r="E1" s="192"/>
      <c r="F1" s="192"/>
      <c r="G1" s="192"/>
      <c r="H1" s="192"/>
      <c r="I1" s="192"/>
      <c r="J1" s="193"/>
    </row>
    <row r="3" spans="1:10" x14ac:dyDescent="0.2">
      <c r="A3" s="13" t="s">
        <v>13</v>
      </c>
      <c r="B3" s="13" t="s">
        <v>7</v>
      </c>
    </row>
    <row r="4" spans="1:10" x14ac:dyDescent="0.2">
      <c r="A4" s="15" t="s">
        <v>62</v>
      </c>
      <c r="B4" s="79">
        <v>175000</v>
      </c>
    </row>
    <row r="5" spans="1:10" x14ac:dyDescent="0.2">
      <c r="A5" s="15" t="s">
        <v>16</v>
      </c>
      <c r="B5" s="79">
        <v>500</v>
      </c>
    </row>
    <row r="6" spans="1:10" x14ac:dyDescent="0.2">
      <c r="A6" s="15" t="s">
        <v>20</v>
      </c>
      <c r="B6" s="80">
        <f>VLOOKUP($B$3,'Data for Bill Impacts'!$A$3:$Y$15,2,0)</f>
        <v>1.05</v>
      </c>
    </row>
    <row r="7" spans="1:10" x14ac:dyDescent="0.2">
      <c r="A7" s="81" t="s">
        <v>48</v>
      </c>
      <c r="B7" s="82">
        <f>B4/(B5*730)</f>
        <v>0.47945205479452052</v>
      </c>
    </row>
    <row r="8" spans="1:10" x14ac:dyDescent="0.2">
      <c r="A8" s="15" t="s">
        <v>15</v>
      </c>
      <c r="B8" s="79">
        <f>VLOOKUP($B$3,'Data for Bill Impacts'!$A$3:$Y$15,4,0)</f>
        <v>0</v>
      </c>
    </row>
    <row r="9" spans="1:10" x14ac:dyDescent="0.2">
      <c r="A9" s="15" t="s">
        <v>82</v>
      </c>
      <c r="B9" s="79">
        <f>B4*B6</f>
        <v>183750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183750</v>
      </c>
      <c r="C13" s="103">
        <v>0.10299999999999999</v>
      </c>
      <c r="D13" s="104">
        <f>B13*C13</f>
        <v>18926.25</v>
      </c>
      <c r="E13" s="102">
        <f>B13</f>
        <v>183750</v>
      </c>
      <c r="F13" s="103">
        <f>C13</f>
        <v>0.10299999999999999</v>
      </c>
      <c r="G13" s="104">
        <f>E13*F13</f>
        <v>18926.25</v>
      </c>
      <c r="H13" s="104">
        <f>G13-D13</f>
        <v>0</v>
      </c>
      <c r="I13" s="105">
        <f>IF(ISERROR(H13/D13),0,(H13/D13))</f>
        <v>0</v>
      </c>
      <c r="J13" s="124">
        <f t="shared" ref="J13:J29" si="0">G13/$G$38</f>
        <v>0.58459806290881644</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18926.25</v>
      </c>
      <c r="E15" s="76"/>
      <c r="F15" s="25"/>
      <c r="G15" s="25">
        <f>SUM(G13:G14)</f>
        <v>18926.25</v>
      </c>
      <c r="H15" s="25">
        <f t="shared" si="2"/>
        <v>0</v>
      </c>
      <c r="I15" s="27">
        <f t="shared" si="3"/>
        <v>0</v>
      </c>
      <c r="J15" s="47">
        <f t="shared" si="0"/>
        <v>0.58459806290881644</v>
      </c>
    </row>
    <row r="16" spans="1:10" s="1" customFormat="1" x14ac:dyDescent="0.2">
      <c r="A16" s="107" t="s">
        <v>38</v>
      </c>
      <c r="B16" s="73">
        <v>1</v>
      </c>
      <c r="C16" s="78">
        <f>VLOOKUP($B$3,'Data for Bill Impacts'!$A$3:$Y$15,7,0)</f>
        <v>93.97</v>
      </c>
      <c r="D16" s="22">
        <f>B16*C16</f>
        <v>93.97</v>
      </c>
      <c r="E16" s="73">
        <f t="shared" ref="E16:E33" si="4">B16</f>
        <v>1</v>
      </c>
      <c r="F16" s="78">
        <f>VLOOKUP($B$3,'Data for Bill Impacts'!$A$3:$Y$15,17,0)</f>
        <v>101.13</v>
      </c>
      <c r="G16" s="22">
        <f>E16*F16</f>
        <v>101.13</v>
      </c>
      <c r="H16" s="22">
        <f t="shared" si="2"/>
        <v>7.1599999999999966</v>
      </c>
      <c r="I16" s="23">
        <f t="shared" si="3"/>
        <v>7.6194530169202898E-2</v>
      </c>
      <c r="J16" s="125">
        <f t="shared" si="0"/>
        <v>3.1237250962007058E-3</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x14ac:dyDescent="0.2">
      <c r="A19" s="107" t="s">
        <v>85</v>
      </c>
      <c r="B19" s="73">
        <v>1</v>
      </c>
      <c r="C19" s="78">
        <f>VLOOKUP($B$3,'Data for Bill Impacts'!$A$3:$Y$15,13,0)</f>
        <v>1.42</v>
      </c>
      <c r="D19" s="22">
        <f t="shared" si="6"/>
        <v>1.42</v>
      </c>
      <c r="E19" s="73">
        <f t="shared" si="4"/>
        <v>1</v>
      </c>
      <c r="F19" s="78">
        <f>VLOOKUP($B$3,'Data for Bill Impacts'!$A$3:$Y$15,22,0)</f>
        <v>0.01</v>
      </c>
      <c r="G19" s="22">
        <f t="shared" si="5"/>
        <v>0.01</v>
      </c>
      <c r="H19" s="22">
        <f t="shared" si="2"/>
        <v>-1.41</v>
      </c>
      <c r="I19" s="23">
        <f t="shared" si="3"/>
        <v>-0.99295774647887325</v>
      </c>
      <c r="J19" s="125">
        <f t="shared" si="0"/>
        <v>3.0888214142200196E-7</v>
      </c>
    </row>
    <row r="20" spans="1:10" x14ac:dyDescent="0.2">
      <c r="A20" s="107" t="s">
        <v>39</v>
      </c>
      <c r="B20" s="73">
        <f>IF($B$10="kWh",$B$4,$B$5)</f>
        <v>500</v>
      </c>
      <c r="C20" s="78">
        <f>VLOOKUP($B$3,'Data for Bill Impacts'!$A$3:$Y$15,10,0)</f>
        <v>9.0851000000000006</v>
      </c>
      <c r="D20" s="22">
        <f>B20*C20</f>
        <v>4542.55</v>
      </c>
      <c r="E20" s="73">
        <f t="shared" si="4"/>
        <v>500</v>
      </c>
      <c r="F20" s="126">
        <f>VLOOKUP($B$3,'Data for Bill Impacts'!$A$3:$Y$15,19,0)</f>
        <v>9.5976999999999997</v>
      </c>
      <c r="G20" s="22">
        <f>E20*F20</f>
        <v>4798.8499999999995</v>
      </c>
      <c r="H20" s="22">
        <f t="shared" si="2"/>
        <v>256.29999999999927</v>
      </c>
      <c r="I20" s="23">
        <f t="shared" si="3"/>
        <v>5.6422053692309224E-2</v>
      </c>
      <c r="J20" s="125">
        <f t="shared" si="0"/>
        <v>0.14822790643629738</v>
      </c>
    </row>
    <row r="21" spans="1:10" s="1" customFormat="1" x14ac:dyDescent="0.2">
      <c r="A21" s="107" t="s">
        <v>124</v>
      </c>
      <c r="B21" s="73">
        <f>IF($B$10="kWh",$B$4,$B$5)</f>
        <v>500</v>
      </c>
      <c r="C21" s="78">
        <f>VLOOKUP($B$3,'Data for Bill Impacts'!$A$3:$Y$15,14,0)</f>
        <v>-6.2300000000000001E-2</v>
      </c>
      <c r="D21" s="22">
        <f>B21*C21</f>
        <v>-31.150000000000002</v>
      </c>
      <c r="E21" s="73">
        <f t="shared" si="4"/>
        <v>500</v>
      </c>
      <c r="F21" s="126">
        <f>VLOOKUP($B$3,'Data for Bill Impacts'!$A$3:$Y$15,23,0)</f>
        <v>6.4600000000000005E-2</v>
      </c>
      <c r="G21" s="22">
        <f>E21*F21</f>
        <v>32.300000000000004</v>
      </c>
      <c r="H21" s="22">
        <f t="shared" si="2"/>
        <v>63.45</v>
      </c>
      <c r="I21" s="23">
        <f>IF(ISERROR(H21/D21),0,(H21/D21))</f>
        <v>-2.0369181380417336</v>
      </c>
      <c r="J21" s="125">
        <f t="shared" si="0"/>
        <v>9.9768931679306634E-4</v>
      </c>
    </row>
    <row r="22" spans="1:10" s="1" customFormat="1" x14ac:dyDescent="0.2">
      <c r="A22" s="107" t="s">
        <v>112</v>
      </c>
      <c r="B22" s="73">
        <f>B9</f>
        <v>183750</v>
      </c>
      <c r="C22" s="126">
        <f>VLOOKUP($B$3,'Data for Bill Impacts'!$A$3:$Y$15,20,0)</f>
        <v>-1E-3</v>
      </c>
      <c r="D22" s="22">
        <f>B22*C22</f>
        <v>-183.75</v>
      </c>
      <c r="E22" s="73">
        <f>B22</f>
        <v>183750</v>
      </c>
      <c r="F22" s="126">
        <f>VLOOKUP($B$3,'Data for Bill Impacts'!$A$3:$Y$15,21,0)</f>
        <v>1.9E-3</v>
      </c>
      <c r="G22" s="22">
        <f>E22*F22</f>
        <v>349.125</v>
      </c>
      <c r="H22" s="22">
        <f t="shared" ref="H22" si="7">G22-D22</f>
        <v>532.875</v>
      </c>
      <c r="I22" s="23">
        <f>IF(ISERROR(H22/D22),0,(H22/D22))</f>
        <v>-2.9</v>
      </c>
      <c r="J22" s="125">
        <f t="shared" si="0"/>
        <v>1.0783847762395644E-2</v>
      </c>
    </row>
    <row r="23" spans="1:10" x14ac:dyDescent="0.2">
      <c r="A23" s="110" t="s">
        <v>93</v>
      </c>
      <c r="B23" s="74"/>
      <c r="C23" s="35"/>
      <c r="D23" s="35">
        <f>SUM(D16:D22)</f>
        <v>4423.0400000000009</v>
      </c>
      <c r="E23" s="73"/>
      <c r="F23" s="35"/>
      <c r="G23" s="35">
        <f>SUM(G16:G22)</f>
        <v>5281.415</v>
      </c>
      <c r="H23" s="35">
        <f t="shared" si="2"/>
        <v>858.37499999999909</v>
      </c>
      <c r="I23" s="36">
        <f t="shared" si="3"/>
        <v>0.19406901135870328</v>
      </c>
      <c r="J23" s="111">
        <f t="shared" si="0"/>
        <v>0.16313347749382826</v>
      </c>
    </row>
    <row r="24" spans="1:10" x14ac:dyDescent="0.2">
      <c r="A24" s="107" t="s">
        <v>40</v>
      </c>
      <c r="B24" s="73">
        <f>B5</f>
        <v>500</v>
      </c>
      <c r="C24" s="78">
        <f>VLOOKUP($B$3,'Data for Bill Impacts'!$A$3:$Y$15,15,0)</f>
        <v>2.1128999999999998</v>
      </c>
      <c r="D24" s="22">
        <f>B24*C24</f>
        <v>1056.4499999999998</v>
      </c>
      <c r="E24" s="73">
        <f t="shared" si="4"/>
        <v>500</v>
      </c>
      <c r="F24" s="126">
        <f>VLOOKUP($B$3,'Data for Bill Impacts'!$A$3:$Y$15,24,0)</f>
        <v>2.2310400000000001</v>
      </c>
      <c r="G24" s="22">
        <f>E24*F24</f>
        <v>1115.52</v>
      </c>
      <c r="H24" s="22">
        <f t="shared" si="2"/>
        <v>59.070000000000164</v>
      </c>
      <c r="I24" s="23">
        <f t="shared" si="3"/>
        <v>5.5913673150646194E-2</v>
      </c>
      <c r="J24" s="125">
        <f t="shared" si="0"/>
        <v>3.4456420639907163E-2</v>
      </c>
    </row>
    <row r="25" spans="1:10" s="1" customFormat="1" x14ac:dyDescent="0.2">
      <c r="A25" s="107" t="s">
        <v>41</v>
      </c>
      <c r="B25" s="73">
        <f>B5</f>
        <v>500</v>
      </c>
      <c r="C25" s="78">
        <f>VLOOKUP($B$3,'Data for Bill Impacts'!$A$3:$Y$15,16,0)</f>
        <v>1.3900999999999999</v>
      </c>
      <c r="D25" s="22">
        <f>B25*C25</f>
        <v>695.05</v>
      </c>
      <c r="E25" s="73">
        <f t="shared" si="4"/>
        <v>500</v>
      </c>
      <c r="F25" s="126">
        <f>VLOOKUP($B$3,'Data for Bill Impacts'!$A$3:$Y$15,25,0)</f>
        <v>1.7046749999999999</v>
      </c>
      <c r="G25" s="22">
        <f>E25*F25</f>
        <v>852.33749999999998</v>
      </c>
      <c r="H25" s="22">
        <f t="shared" si="2"/>
        <v>157.28750000000002</v>
      </c>
      <c r="I25" s="23">
        <f t="shared" si="3"/>
        <v>0.22629666930436665</v>
      </c>
      <c r="J25" s="125">
        <f t="shared" si="0"/>
        <v>2.6327183221427557E-2</v>
      </c>
    </row>
    <row r="26" spans="1:10" x14ac:dyDescent="0.2">
      <c r="A26" s="110" t="s">
        <v>76</v>
      </c>
      <c r="B26" s="74"/>
      <c r="C26" s="35"/>
      <c r="D26" s="35">
        <f>SUM(D24:D25)</f>
        <v>1751.4999999999998</v>
      </c>
      <c r="E26" s="73"/>
      <c r="F26" s="35"/>
      <c r="G26" s="35">
        <f>SUM(G24:G25)</f>
        <v>1967.8575000000001</v>
      </c>
      <c r="H26" s="35">
        <f t="shared" si="2"/>
        <v>216.3575000000003</v>
      </c>
      <c r="I26" s="36">
        <f t="shared" si="3"/>
        <v>0.12352697687696279</v>
      </c>
      <c r="J26" s="111">
        <f t="shared" si="0"/>
        <v>6.0783603861334724E-2</v>
      </c>
    </row>
    <row r="27" spans="1:10" s="1" customFormat="1" x14ac:dyDescent="0.2">
      <c r="A27" s="110" t="s">
        <v>80</v>
      </c>
      <c r="B27" s="74"/>
      <c r="C27" s="35"/>
      <c r="D27" s="35">
        <f>D23+D26</f>
        <v>6174.5400000000009</v>
      </c>
      <c r="E27" s="73"/>
      <c r="F27" s="35"/>
      <c r="G27" s="35">
        <f>G23+G26</f>
        <v>7249.2725</v>
      </c>
      <c r="H27" s="35">
        <f t="shared" si="2"/>
        <v>1074.7324999999992</v>
      </c>
      <c r="I27" s="36">
        <f t="shared" si="3"/>
        <v>0.17405871530510758</v>
      </c>
      <c r="J27" s="111">
        <f t="shared" si="0"/>
        <v>0.22391708135516297</v>
      </c>
    </row>
    <row r="28" spans="1:10" x14ac:dyDescent="0.2">
      <c r="A28" s="107" t="s">
        <v>42</v>
      </c>
      <c r="B28" s="73">
        <f>B9</f>
        <v>183750</v>
      </c>
      <c r="C28" s="34">
        <v>3.5999999999999999E-3</v>
      </c>
      <c r="D28" s="22">
        <f>B28*C28</f>
        <v>661.5</v>
      </c>
      <c r="E28" s="73">
        <f t="shared" si="4"/>
        <v>183750</v>
      </c>
      <c r="F28" s="34">
        <v>3.5999999999999999E-3</v>
      </c>
      <c r="G28" s="22">
        <f>E28*F28</f>
        <v>661.5</v>
      </c>
      <c r="H28" s="22">
        <f t="shared" si="2"/>
        <v>0</v>
      </c>
      <c r="I28" s="23">
        <f t="shared" si="3"/>
        <v>0</v>
      </c>
      <c r="J28" s="125">
        <f t="shared" si="0"/>
        <v>2.0432553655065428E-2</v>
      </c>
    </row>
    <row r="29" spans="1:10" x14ac:dyDescent="0.2">
      <c r="A29" s="107" t="s">
        <v>43</v>
      </c>
      <c r="B29" s="73">
        <f>B9</f>
        <v>183750</v>
      </c>
      <c r="C29" s="34">
        <v>2.0999999999999999E-3</v>
      </c>
      <c r="D29" s="22">
        <f>B29*C29</f>
        <v>385.875</v>
      </c>
      <c r="E29" s="73">
        <f t="shared" si="4"/>
        <v>183750</v>
      </c>
      <c r="F29" s="34">
        <v>2.0999999999999999E-3</v>
      </c>
      <c r="G29" s="22">
        <f>E29*F29</f>
        <v>385.875</v>
      </c>
      <c r="H29" s="22">
        <f>G29-D29</f>
        <v>0</v>
      </c>
      <c r="I29" s="23">
        <f t="shared" si="3"/>
        <v>0</v>
      </c>
      <c r="J29" s="125">
        <f t="shared" si="0"/>
        <v>1.1918989632121501E-2</v>
      </c>
    </row>
    <row r="30" spans="1:10" x14ac:dyDescent="0.2">
      <c r="A30" s="107" t="s">
        <v>96</v>
      </c>
      <c r="B30" s="73">
        <f>B9</f>
        <v>183750</v>
      </c>
      <c r="C30" s="34">
        <v>1.1000000000000001E-3</v>
      </c>
      <c r="D30" s="22">
        <f>B30*C30</f>
        <v>202.125</v>
      </c>
      <c r="E30" s="73">
        <f t="shared" si="4"/>
        <v>183750</v>
      </c>
      <c r="F30" s="34">
        <v>1.1000000000000001E-3</v>
      </c>
      <c r="G30" s="22">
        <f>E30*F30</f>
        <v>202.125</v>
      </c>
      <c r="H30" s="22">
        <f>G30-D30</f>
        <v>0</v>
      </c>
      <c r="I30" s="23">
        <f t="shared" ref="I30" si="8">IF(ISERROR(H30/D30),0,(H30/D30))</f>
        <v>0</v>
      </c>
      <c r="J30" s="125">
        <f t="shared" ref="J30" si="9">G30/$G$38</f>
        <v>6.2432802834922144E-3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0">G31/$G$38</f>
        <v>7.7220535355500486E-6</v>
      </c>
    </row>
    <row r="32" spans="1:10" x14ac:dyDescent="0.2">
      <c r="A32" s="110" t="s">
        <v>45</v>
      </c>
      <c r="B32" s="74"/>
      <c r="C32" s="35"/>
      <c r="D32" s="35">
        <f>SUM(D28:D31)</f>
        <v>1249.75</v>
      </c>
      <c r="E32" s="73"/>
      <c r="F32" s="35"/>
      <c r="G32" s="35">
        <f>SUM(G28:G31)</f>
        <v>1249.75</v>
      </c>
      <c r="H32" s="35">
        <f t="shared" si="2"/>
        <v>0</v>
      </c>
      <c r="I32" s="36">
        <f t="shared" si="3"/>
        <v>0</v>
      </c>
      <c r="J32" s="111">
        <f t="shared" si="10"/>
        <v>3.8602545624214696E-2</v>
      </c>
    </row>
    <row r="33" spans="1:10" ht="13.5" thickBot="1" x14ac:dyDescent="0.25">
      <c r="A33" s="112" t="s">
        <v>46</v>
      </c>
      <c r="B33" s="113">
        <f>B4</f>
        <v>175000</v>
      </c>
      <c r="C33" s="114">
        <v>7.0000000000000001E-3</v>
      </c>
      <c r="D33" s="115">
        <f>B33*C33</f>
        <v>1225</v>
      </c>
      <c r="E33" s="116">
        <f t="shared" si="4"/>
        <v>175000</v>
      </c>
      <c r="F33" s="114">
        <f>C33</f>
        <v>7.0000000000000001E-3</v>
      </c>
      <c r="G33" s="115">
        <f>E33*F33</f>
        <v>1225</v>
      </c>
      <c r="H33" s="115">
        <f t="shared" si="2"/>
        <v>0</v>
      </c>
      <c r="I33" s="117">
        <f t="shared" si="3"/>
        <v>0</v>
      </c>
      <c r="J33" s="118">
        <f t="shared" si="10"/>
        <v>3.7838062324195239E-2</v>
      </c>
    </row>
    <row r="34" spans="1:10" x14ac:dyDescent="0.2">
      <c r="A34" s="37" t="s">
        <v>115</v>
      </c>
      <c r="B34" s="38"/>
      <c r="C34" s="39"/>
      <c r="D34" s="39">
        <f>SUM(D15,D23,D26,D32,D33)</f>
        <v>27575.54</v>
      </c>
      <c r="E34" s="38"/>
      <c r="F34" s="39"/>
      <c r="G34" s="39">
        <f>SUM(G15,G23,G26,G32,G33)</f>
        <v>28650.272499999999</v>
      </c>
      <c r="H34" s="39">
        <f t="shared" si="2"/>
        <v>1074.7324999999983</v>
      </c>
      <c r="I34" s="40">
        <f>IF(ISERROR(H34/D34),0,(H34/D34))</f>
        <v>3.8974123444182718E-2</v>
      </c>
      <c r="J34" s="41">
        <f t="shared" si="10"/>
        <v>0.88495575221238931</v>
      </c>
    </row>
    <row r="35" spans="1:10" x14ac:dyDescent="0.2">
      <c r="A35" s="46" t="s">
        <v>106</v>
      </c>
      <c r="B35" s="43"/>
      <c r="C35" s="26">
        <v>0.13</v>
      </c>
      <c r="D35" s="26">
        <f>D34*C35</f>
        <v>3584.8202000000001</v>
      </c>
      <c r="E35" s="26"/>
      <c r="F35" s="26">
        <f>C35</f>
        <v>0.13</v>
      </c>
      <c r="G35" s="26">
        <f>G34*F35</f>
        <v>3724.535425</v>
      </c>
      <c r="H35" s="26">
        <f t="shared" si="2"/>
        <v>139.71522499999992</v>
      </c>
      <c r="I35" s="44">
        <f t="shared" ref="I35:I38" si="11">IF(ISERROR(H35/D35),0,(H35/D35))</f>
        <v>3.8974123444182752E-2</v>
      </c>
      <c r="J35" s="45">
        <f t="shared" si="10"/>
        <v>0.11504424778761062</v>
      </c>
    </row>
    <row r="36" spans="1:10" x14ac:dyDescent="0.2">
      <c r="A36" s="46" t="s">
        <v>107</v>
      </c>
      <c r="B36" s="24"/>
      <c r="C36" s="25"/>
      <c r="D36" s="25">
        <f>SUM(D34:D35)</f>
        <v>31160.360200000003</v>
      </c>
      <c r="E36" s="25"/>
      <c r="F36" s="25"/>
      <c r="G36" s="25">
        <f>SUM(G34:G35)</f>
        <v>32374.807925000001</v>
      </c>
      <c r="H36" s="25">
        <f t="shared" si="2"/>
        <v>1214.4477249999982</v>
      </c>
      <c r="I36" s="27">
        <f t="shared" si="11"/>
        <v>3.8974123444182718E-2</v>
      </c>
      <c r="J36" s="47">
        <f t="shared" si="10"/>
        <v>1</v>
      </c>
    </row>
    <row r="37" spans="1:10" x14ac:dyDescent="0.2">
      <c r="A37" s="46" t="s">
        <v>108</v>
      </c>
      <c r="B37" s="43"/>
      <c r="C37" s="26">
        <v>0</v>
      </c>
      <c r="D37" s="26">
        <f>D34*C37</f>
        <v>0</v>
      </c>
      <c r="E37" s="26"/>
      <c r="F37" s="26">
        <f>C37</f>
        <v>0</v>
      </c>
      <c r="G37" s="26">
        <f>G34*F37</f>
        <v>0</v>
      </c>
      <c r="H37" s="26">
        <f t="shared" si="2"/>
        <v>0</v>
      </c>
      <c r="I37" s="44">
        <f t="shared" si="11"/>
        <v>0</v>
      </c>
      <c r="J37" s="45">
        <f t="shared" si="10"/>
        <v>0</v>
      </c>
    </row>
    <row r="38" spans="1:10" ht="13.5" thickBot="1" x14ac:dyDescent="0.25">
      <c r="A38" s="46" t="s">
        <v>109</v>
      </c>
      <c r="B38" s="49"/>
      <c r="C38" s="50"/>
      <c r="D38" s="50">
        <f>SUM(D36:D37)</f>
        <v>31160.360200000003</v>
      </c>
      <c r="E38" s="50"/>
      <c r="F38" s="50"/>
      <c r="G38" s="50">
        <f>SUM(G36:G37)</f>
        <v>32374.807925000001</v>
      </c>
      <c r="H38" s="50">
        <f t="shared" si="2"/>
        <v>1214.4477249999982</v>
      </c>
      <c r="I38" s="51">
        <f t="shared" si="11"/>
        <v>3.8974123444182718E-2</v>
      </c>
      <c r="J38" s="52">
        <f t="shared" si="1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pageSetUpPr fitToPage="1"/>
  </sheetPr>
  <dimension ref="A1:K68"/>
  <sheetViews>
    <sheetView tabSelected="1" zoomScaleNormal="100" zoomScaleSheetLayoutView="100" workbookViewId="0">
      <selection activeCell="N25" sqref="N25"/>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98</v>
      </c>
      <c r="B1" s="192"/>
      <c r="C1" s="192"/>
      <c r="D1" s="192"/>
      <c r="E1" s="192"/>
      <c r="F1" s="192"/>
      <c r="G1" s="192"/>
      <c r="H1" s="192"/>
      <c r="I1" s="192"/>
      <c r="J1" s="192"/>
      <c r="K1" s="193"/>
    </row>
    <row r="3" spans="1:11" x14ac:dyDescent="0.2">
      <c r="A3" s="13" t="s">
        <v>13</v>
      </c>
      <c r="B3" s="13" t="s">
        <v>0</v>
      </c>
    </row>
    <row r="4" spans="1:11" x14ac:dyDescent="0.2">
      <c r="A4" s="15" t="s">
        <v>62</v>
      </c>
      <c r="B4" s="15">
        <v>350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5">
        <f>B4*B6</f>
        <v>369.95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350</v>
      </c>
      <c r="C12" s="103">
        <v>0.10299999999999999</v>
      </c>
      <c r="D12" s="104">
        <f>B12*C12</f>
        <v>36.049999999999997</v>
      </c>
      <c r="E12" s="102">
        <f>B12</f>
        <v>350</v>
      </c>
      <c r="F12" s="103">
        <f>C12</f>
        <v>0.10299999999999999</v>
      </c>
      <c r="G12" s="104">
        <f>E12*F12</f>
        <v>36.049999999999997</v>
      </c>
      <c r="H12" s="104">
        <f>G12-D12</f>
        <v>0</v>
      </c>
      <c r="I12" s="105">
        <f>IF(ISERROR(H12/D12),0,(H12/D12))</f>
        <v>0</v>
      </c>
      <c r="J12" s="105">
        <f>G12/$G$46</f>
        <v>0.44276385213889807</v>
      </c>
      <c r="K12" s="106"/>
    </row>
    <row r="13" spans="1:11" x14ac:dyDescent="0.2">
      <c r="A13" s="107" t="s">
        <v>32</v>
      </c>
      <c r="B13" s="73">
        <f>IF(B4&gt;B7,(B4)-B7,0)</f>
        <v>0</v>
      </c>
      <c r="C13" s="21">
        <v>0.121</v>
      </c>
      <c r="D13" s="22">
        <f>B13*C13</f>
        <v>0</v>
      </c>
      <c r="E13" s="73">
        <f t="shared" ref="E13:E41"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36.049999999999997</v>
      </c>
      <c r="E14" s="76"/>
      <c r="F14" s="25"/>
      <c r="G14" s="25">
        <f>SUM(G12:G13)</f>
        <v>36.049999999999997</v>
      </c>
      <c r="H14" s="25">
        <f t="shared" si="1"/>
        <v>0</v>
      </c>
      <c r="I14" s="27">
        <f t="shared" si="2"/>
        <v>0</v>
      </c>
      <c r="J14" s="27">
        <f>G14/$G$46</f>
        <v>0.44276385213889807</v>
      </c>
      <c r="K14" s="108"/>
    </row>
    <row r="15" spans="1:11" s="1" customFormat="1" x14ac:dyDescent="0.2">
      <c r="A15" s="109" t="s">
        <v>34</v>
      </c>
      <c r="B15" s="75">
        <f>B4*0.65</f>
        <v>227.5</v>
      </c>
      <c r="C15" s="28">
        <v>8.6999999999999994E-2</v>
      </c>
      <c r="D15" s="22">
        <f>B15*C15</f>
        <v>19.792499999999997</v>
      </c>
      <c r="E15" s="73">
        <f t="shared" ref="E15:F17" si="3">B15</f>
        <v>227.5</v>
      </c>
      <c r="F15" s="28">
        <f t="shared" si="3"/>
        <v>8.6999999999999994E-2</v>
      </c>
      <c r="G15" s="22">
        <f>E15*F15</f>
        <v>19.792499999999997</v>
      </c>
      <c r="H15" s="22">
        <f t="shared" si="1"/>
        <v>0</v>
      </c>
      <c r="I15" s="23">
        <f t="shared" si="2"/>
        <v>0</v>
      </c>
      <c r="J15" s="23"/>
      <c r="K15" s="108">
        <f t="shared" ref="K15:K26" si="4">G15/$G$51</f>
        <v>0.23373438914054304</v>
      </c>
    </row>
    <row r="16" spans="1:11" s="1" customFormat="1" x14ac:dyDescent="0.2">
      <c r="A16" s="109" t="s">
        <v>35</v>
      </c>
      <c r="B16" s="75">
        <f>B4*0.17</f>
        <v>59.500000000000007</v>
      </c>
      <c r="C16" s="28">
        <v>0.13200000000000001</v>
      </c>
      <c r="D16" s="22">
        <f>B16*C16</f>
        <v>7.854000000000001</v>
      </c>
      <c r="E16" s="73">
        <f t="shared" si="3"/>
        <v>59.500000000000007</v>
      </c>
      <c r="F16" s="28">
        <f t="shared" si="3"/>
        <v>0.13200000000000001</v>
      </c>
      <c r="G16" s="22">
        <f>E16*F16</f>
        <v>7.854000000000001</v>
      </c>
      <c r="H16" s="22">
        <f t="shared" si="1"/>
        <v>0</v>
      </c>
      <c r="I16" s="23">
        <f t="shared" si="2"/>
        <v>0</v>
      </c>
      <c r="J16" s="23"/>
      <c r="K16" s="108">
        <f t="shared" si="4"/>
        <v>9.2749773515716838E-2</v>
      </c>
    </row>
    <row r="17" spans="1:11" s="1" customFormat="1" x14ac:dyDescent="0.2">
      <c r="A17" s="109" t="s">
        <v>36</v>
      </c>
      <c r="B17" s="75">
        <f>B4*0.18</f>
        <v>63</v>
      </c>
      <c r="C17" s="28">
        <v>0.18</v>
      </c>
      <c r="D17" s="22">
        <f>B17*C17</f>
        <v>11.34</v>
      </c>
      <c r="E17" s="73">
        <f t="shared" si="3"/>
        <v>63</v>
      </c>
      <c r="F17" s="28">
        <f t="shared" si="3"/>
        <v>0.18</v>
      </c>
      <c r="G17" s="22">
        <f>E17*F17</f>
        <v>11.34</v>
      </c>
      <c r="H17" s="22">
        <f t="shared" si="1"/>
        <v>0</v>
      </c>
      <c r="I17" s="23">
        <f t="shared" si="2"/>
        <v>0</v>
      </c>
      <c r="J17" s="23"/>
      <c r="K17" s="108">
        <f t="shared" si="4"/>
        <v>0.13391678529007242</v>
      </c>
    </row>
    <row r="18" spans="1:11" s="1" customFormat="1" x14ac:dyDescent="0.2">
      <c r="A18" s="61" t="s">
        <v>37</v>
      </c>
      <c r="B18" s="29"/>
      <c r="C18" s="30"/>
      <c r="D18" s="30">
        <f>SUM(D15:D17)</f>
        <v>38.986499999999992</v>
      </c>
      <c r="E18" s="77"/>
      <c r="F18" s="30"/>
      <c r="G18" s="30">
        <f>SUM(G15:G17)</f>
        <v>38.986499999999992</v>
      </c>
      <c r="H18" s="31">
        <f t="shared" si="1"/>
        <v>0</v>
      </c>
      <c r="I18" s="32">
        <f t="shared" si="2"/>
        <v>0</v>
      </c>
      <c r="J18" s="33">
        <f t="shared" ref="J18:J26" si="5">G18/$G$46</f>
        <v>0.47882976203642574</v>
      </c>
      <c r="K18" s="62">
        <f t="shared" si="4"/>
        <v>0.46040094794633224</v>
      </c>
    </row>
    <row r="19" spans="1:11" x14ac:dyDescent="0.2">
      <c r="A19" s="107" t="s">
        <v>38</v>
      </c>
      <c r="B19" s="73">
        <v>1</v>
      </c>
      <c r="C19" s="122">
        <f>VLOOKUP($B$3,'Data for Bill Impacts'!$A$3:$Y$15,7,0)</f>
        <v>24.78</v>
      </c>
      <c r="D19" s="22">
        <f>B19*C19</f>
        <v>24.78</v>
      </c>
      <c r="E19" s="73">
        <f t="shared" si="0"/>
        <v>1</v>
      </c>
      <c r="F19" s="122">
        <f>VLOOKUP($B$3,'Data for Bill Impacts'!$A$3:$Y$15,17,0)</f>
        <v>27.76</v>
      </c>
      <c r="G19" s="22">
        <f>E19*F19</f>
        <v>27.76</v>
      </c>
      <c r="H19" s="22">
        <f t="shared" si="1"/>
        <v>2.9800000000000004</v>
      </c>
      <c r="I19" s="23">
        <f t="shared" si="2"/>
        <v>0.12025827280064569</v>
      </c>
      <c r="J19" s="23">
        <f t="shared" si="5"/>
        <v>0.34094658905342057</v>
      </c>
      <c r="K19" s="108">
        <f t="shared" si="4"/>
        <v>0.32782451143319319</v>
      </c>
    </row>
    <row r="20" spans="1:11" hidden="1" x14ac:dyDescent="0.2">
      <c r="A20" s="107" t="s">
        <v>113</v>
      </c>
      <c r="B20" s="73">
        <v>1</v>
      </c>
      <c r="C20" s="78">
        <f>VLOOKUP($B$3,'Data for Bill Impacts'!$A$3:$Y$15,11,0)</f>
        <v>0</v>
      </c>
      <c r="D20" s="22">
        <f t="shared" ref="D20:D21" si="6">B20*C20</f>
        <v>0</v>
      </c>
      <c r="E20" s="73">
        <f t="shared" si="0"/>
        <v>1</v>
      </c>
      <c r="F20" s="122">
        <f>VLOOKUP($B$3,'Data for Bill Impacts'!$A$3:$Y$15,12,0)</f>
        <v>0</v>
      </c>
      <c r="G20" s="22">
        <f t="shared" ref="G20:G21" si="7">E20*F20</f>
        <v>0</v>
      </c>
      <c r="H20" s="22">
        <f t="shared" ref="H20:H21" si="8">G20-D20</f>
        <v>0</v>
      </c>
      <c r="I20" s="23">
        <f t="shared" ref="I20:I21" si="9">IF(ISERROR(H20/D20),0,(H20/D20))</f>
        <v>0</v>
      </c>
      <c r="J20" s="23">
        <f t="shared" si="5"/>
        <v>0</v>
      </c>
      <c r="K20" s="108">
        <f t="shared" si="4"/>
        <v>0</v>
      </c>
    </row>
    <row r="21" spans="1:11" x14ac:dyDescent="0.2">
      <c r="A21" s="107" t="s">
        <v>85</v>
      </c>
      <c r="B21" s="73">
        <v>1</v>
      </c>
      <c r="C21" s="78">
        <f>VLOOKUP($B$3,'Data for Bill Impacts'!$A$3:$Y$15,13,0)</f>
        <v>0.72</v>
      </c>
      <c r="D21" s="22">
        <f t="shared" si="6"/>
        <v>0.72</v>
      </c>
      <c r="E21" s="73">
        <f t="shared" si="0"/>
        <v>1</v>
      </c>
      <c r="F21" s="122">
        <f>VLOOKUP($B$3,'Data for Bill Impacts'!$A$3:$Y$15,22,0)</f>
        <v>0.01</v>
      </c>
      <c r="G21" s="22">
        <f t="shared" si="7"/>
        <v>0.01</v>
      </c>
      <c r="H21" s="22">
        <f t="shared" si="8"/>
        <v>-0.71</v>
      </c>
      <c r="I21" s="23">
        <f t="shared" si="9"/>
        <v>-0.98611111111111105</v>
      </c>
      <c r="J21" s="23">
        <f t="shared" si="5"/>
        <v>1.2281937646016591E-4</v>
      </c>
      <c r="K21" s="108">
        <f t="shared" si="4"/>
        <v>1.1809240325403213E-4</v>
      </c>
    </row>
    <row r="22" spans="1:11" hidden="1" x14ac:dyDescent="0.2">
      <c r="A22" s="107" t="s">
        <v>123</v>
      </c>
      <c r="B22" s="73">
        <f>B4</f>
        <v>350</v>
      </c>
      <c r="C22" s="78">
        <v>0</v>
      </c>
      <c r="D22" s="22">
        <f>B22*C22</f>
        <v>0</v>
      </c>
      <c r="E22" s="73">
        <f>B22</f>
        <v>350</v>
      </c>
      <c r="F22" s="78">
        <f>C22</f>
        <v>0</v>
      </c>
      <c r="G22" s="22">
        <f>E22*F22</f>
        <v>0</v>
      </c>
      <c r="H22" s="22">
        <f>G22-D22</f>
        <v>0</v>
      </c>
      <c r="I22" s="23">
        <f>IF(ISERROR(H22/D22),0,(H22/D22))</f>
        <v>0</v>
      </c>
      <c r="J22" s="23">
        <f t="shared" si="5"/>
        <v>0</v>
      </c>
      <c r="K22" s="108">
        <f t="shared" si="4"/>
        <v>0</v>
      </c>
    </row>
    <row r="23" spans="1:11" x14ac:dyDescent="0.2">
      <c r="A23" s="107" t="s">
        <v>39</v>
      </c>
      <c r="B23" s="73">
        <f>IF($B$9="kWh",$B$4,$B$5)</f>
        <v>350</v>
      </c>
      <c r="C23" s="78">
        <f>VLOOKUP($B$3,'Data for Bill Impacts'!$A$3:$Y$15,10,0)</f>
        <v>9.4000000000000004E-3</v>
      </c>
      <c r="D23" s="22">
        <f>B23*C23</f>
        <v>3.29</v>
      </c>
      <c r="E23" s="73">
        <f t="shared" si="0"/>
        <v>350</v>
      </c>
      <c r="F23" s="126">
        <f>VLOOKUP($B$3,'Data for Bill Impacts'!$A$3:$Y$15,19,0)</f>
        <v>7.9000000000000008E-3</v>
      </c>
      <c r="G23" s="22">
        <f>E23*F23</f>
        <v>2.7650000000000001</v>
      </c>
      <c r="H23" s="22">
        <f t="shared" si="1"/>
        <v>-0.52499999999999991</v>
      </c>
      <c r="I23" s="23">
        <f t="shared" si="2"/>
        <v>-0.15957446808510636</v>
      </c>
      <c r="J23" s="23">
        <f t="shared" si="5"/>
        <v>3.3959557591235874E-2</v>
      </c>
      <c r="K23" s="108">
        <f t="shared" si="4"/>
        <v>3.2652549499739884E-2</v>
      </c>
    </row>
    <row r="24" spans="1:11" x14ac:dyDescent="0.2">
      <c r="A24" s="107" t="s">
        <v>124</v>
      </c>
      <c r="B24" s="73">
        <f>IF($B$9="kWh",$B$4,$B$5)</f>
        <v>350</v>
      </c>
      <c r="C24" s="78">
        <f>VLOOKUP($B$3,'Data for Bill Impacts'!$A$3:$Y$15,14,0)</f>
        <v>-2.9999999999999997E-4</v>
      </c>
      <c r="D24" s="22">
        <f>B24*C24</f>
        <v>-0.105</v>
      </c>
      <c r="E24" s="73">
        <f>B24</f>
        <v>350</v>
      </c>
      <c r="F24" s="126">
        <f>VLOOKUP($B$3,'Data for Bill Impacts'!$A$3:$Y$15,23,0)</f>
        <v>2.0000000000000001E-4</v>
      </c>
      <c r="G24" s="22">
        <f>E24*F24</f>
        <v>7.0000000000000007E-2</v>
      </c>
      <c r="H24" s="22">
        <f t="shared" ref="H24" si="10">G24-D24</f>
        <v>0.17499999999999999</v>
      </c>
      <c r="I24" s="23">
        <f>IF(ISERROR(H24/D24),0,(H24/D24))</f>
        <v>-1.6666666666666665</v>
      </c>
      <c r="J24" s="23">
        <f t="shared" si="5"/>
        <v>8.597356352211614E-4</v>
      </c>
      <c r="K24" s="108">
        <f t="shared" si="4"/>
        <v>8.26646822778225E-4</v>
      </c>
    </row>
    <row r="25" spans="1:11" s="1" customFormat="1" x14ac:dyDescent="0.2">
      <c r="A25" s="110" t="s">
        <v>72</v>
      </c>
      <c r="B25" s="74"/>
      <c r="C25" s="35"/>
      <c r="D25" s="35">
        <f>SUM(D19:D24)</f>
        <v>28.684999999999999</v>
      </c>
      <c r="E25" s="73"/>
      <c r="F25" s="35"/>
      <c r="G25" s="35">
        <f>SUM(G19:G24)</f>
        <v>30.605000000000004</v>
      </c>
      <c r="H25" s="35">
        <f t="shared" si="1"/>
        <v>1.9200000000000053</v>
      </c>
      <c r="I25" s="36">
        <f t="shared" si="2"/>
        <v>6.6933937598047943E-2</v>
      </c>
      <c r="J25" s="36">
        <f t="shared" si="5"/>
        <v>0.37588870165633781</v>
      </c>
      <c r="K25" s="111">
        <f t="shared" si="4"/>
        <v>0.36142180015896536</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9.7027307403531066E-3</v>
      </c>
      <c r="K26" s="108">
        <f t="shared" si="4"/>
        <v>9.3292998570685386E-3</v>
      </c>
    </row>
    <row r="27" spans="1:11" s="1" customFormat="1" x14ac:dyDescent="0.2">
      <c r="A27" s="119" t="s">
        <v>75</v>
      </c>
      <c r="B27" s="120">
        <f>B8-B4</f>
        <v>19.949999999999989</v>
      </c>
      <c r="C27" s="121">
        <f>IF(B4&gt;B7,C13,C12)</f>
        <v>0.10299999999999999</v>
      </c>
      <c r="D27" s="22">
        <f>B27*C27</f>
        <v>2.0548499999999987</v>
      </c>
      <c r="E27" s="73">
        <f>B27</f>
        <v>19.949999999999989</v>
      </c>
      <c r="F27" s="121">
        <f>C27</f>
        <v>0.10299999999999999</v>
      </c>
      <c r="G27" s="22">
        <f>E27*F27</f>
        <v>2.0548499999999987</v>
      </c>
      <c r="H27" s="22">
        <f t="shared" ref="H27:H29" si="11">G27-D27</f>
        <v>0</v>
      </c>
      <c r="I27" s="23">
        <f>IF(ISERROR(H27/D27),0,(H27/D27))</f>
        <v>0</v>
      </c>
      <c r="J27" s="23">
        <f t="shared" ref="J27:J29" si="12">G27/$G$46</f>
        <v>2.5237539571917177E-2</v>
      </c>
      <c r="K27" s="108">
        <f t="shared" ref="K27:K29" si="13">G27/$G$51</f>
        <v>2.4266217482654777E-2</v>
      </c>
    </row>
    <row r="28" spans="1:11" s="1" customFormat="1" x14ac:dyDescent="0.2">
      <c r="A28" s="119" t="s">
        <v>74</v>
      </c>
      <c r="B28" s="120">
        <f>B8-B4</f>
        <v>19.949999999999989</v>
      </c>
      <c r="C28" s="121">
        <f>0.65*C15+0.17*C16+0.18*C17</f>
        <v>0.11139</v>
      </c>
      <c r="D28" s="22">
        <f>B28*C28</f>
        <v>2.2222304999999989</v>
      </c>
      <c r="E28" s="73">
        <f>B28</f>
        <v>19.949999999999989</v>
      </c>
      <c r="F28" s="121">
        <f>C28</f>
        <v>0.11139</v>
      </c>
      <c r="G28" s="22">
        <f>E28*F28</f>
        <v>2.2222304999999989</v>
      </c>
      <c r="H28" s="22">
        <f t="shared" ref="H28" si="14">G28-D28</f>
        <v>0</v>
      </c>
      <c r="I28" s="23">
        <f>IF(ISERROR(H28/D28),0,(H28/D28))</f>
        <v>0</v>
      </c>
      <c r="J28" s="23">
        <f t="shared" ref="J28" si="15">G28/$G$46</f>
        <v>2.7293296436076257E-2</v>
      </c>
      <c r="K28" s="108">
        <f t="shared" ref="K28" si="16">G28/$G$51</f>
        <v>2.6242854032940931E-2</v>
      </c>
    </row>
    <row r="29" spans="1:11" s="1" customFormat="1" x14ac:dyDescent="0.2">
      <c r="A29" s="110" t="s">
        <v>78</v>
      </c>
      <c r="B29" s="74"/>
      <c r="C29" s="35"/>
      <c r="D29" s="35">
        <f>SUM(D25,D26:D27)</f>
        <v>31.529849999999996</v>
      </c>
      <c r="E29" s="73"/>
      <c r="F29" s="35"/>
      <c r="G29" s="35">
        <f>SUM(G25,G26:G27)</f>
        <v>33.449850000000005</v>
      </c>
      <c r="H29" s="35">
        <f t="shared" si="11"/>
        <v>1.9200000000000088</v>
      </c>
      <c r="I29" s="36">
        <f>IF(ISERROR(H29/D29),0,(H29/D29))</f>
        <v>6.0894675997507412E-2</v>
      </c>
      <c r="J29" s="36">
        <f t="shared" si="12"/>
        <v>0.41082897196860813</v>
      </c>
      <c r="K29" s="111">
        <f t="shared" si="13"/>
        <v>0.39501731749868868</v>
      </c>
    </row>
    <row r="30" spans="1:11" s="1" customFormat="1" x14ac:dyDescent="0.2">
      <c r="A30" s="110" t="s">
        <v>77</v>
      </c>
      <c r="B30" s="74"/>
      <c r="C30" s="35"/>
      <c r="D30" s="35">
        <f>SUM(D25,D26,D28)</f>
        <v>31.697230499999996</v>
      </c>
      <c r="E30" s="73"/>
      <c r="F30" s="35"/>
      <c r="G30" s="35">
        <f>SUM(G25,G26,G28)</f>
        <v>33.617230500000005</v>
      </c>
      <c r="H30" s="35">
        <f t="shared" ref="H30" si="17">G30-D30</f>
        <v>1.9200000000000088</v>
      </c>
      <c r="I30" s="36">
        <f>IF(ISERROR(H30/D30),0,(H30/D30))</f>
        <v>6.0573115370442507E-2</v>
      </c>
      <c r="J30" s="36">
        <f t="shared" ref="J30" si="18">G30/$G$46</f>
        <v>0.41288472883276722</v>
      </c>
      <c r="K30" s="111">
        <f t="shared" ref="K30" si="19">G30/$G$51</f>
        <v>0.39699395404897486</v>
      </c>
    </row>
    <row r="31" spans="1:11" x14ac:dyDescent="0.2">
      <c r="A31" s="107" t="s">
        <v>40</v>
      </c>
      <c r="B31" s="73">
        <f>B8</f>
        <v>369.95</v>
      </c>
      <c r="C31" s="78">
        <f>VLOOKUP($B$3,'Data for Bill Impacts'!$A$3:$Y$15,15,0)</f>
        <v>6.7000000000000002E-3</v>
      </c>
      <c r="D31" s="22">
        <f>B31*C31</f>
        <v>2.4786649999999999</v>
      </c>
      <c r="E31" s="73">
        <f t="shared" si="0"/>
        <v>369.95</v>
      </c>
      <c r="F31" s="126">
        <f>VLOOKUP($B$3,'Data for Bill Impacts'!$A$3:$Y$15,24,0)</f>
        <v>7.8279999999999999E-3</v>
      </c>
      <c r="G31" s="22">
        <f>E31*F31</f>
        <v>2.8959685999999998</v>
      </c>
      <c r="H31" s="22">
        <f t="shared" si="1"/>
        <v>0.41730359999999989</v>
      </c>
      <c r="I31" s="23">
        <f t="shared" si="2"/>
        <v>0.16835820895522385</v>
      </c>
      <c r="J31" s="23">
        <f t="shared" ref="J31:J46" si="20">G31/$G$46</f>
        <v>3.5568105770021959E-2</v>
      </c>
      <c r="K31" s="108">
        <f t="shared" ref="K31:K41" si="21">G31/$G$51</f>
        <v>3.4199189172221485E-2</v>
      </c>
    </row>
    <row r="32" spans="1:11" x14ac:dyDescent="0.2">
      <c r="A32" s="107" t="s">
        <v>41</v>
      </c>
      <c r="B32" s="73">
        <f>B8</f>
        <v>369.95</v>
      </c>
      <c r="C32" s="78">
        <f>VLOOKUP($B$3,'Data for Bill Impacts'!$A$3:$Y$15,16,0)</f>
        <v>4.7000000000000002E-3</v>
      </c>
      <c r="D32" s="22">
        <f>B32*C32</f>
        <v>1.7387650000000001</v>
      </c>
      <c r="E32" s="73">
        <f t="shared" si="0"/>
        <v>369.95</v>
      </c>
      <c r="F32" s="126">
        <f>VLOOKUP($B$3,'Data for Bill Impacts'!$A$3:$Y$15,25,0)</f>
        <v>6.4380000000000001E-3</v>
      </c>
      <c r="G32" s="22">
        <f>E32*F32</f>
        <v>2.3817381000000002</v>
      </c>
      <c r="H32" s="22">
        <f t="shared" si="1"/>
        <v>0.64297310000000008</v>
      </c>
      <c r="I32" s="23">
        <f t="shared" si="2"/>
        <v>0.3697872340425532</v>
      </c>
      <c r="J32" s="23">
        <f t="shared" si="20"/>
        <v>2.925235883334203E-2</v>
      </c>
      <c r="K32" s="108">
        <f t="shared" si="21"/>
        <v>2.8126517615069232E-2</v>
      </c>
    </row>
    <row r="33" spans="1:11" s="1" customFormat="1" x14ac:dyDescent="0.2">
      <c r="A33" s="110" t="s">
        <v>76</v>
      </c>
      <c r="B33" s="74"/>
      <c r="C33" s="35"/>
      <c r="D33" s="35">
        <f>SUM(D31:D32)</f>
        <v>4.2174300000000002</v>
      </c>
      <c r="E33" s="73"/>
      <c r="F33" s="35"/>
      <c r="G33" s="35">
        <f>SUM(G31:G32)</f>
        <v>5.2777066999999995</v>
      </c>
      <c r="H33" s="35">
        <f t="shared" si="1"/>
        <v>1.0602766999999993</v>
      </c>
      <c r="I33" s="36">
        <f t="shared" si="2"/>
        <v>0.25140350877192963</v>
      </c>
      <c r="J33" s="36">
        <f t="shared" si="20"/>
        <v>6.4820464603363978E-2</v>
      </c>
      <c r="K33" s="111">
        <f t="shared" si="21"/>
        <v>6.2325706787290706E-2</v>
      </c>
    </row>
    <row r="34" spans="1:11" s="1" customFormat="1" x14ac:dyDescent="0.2">
      <c r="A34" s="110" t="s">
        <v>91</v>
      </c>
      <c r="B34" s="74"/>
      <c r="C34" s="35"/>
      <c r="D34" s="35">
        <f>D29+D33</f>
        <v>35.747279999999996</v>
      </c>
      <c r="E34" s="73"/>
      <c r="F34" s="35"/>
      <c r="G34" s="35">
        <f>G29+G33</f>
        <v>38.727556700000008</v>
      </c>
      <c r="H34" s="35">
        <f t="shared" si="1"/>
        <v>2.9802767000000117</v>
      </c>
      <c r="I34" s="36">
        <f t="shared" si="2"/>
        <v>8.337072638813392E-2</v>
      </c>
      <c r="J34" s="36">
        <f t="shared" si="20"/>
        <v>0.47564943657197212</v>
      </c>
      <c r="K34" s="111">
        <f t="shared" si="21"/>
        <v>0.45734302428597945</v>
      </c>
    </row>
    <row r="35" spans="1:11" s="1" customFormat="1" x14ac:dyDescent="0.2">
      <c r="A35" s="110" t="s">
        <v>92</v>
      </c>
      <c r="B35" s="74"/>
      <c r="C35" s="35"/>
      <c r="D35" s="35">
        <f>D30+D33</f>
        <v>35.914660499999997</v>
      </c>
      <c r="E35" s="73"/>
      <c r="F35" s="35"/>
      <c r="G35" s="35">
        <f>G30+G33</f>
        <v>38.894937200000001</v>
      </c>
      <c r="H35" s="35">
        <f t="shared" ref="H35" si="22">G35-D35</f>
        <v>2.9802767000000046</v>
      </c>
      <c r="I35" s="36">
        <f t="shared" ref="I35" si="23">IF(ISERROR(H35/D35),0,(H35/D35))</f>
        <v>8.2982176596100771E-2</v>
      </c>
      <c r="J35" s="36">
        <f t="shared" ref="J35" si="24">G35/$G$46</f>
        <v>0.47770519343613116</v>
      </c>
      <c r="K35" s="111">
        <f t="shared" ref="K35" si="25">G35/$G$51</f>
        <v>0.45931966083626552</v>
      </c>
    </row>
    <row r="36" spans="1:11" x14ac:dyDescent="0.2">
      <c r="A36" s="107" t="s">
        <v>42</v>
      </c>
      <c r="B36" s="73">
        <f>B8</f>
        <v>369.95</v>
      </c>
      <c r="C36" s="34">
        <v>3.5999999999999999E-3</v>
      </c>
      <c r="D36" s="22">
        <f>B36*C36</f>
        <v>1.33182</v>
      </c>
      <c r="E36" s="73">
        <f t="shared" si="0"/>
        <v>369.95</v>
      </c>
      <c r="F36" s="34">
        <v>3.5999999999999999E-3</v>
      </c>
      <c r="G36" s="22">
        <f>E36*F36</f>
        <v>1.33182</v>
      </c>
      <c r="H36" s="22">
        <f t="shared" si="1"/>
        <v>0</v>
      </c>
      <c r="I36" s="23">
        <f t="shared" si="2"/>
        <v>0</v>
      </c>
      <c r="J36" s="23">
        <f t="shared" si="20"/>
        <v>1.6357330195717817E-2</v>
      </c>
      <c r="K36" s="108">
        <f t="shared" si="21"/>
        <v>1.5727782450178508E-2</v>
      </c>
    </row>
    <row r="37" spans="1:11" x14ac:dyDescent="0.2">
      <c r="A37" s="107" t="s">
        <v>43</v>
      </c>
      <c r="B37" s="73">
        <f>B8</f>
        <v>369.95</v>
      </c>
      <c r="C37" s="34">
        <v>2.0999999999999999E-3</v>
      </c>
      <c r="D37" s="22">
        <f>B37*C37</f>
        <v>0.77689499999999989</v>
      </c>
      <c r="E37" s="73">
        <f t="shared" si="0"/>
        <v>369.95</v>
      </c>
      <c r="F37" s="34">
        <v>2.0999999999999999E-3</v>
      </c>
      <c r="G37" s="22">
        <f>E37*F37</f>
        <v>0.77689499999999989</v>
      </c>
      <c r="H37" s="22">
        <f>G37-D37</f>
        <v>0</v>
      </c>
      <c r="I37" s="23">
        <f t="shared" si="2"/>
        <v>0</v>
      </c>
      <c r="J37" s="23">
        <f t="shared" si="20"/>
        <v>9.5417759475020583E-3</v>
      </c>
      <c r="K37" s="108">
        <f t="shared" si="21"/>
        <v>9.1745397626041281E-3</v>
      </c>
    </row>
    <row r="38" spans="1:11" x14ac:dyDescent="0.2">
      <c r="A38" s="107" t="s">
        <v>96</v>
      </c>
      <c r="B38" s="73">
        <f>B8</f>
        <v>369.95</v>
      </c>
      <c r="C38" s="34">
        <v>1.1000000000000001E-3</v>
      </c>
      <c r="D38" s="22">
        <f>B38*C38</f>
        <v>0.406945</v>
      </c>
      <c r="E38" s="73">
        <f t="shared" si="0"/>
        <v>369.95</v>
      </c>
      <c r="F38" s="34">
        <v>1.1000000000000001E-3</v>
      </c>
      <c r="G38" s="22">
        <f>E38*F38</f>
        <v>0.406945</v>
      </c>
      <c r="H38" s="22">
        <f>G38-D38</f>
        <v>0</v>
      </c>
      <c r="I38" s="23">
        <f t="shared" ref="I38" si="26">IF(ISERROR(H38/D38),0,(H38/D38))</f>
        <v>0</v>
      </c>
      <c r="J38" s="23">
        <f t="shared" ref="J38" si="27">G38/$G$46</f>
        <v>4.9980731153582217E-3</v>
      </c>
      <c r="K38" s="108">
        <f t="shared" ref="K38" si="28">G38/$G$51</f>
        <v>4.8057113042212106E-3</v>
      </c>
    </row>
    <row r="39" spans="1:11" x14ac:dyDescent="0.2">
      <c r="A39" s="107" t="s">
        <v>44</v>
      </c>
      <c r="B39" s="73">
        <v>1</v>
      </c>
      <c r="C39" s="22">
        <v>0.25</v>
      </c>
      <c r="D39" s="22">
        <f>B39*C39</f>
        <v>0.25</v>
      </c>
      <c r="E39" s="73">
        <f t="shared" si="0"/>
        <v>1</v>
      </c>
      <c r="F39" s="22">
        <f>C39</f>
        <v>0.25</v>
      </c>
      <c r="G39" s="22">
        <f>E39*F39</f>
        <v>0.25</v>
      </c>
      <c r="H39" s="22">
        <f t="shared" si="1"/>
        <v>0</v>
      </c>
      <c r="I39" s="23">
        <f t="shared" si="2"/>
        <v>0</v>
      </c>
      <c r="J39" s="23">
        <f t="shared" si="20"/>
        <v>3.0704844115041477E-3</v>
      </c>
      <c r="K39" s="108">
        <f t="shared" si="21"/>
        <v>2.9523100813508029E-3</v>
      </c>
    </row>
    <row r="40" spans="1:11" s="1" customFormat="1" x14ac:dyDescent="0.2">
      <c r="A40" s="110" t="s">
        <v>45</v>
      </c>
      <c r="B40" s="74"/>
      <c r="C40" s="35"/>
      <c r="D40" s="35">
        <f>SUM(D36:D39)</f>
        <v>2.76566</v>
      </c>
      <c r="E40" s="73"/>
      <c r="F40" s="35"/>
      <c r="G40" s="35">
        <f>SUM(G36:G39)</f>
        <v>2.76566</v>
      </c>
      <c r="H40" s="35">
        <f t="shared" si="1"/>
        <v>0</v>
      </c>
      <c r="I40" s="36">
        <f t="shared" si="2"/>
        <v>0</v>
      </c>
      <c r="J40" s="36">
        <f t="shared" si="20"/>
        <v>3.3967663670082242E-2</v>
      </c>
      <c r="K40" s="111">
        <f t="shared" si="21"/>
        <v>3.2660343598354652E-2</v>
      </c>
    </row>
    <row r="41" spans="1:11" s="1" customFormat="1" ht="13.5" thickBot="1" x14ac:dyDescent="0.25">
      <c r="A41" s="112" t="s">
        <v>46</v>
      </c>
      <c r="B41" s="113">
        <f>B4</f>
        <v>350</v>
      </c>
      <c r="C41" s="114">
        <v>0</v>
      </c>
      <c r="D41" s="115">
        <f>B41*C41</f>
        <v>0</v>
      </c>
      <c r="E41" s="116">
        <f t="shared" si="0"/>
        <v>350</v>
      </c>
      <c r="F41" s="114">
        <f>C41</f>
        <v>0</v>
      </c>
      <c r="G41" s="115">
        <f>E41*F41</f>
        <v>0</v>
      </c>
      <c r="H41" s="115">
        <f t="shared" si="1"/>
        <v>0</v>
      </c>
      <c r="I41" s="117">
        <f t="shared" si="2"/>
        <v>0</v>
      </c>
      <c r="J41" s="117">
        <f t="shared" si="20"/>
        <v>0</v>
      </c>
      <c r="K41" s="118">
        <f t="shared" si="21"/>
        <v>0</v>
      </c>
    </row>
    <row r="42" spans="1:11" s="1" customFormat="1" x14ac:dyDescent="0.2">
      <c r="A42" s="37" t="s">
        <v>105</v>
      </c>
      <c r="B42" s="38"/>
      <c r="C42" s="39"/>
      <c r="D42" s="39">
        <f>SUM(D14,D25,D26,D27,D33,D40,D41)</f>
        <v>74.562939999999998</v>
      </c>
      <c r="E42" s="38"/>
      <c r="F42" s="39"/>
      <c r="G42" s="39">
        <f>SUM(G14,G25,G26,G27,G33,G40,G41)</f>
        <v>77.543216700000002</v>
      </c>
      <c r="H42" s="39">
        <f t="shared" si="1"/>
        <v>2.9802767000000046</v>
      </c>
      <c r="I42" s="40">
        <f>IF(ISERROR(H42/D42),0,(H42/D42))</f>
        <v>3.996994619579116E-2</v>
      </c>
      <c r="J42" s="40">
        <f t="shared" si="20"/>
        <v>0.95238095238095244</v>
      </c>
      <c r="K42" s="41"/>
    </row>
    <row r="43" spans="1:11" x14ac:dyDescent="0.2">
      <c r="A43" s="154" t="s">
        <v>106</v>
      </c>
      <c r="B43" s="43"/>
      <c r="C43" s="26">
        <v>0.13</v>
      </c>
      <c r="D43" s="26">
        <f>D42*C43</f>
        <v>9.6931822000000007</v>
      </c>
      <c r="E43" s="26"/>
      <c r="F43" s="26">
        <f>C43</f>
        <v>0.13</v>
      </c>
      <c r="G43" s="26">
        <f>G42*F43</f>
        <v>10.080618171000001</v>
      </c>
      <c r="H43" s="26">
        <f t="shared" si="1"/>
        <v>0.38743597100000038</v>
      </c>
      <c r="I43" s="44">
        <f t="shared" si="2"/>
        <v>3.9969946195791133E-2</v>
      </c>
      <c r="J43" s="44">
        <f t="shared" si="20"/>
        <v>0.12380952380952383</v>
      </c>
      <c r="K43" s="45"/>
    </row>
    <row r="44" spans="1:11" s="1" customFormat="1" x14ac:dyDescent="0.2">
      <c r="A44" s="46" t="s">
        <v>107</v>
      </c>
      <c r="B44" s="24"/>
      <c r="C44" s="25"/>
      <c r="D44" s="25">
        <f>SUM(D42:D43)</f>
        <v>84.256122199999993</v>
      </c>
      <c r="E44" s="25"/>
      <c r="F44" s="25"/>
      <c r="G44" s="25">
        <f>SUM(G42:G43)</f>
        <v>87.623834871</v>
      </c>
      <c r="H44" s="25">
        <f t="shared" si="1"/>
        <v>3.3677126710000067</v>
      </c>
      <c r="I44" s="27">
        <f t="shared" si="2"/>
        <v>3.9969946195791181E-2</v>
      </c>
      <c r="J44" s="27">
        <f t="shared" si="20"/>
        <v>1.0761904761904761</v>
      </c>
      <c r="K44" s="47"/>
    </row>
    <row r="45" spans="1:11" x14ac:dyDescent="0.2">
      <c r="A45" s="42" t="s">
        <v>108</v>
      </c>
      <c r="B45" s="43"/>
      <c r="C45" s="26">
        <v>-0.08</v>
      </c>
      <c r="D45" s="26">
        <f>D42*C45</f>
        <v>-5.9650352</v>
      </c>
      <c r="E45" s="26"/>
      <c r="F45" s="26">
        <f>C45</f>
        <v>-0.08</v>
      </c>
      <c r="G45" s="26">
        <f>G42*F45</f>
        <v>-6.2034573360000005</v>
      </c>
      <c r="H45" s="26">
        <f t="shared" si="1"/>
        <v>-0.23842213600000051</v>
      </c>
      <c r="I45" s="44">
        <f t="shared" si="2"/>
        <v>3.9969946195791181E-2</v>
      </c>
      <c r="J45" s="44">
        <f t="shared" si="20"/>
        <v>-7.6190476190476197E-2</v>
      </c>
      <c r="K45" s="45"/>
    </row>
    <row r="46" spans="1:11" s="1" customFormat="1" ht="13.5" thickBot="1" x14ac:dyDescent="0.25">
      <c r="A46" s="48" t="s">
        <v>109</v>
      </c>
      <c r="B46" s="49"/>
      <c r="C46" s="50"/>
      <c r="D46" s="50">
        <f>SUM(D44:D45)</f>
        <v>78.29108699999999</v>
      </c>
      <c r="E46" s="50"/>
      <c r="F46" s="50"/>
      <c r="G46" s="50">
        <f>SUM(G44:G45)</f>
        <v>81.420377535</v>
      </c>
      <c r="H46" s="50">
        <f t="shared" si="1"/>
        <v>3.1292905350000098</v>
      </c>
      <c r="I46" s="51">
        <f t="shared" si="2"/>
        <v>3.996994619579123E-2</v>
      </c>
      <c r="J46" s="51">
        <f t="shared" si="20"/>
        <v>1</v>
      </c>
      <c r="K46" s="52"/>
    </row>
    <row r="47" spans="1:11" x14ac:dyDescent="0.2">
      <c r="A47" s="53" t="s">
        <v>110</v>
      </c>
      <c r="B47" s="54"/>
      <c r="C47" s="55"/>
      <c r="D47" s="55">
        <f>SUM(D18,D25,D26,D28,D33,D40,D41)</f>
        <v>77.6668205</v>
      </c>
      <c r="E47" s="55"/>
      <c r="F47" s="55"/>
      <c r="G47" s="55">
        <f>SUM(G18,G25,G26,G28,G33,G40,G41)</f>
        <v>80.64709719999999</v>
      </c>
      <c r="H47" s="55">
        <f>G47-D47</f>
        <v>2.9802766999999903</v>
      </c>
      <c r="I47" s="56">
        <f>IF(ISERROR(H47/D47),0,(H47/D47))</f>
        <v>3.837258536932113E-2</v>
      </c>
      <c r="J47" s="56"/>
      <c r="K47" s="57">
        <f>G47/$G$51</f>
        <v>0.95238095238095244</v>
      </c>
    </row>
    <row r="48" spans="1:11" x14ac:dyDescent="0.2">
      <c r="A48" s="155" t="s">
        <v>106</v>
      </c>
      <c r="B48" s="59"/>
      <c r="C48" s="31">
        <v>0.13</v>
      </c>
      <c r="D48" s="31">
        <f>D47*C48</f>
        <v>10.096686665</v>
      </c>
      <c r="E48" s="31"/>
      <c r="F48" s="31">
        <f>C48</f>
        <v>0.13</v>
      </c>
      <c r="G48" s="31">
        <f>G47*F48</f>
        <v>10.484122635999999</v>
      </c>
      <c r="H48" s="31">
        <f>G48-D48</f>
        <v>0.3874359709999986</v>
      </c>
      <c r="I48" s="32">
        <f>IF(ISERROR(H48/D48),0,(H48/D48))</f>
        <v>3.8372585369321116E-2</v>
      </c>
      <c r="J48" s="32"/>
      <c r="K48" s="60">
        <f>G48/$G$51</f>
        <v>0.12380952380952381</v>
      </c>
    </row>
    <row r="49" spans="1:11" x14ac:dyDescent="0.2">
      <c r="A49" s="61" t="s">
        <v>111</v>
      </c>
      <c r="B49" s="29"/>
      <c r="C49" s="30"/>
      <c r="D49" s="30">
        <f>SUM(D47:D48)</f>
        <v>87.763507164999993</v>
      </c>
      <c r="E49" s="30"/>
      <c r="F49" s="30"/>
      <c r="G49" s="30">
        <f>SUM(G47:G48)</f>
        <v>91.131219835999985</v>
      </c>
      <c r="H49" s="30">
        <f>G49-D49</f>
        <v>3.3677126709999925</v>
      </c>
      <c r="I49" s="33">
        <f>IF(ISERROR(H49/D49),0,(H49/D49))</f>
        <v>3.8372585369321172E-2</v>
      </c>
      <c r="J49" s="33"/>
      <c r="K49" s="62">
        <f>G49/$G$51</f>
        <v>1.0761904761904761</v>
      </c>
    </row>
    <row r="50" spans="1:11" x14ac:dyDescent="0.2">
      <c r="A50" s="58" t="s">
        <v>108</v>
      </c>
      <c r="B50" s="59"/>
      <c r="C50" s="31">
        <v>-0.08</v>
      </c>
      <c r="D50" s="31">
        <f>D47*C50</f>
        <v>-6.21334564</v>
      </c>
      <c r="E50" s="31"/>
      <c r="F50" s="31">
        <f>C50</f>
        <v>-0.08</v>
      </c>
      <c r="G50" s="31">
        <f>G47*F50</f>
        <v>-6.4517677759999996</v>
      </c>
      <c r="H50" s="31">
        <f>G50-D50</f>
        <v>-0.23842213599999962</v>
      </c>
      <c r="I50" s="32">
        <f>IF(ISERROR(H50/D50),0,(H50/D50))</f>
        <v>3.8372585369321192E-2</v>
      </c>
      <c r="J50" s="32"/>
      <c r="K50" s="60">
        <f>G50/$G$51</f>
        <v>-7.6190476190476197E-2</v>
      </c>
    </row>
    <row r="51" spans="1:11" ht="13.5" thickBot="1" x14ac:dyDescent="0.25">
      <c r="A51" s="63" t="s">
        <v>121</v>
      </c>
      <c r="B51" s="64"/>
      <c r="C51" s="65"/>
      <c r="D51" s="65">
        <f>SUM(D49:D50)</f>
        <v>81.550161524999993</v>
      </c>
      <c r="E51" s="65"/>
      <c r="F51" s="65"/>
      <c r="G51" s="65">
        <f>SUM(G49:G50)</f>
        <v>84.679452059999988</v>
      </c>
      <c r="H51" s="65">
        <f>G51-D51</f>
        <v>3.1292905349999955</v>
      </c>
      <c r="I51" s="66">
        <f>IF(ISERROR(H51/D51),0,(H51/D51))</f>
        <v>3.8372585369321199E-2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tint="0.499984740745262"/>
    <pageSetUpPr fitToPage="1"/>
  </sheetPr>
  <dimension ref="A1:J40"/>
  <sheetViews>
    <sheetView tabSelected="1" view="pageBreakPreview" topLeftCell="A13" zoomScaleNormal="100" zoomScaleSheetLayoutView="100" workbookViewId="0">
      <selection activeCell="N25" sqref="N25"/>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98</v>
      </c>
      <c r="B1" s="192"/>
      <c r="C1" s="192"/>
      <c r="D1" s="192"/>
      <c r="E1" s="192"/>
      <c r="F1" s="192"/>
      <c r="G1" s="192"/>
      <c r="H1" s="192"/>
      <c r="I1" s="192"/>
      <c r="J1" s="193"/>
    </row>
    <row r="3" spans="1:10" x14ac:dyDescent="0.2">
      <c r="A3" s="13" t="s">
        <v>13</v>
      </c>
      <c r="B3" s="13" t="s">
        <v>5</v>
      </c>
    </row>
    <row r="4" spans="1:10" x14ac:dyDescent="0.2">
      <c r="A4" s="15" t="s">
        <v>62</v>
      </c>
      <c r="B4" s="79">
        <v>15000</v>
      </c>
    </row>
    <row r="5" spans="1:10" x14ac:dyDescent="0.2">
      <c r="A5" s="15" t="s">
        <v>16</v>
      </c>
      <c r="B5" s="79">
        <v>60</v>
      </c>
    </row>
    <row r="6" spans="1:10" x14ac:dyDescent="0.2">
      <c r="A6" s="15" t="s">
        <v>20</v>
      </c>
      <c r="B6" s="80">
        <f>VLOOKUP($B$3,'Data for Bill Impacts'!$A$3:$Y$15,2,0)</f>
        <v>1.0609999999999999</v>
      </c>
    </row>
    <row r="7" spans="1:10" x14ac:dyDescent="0.2">
      <c r="A7" s="81" t="s">
        <v>48</v>
      </c>
      <c r="B7" s="82">
        <f>B4/(B5*730)</f>
        <v>0.34246575342465752</v>
      </c>
    </row>
    <row r="8" spans="1:10" x14ac:dyDescent="0.2">
      <c r="A8" s="15" t="s">
        <v>15</v>
      </c>
      <c r="B8" s="79">
        <f>VLOOKUP($B$3,'Data for Bill Impacts'!$A$3:$Y$15,4,0)</f>
        <v>0</v>
      </c>
    </row>
    <row r="9" spans="1:10" x14ac:dyDescent="0.2">
      <c r="A9" s="15" t="s">
        <v>82</v>
      </c>
      <c r="B9" s="79">
        <f>B4*B6</f>
        <v>15915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15915</v>
      </c>
      <c r="C13" s="103">
        <v>0.10299999999999999</v>
      </c>
      <c r="D13" s="104">
        <f>B13*C13</f>
        <v>1639.2449999999999</v>
      </c>
      <c r="E13" s="102">
        <f>B13</f>
        <v>15915</v>
      </c>
      <c r="F13" s="103">
        <f>C13</f>
        <v>0.10299999999999999</v>
      </c>
      <c r="G13" s="104">
        <f>E13*F13</f>
        <v>1639.2449999999999</v>
      </c>
      <c r="H13" s="104">
        <f>G13-D13</f>
        <v>0</v>
      </c>
      <c r="I13" s="105">
        <f>IF(ISERROR(H13/D13),0,(H13/D13))</f>
        <v>0</v>
      </c>
      <c r="J13" s="124">
        <f t="shared" ref="J13:J21" si="0">G13/$G$38</f>
        <v>0.45740084252231966</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1639.2449999999999</v>
      </c>
      <c r="E15" s="76"/>
      <c r="F15" s="25"/>
      <c r="G15" s="25">
        <f>SUM(G13:G14)</f>
        <v>1639.2449999999999</v>
      </c>
      <c r="H15" s="25">
        <f t="shared" si="2"/>
        <v>0</v>
      </c>
      <c r="I15" s="27">
        <f t="shared" si="3"/>
        <v>0</v>
      </c>
      <c r="J15" s="47">
        <f t="shared" si="0"/>
        <v>0.45740084252231966</v>
      </c>
    </row>
    <row r="16" spans="1:10" s="1" customFormat="1" x14ac:dyDescent="0.2">
      <c r="A16" s="107" t="s">
        <v>38</v>
      </c>
      <c r="B16" s="73">
        <v>1</v>
      </c>
      <c r="C16" s="78">
        <f>VLOOKUP($B$3,'Data for Bill Impacts'!$A$3:$Y$15,7,0)</f>
        <v>89.48</v>
      </c>
      <c r="D16" s="22">
        <f>B16*C16</f>
        <v>89.48</v>
      </c>
      <c r="E16" s="73">
        <f t="shared" ref="E16:E33" si="4">B16</f>
        <v>1</v>
      </c>
      <c r="F16" s="78">
        <f>VLOOKUP($B$3,'Data for Bill Impacts'!$A$3:$Y$15,17,0)</f>
        <v>102.93</v>
      </c>
      <c r="G16" s="22">
        <f>E16*F16</f>
        <v>102.93</v>
      </c>
      <c r="H16" s="22">
        <f t="shared" si="2"/>
        <v>13.450000000000003</v>
      </c>
      <c r="I16" s="23">
        <f t="shared" si="3"/>
        <v>0.15031291908806441</v>
      </c>
      <c r="J16" s="125">
        <f t="shared" si="0"/>
        <v>2.872070295826577E-2</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ref="H18" si="7">G18-D18</f>
        <v>0</v>
      </c>
      <c r="I18" s="23">
        <f t="shared" ref="I18" si="8">IF(ISERROR(H18/D18),0,(H18/D18))</f>
        <v>0</v>
      </c>
      <c r="J18" s="125">
        <f t="shared" si="0"/>
        <v>0</v>
      </c>
    </row>
    <row r="19" spans="1:10" x14ac:dyDescent="0.2">
      <c r="A19" s="107" t="s">
        <v>85</v>
      </c>
      <c r="B19" s="73">
        <v>1</v>
      </c>
      <c r="C19" s="78">
        <f>VLOOKUP($B$3,'Data for Bill Impacts'!$A$3:$Y$15,13,0)</f>
        <v>1.37</v>
      </c>
      <c r="D19" s="22">
        <f t="shared" si="6"/>
        <v>1.37</v>
      </c>
      <c r="E19" s="73">
        <f t="shared" si="4"/>
        <v>1</v>
      </c>
      <c r="F19" s="78">
        <f>VLOOKUP($B$3,'Data for Bill Impacts'!$A$3:$Y$15,22,0)</f>
        <v>-0.02</v>
      </c>
      <c r="G19" s="22">
        <f t="shared" si="5"/>
        <v>-0.02</v>
      </c>
      <c r="H19" s="22">
        <f t="shared" ref="H19" si="9">G19-D19</f>
        <v>-1.3900000000000001</v>
      </c>
      <c r="I19" s="23">
        <f t="shared" ref="I19" si="10">IF(ISERROR(H19/D19),0,(H19/D19))</f>
        <v>-1.0145985401459854</v>
      </c>
      <c r="J19" s="125">
        <f t="shared" si="0"/>
        <v>-5.5806281858089517E-6</v>
      </c>
    </row>
    <row r="20" spans="1:10" x14ac:dyDescent="0.2">
      <c r="A20" s="107" t="s">
        <v>39</v>
      </c>
      <c r="B20" s="73">
        <f>IF($B$10="kWh",$B$4,$B$5)</f>
        <v>60</v>
      </c>
      <c r="C20" s="78">
        <f>VLOOKUP($B$3,'Data for Bill Impacts'!$A$3:$Y$15,10,0)</f>
        <v>15.912100000000001</v>
      </c>
      <c r="D20" s="22">
        <f>B20*C20</f>
        <v>954.726</v>
      </c>
      <c r="E20" s="73">
        <f t="shared" si="4"/>
        <v>60</v>
      </c>
      <c r="F20" s="126">
        <f>VLOOKUP($B$3,'Data for Bill Impacts'!$A$3:$Y$15,19,0)</f>
        <v>16.7653</v>
      </c>
      <c r="G20" s="22">
        <f>E20*F20</f>
        <v>1005.918</v>
      </c>
      <c r="H20" s="22">
        <f t="shared" si="2"/>
        <v>51.192000000000007</v>
      </c>
      <c r="I20" s="23">
        <f t="shared" si="3"/>
        <v>5.3619572526567842E-2</v>
      </c>
      <c r="J20" s="125">
        <f t="shared" si="0"/>
        <v>0.28068271717062843</v>
      </c>
    </row>
    <row r="21" spans="1:10" s="1" customFormat="1" x14ac:dyDescent="0.2">
      <c r="A21" s="107" t="s">
        <v>124</v>
      </c>
      <c r="B21" s="73">
        <f>IF($B$10="kWh",$B$4,$B$5)</f>
        <v>60</v>
      </c>
      <c r="C21" s="78">
        <f>VLOOKUP($B$3,'Data for Bill Impacts'!$A$3:$Y$15,14,0)</f>
        <v>4.2799999999999998E-2</v>
      </c>
      <c r="D21" s="22">
        <f>B21*C21</f>
        <v>2.5680000000000001</v>
      </c>
      <c r="E21" s="73">
        <f t="shared" si="4"/>
        <v>60</v>
      </c>
      <c r="F21" s="126">
        <f>VLOOKUP($B$3,'Data for Bill Impacts'!$A$3:$Y$15,23,0)</f>
        <v>4.7E-2</v>
      </c>
      <c r="G21" s="22">
        <f>E21*F21</f>
        <v>2.82</v>
      </c>
      <c r="H21" s="22">
        <f t="shared" si="2"/>
        <v>0.25199999999999978</v>
      </c>
      <c r="I21" s="23">
        <f>IF(ISERROR(H21/D21),0,(H21/D21))</f>
        <v>9.8130841121495241E-2</v>
      </c>
      <c r="J21" s="125">
        <f t="shared" si="0"/>
        <v>7.8686857419906213E-4</v>
      </c>
    </row>
    <row r="22" spans="1:10" s="1" customFormat="1" x14ac:dyDescent="0.2">
      <c r="A22" s="107" t="s">
        <v>112</v>
      </c>
      <c r="B22" s="73">
        <f>B9</f>
        <v>15915</v>
      </c>
      <c r="C22" s="126">
        <f>VLOOKUP($B$3,'Data for Bill Impacts'!$A$3:$Y$15,20,0)</f>
        <v>-1E-3</v>
      </c>
      <c r="D22" s="22">
        <f>B22*C22</f>
        <v>-15.915000000000001</v>
      </c>
      <c r="E22" s="73">
        <f>B22</f>
        <v>15915</v>
      </c>
      <c r="F22" s="126">
        <f>VLOOKUP($B$3,'Data for Bill Impacts'!$A$3:$Y$15,21,0)</f>
        <v>1.9E-3</v>
      </c>
      <c r="G22" s="22">
        <f>E22*F22</f>
        <v>30.238499999999998</v>
      </c>
      <c r="H22" s="22">
        <f t="shared" ref="H22" si="11">G22-D22</f>
        <v>46.153500000000001</v>
      </c>
      <c r="I22" s="23">
        <f>IF(ISERROR(H22/D22),0,(H22/D22))</f>
        <v>-2.9</v>
      </c>
      <c r="J22" s="125">
        <f t="shared" ref="J22" si="12">G22/$G$38</f>
        <v>8.437491269829199E-3</v>
      </c>
    </row>
    <row r="23" spans="1:10" x14ac:dyDescent="0.2">
      <c r="A23" s="110" t="s">
        <v>79</v>
      </c>
      <c r="B23" s="74"/>
      <c r="C23" s="35"/>
      <c r="D23" s="35">
        <f>SUM(D16:D22)</f>
        <v>1032.229</v>
      </c>
      <c r="E23" s="73"/>
      <c r="F23" s="35"/>
      <c r="G23" s="35">
        <f>SUM(G16:G22)</f>
        <v>1141.8864999999998</v>
      </c>
      <c r="H23" s="35">
        <f t="shared" si="2"/>
        <v>109.6574999999998</v>
      </c>
      <c r="I23" s="36">
        <f t="shared" si="3"/>
        <v>0.10623369426745402</v>
      </c>
      <c r="J23" s="111">
        <f t="shared" ref="J23:J29" si="13">G23/$G$38</f>
        <v>0.31862219934473662</v>
      </c>
    </row>
    <row r="24" spans="1:10" x14ac:dyDescent="0.2">
      <c r="A24" s="107" t="s">
        <v>40</v>
      </c>
      <c r="B24" s="73">
        <f>B5</f>
        <v>60</v>
      </c>
      <c r="C24" s="78">
        <f>VLOOKUP($B$3,'Data for Bill Impacts'!$A$3:$Y$15,15,0)</f>
        <v>1.7027000000000001</v>
      </c>
      <c r="D24" s="22">
        <f>B24*C24</f>
        <v>102.16200000000001</v>
      </c>
      <c r="E24" s="73">
        <f t="shared" si="4"/>
        <v>60</v>
      </c>
      <c r="F24" s="126">
        <f>VLOOKUP($B$3,'Data for Bill Impacts'!$A$3:$Y$15,24,0)</f>
        <v>1.6718177000000001</v>
      </c>
      <c r="G24" s="22">
        <f>E24*F24</f>
        <v>100.30906200000001</v>
      </c>
      <c r="H24" s="22">
        <f t="shared" si="2"/>
        <v>-1.8529379999999946</v>
      </c>
      <c r="I24" s="23">
        <f t="shared" si="3"/>
        <v>-1.8137252598813595E-2</v>
      </c>
      <c r="J24" s="125">
        <f t="shared" si="13"/>
        <v>2.7989378934462884E-2</v>
      </c>
    </row>
    <row r="25" spans="1:10" s="1" customFormat="1" x14ac:dyDescent="0.2">
      <c r="A25" s="107" t="s">
        <v>41</v>
      </c>
      <c r="B25" s="73">
        <f>B5</f>
        <v>60</v>
      </c>
      <c r="C25" s="78">
        <f>VLOOKUP($B$3,'Data for Bill Impacts'!$A$3:$Y$15,16,0)</f>
        <v>1.1397999999999999</v>
      </c>
      <c r="D25" s="22">
        <f>B25*C25</f>
        <v>68.387999999999991</v>
      </c>
      <c r="E25" s="73">
        <f t="shared" si="4"/>
        <v>60</v>
      </c>
      <c r="F25" s="126">
        <f>VLOOKUP($B$3,'Data for Bill Impacts'!$A$3:$Y$15,25,0)</f>
        <v>1.2769135</v>
      </c>
      <c r="G25" s="22">
        <f>E25*F25</f>
        <v>76.614810000000006</v>
      </c>
      <c r="H25" s="22">
        <f t="shared" si="2"/>
        <v>8.2268100000000146</v>
      </c>
      <c r="I25" s="23">
        <f t="shared" si="3"/>
        <v>0.12029610457975107</v>
      </c>
      <c r="J25" s="125">
        <f t="shared" si="13"/>
        <v>2.1377938406819876E-2</v>
      </c>
    </row>
    <row r="26" spans="1:10" x14ac:dyDescent="0.2">
      <c r="A26" s="110" t="s">
        <v>76</v>
      </c>
      <c r="B26" s="74"/>
      <c r="C26" s="35"/>
      <c r="D26" s="35">
        <f>SUM(D24:D25)</f>
        <v>170.55</v>
      </c>
      <c r="E26" s="73"/>
      <c r="F26" s="35"/>
      <c r="G26" s="35">
        <f>SUM(G24:G25)</f>
        <v>176.92387200000002</v>
      </c>
      <c r="H26" s="35">
        <f t="shared" si="2"/>
        <v>6.3738720000000058</v>
      </c>
      <c r="I26" s="36">
        <f t="shared" si="3"/>
        <v>3.7372453825857549E-2</v>
      </c>
      <c r="J26" s="111">
        <f t="shared" si="13"/>
        <v>4.936731734128276E-2</v>
      </c>
    </row>
    <row r="27" spans="1:10" s="1" customFormat="1" x14ac:dyDescent="0.2">
      <c r="A27" s="110" t="s">
        <v>80</v>
      </c>
      <c r="B27" s="74"/>
      <c r="C27" s="35"/>
      <c r="D27" s="35">
        <f>D23+D26</f>
        <v>1202.779</v>
      </c>
      <c r="E27" s="73"/>
      <c r="F27" s="35"/>
      <c r="G27" s="35">
        <f>G23+G26</f>
        <v>1318.8103719999999</v>
      </c>
      <c r="H27" s="35">
        <f t="shared" si="2"/>
        <v>116.03137199999992</v>
      </c>
      <c r="I27" s="36">
        <f t="shared" si="3"/>
        <v>9.6469402941022353E-2</v>
      </c>
      <c r="J27" s="111">
        <f t="shared" si="13"/>
        <v>0.36798951668601937</v>
      </c>
    </row>
    <row r="28" spans="1:10" x14ac:dyDescent="0.2">
      <c r="A28" s="107" t="s">
        <v>42</v>
      </c>
      <c r="B28" s="73">
        <f>B9</f>
        <v>15915</v>
      </c>
      <c r="C28" s="34">
        <v>3.5999999999999999E-3</v>
      </c>
      <c r="D28" s="22">
        <f>B28*C28</f>
        <v>57.293999999999997</v>
      </c>
      <c r="E28" s="73">
        <f t="shared" si="4"/>
        <v>15915</v>
      </c>
      <c r="F28" s="34">
        <v>3.5999999999999999E-3</v>
      </c>
      <c r="G28" s="22">
        <f>E28*F28</f>
        <v>57.293999999999997</v>
      </c>
      <c r="H28" s="22">
        <f t="shared" si="2"/>
        <v>0</v>
      </c>
      <c r="I28" s="23">
        <f t="shared" si="3"/>
        <v>0</v>
      </c>
      <c r="J28" s="125">
        <f t="shared" si="13"/>
        <v>1.5986825563886902E-2</v>
      </c>
    </row>
    <row r="29" spans="1:10" x14ac:dyDescent="0.2">
      <c r="A29" s="107" t="s">
        <v>43</v>
      </c>
      <c r="B29" s="73">
        <f>B9</f>
        <v>15915</v>
      </c>
      <c r="C29" s="34">
        <v>2.0999999999999999E-3</v>
      </c>
      <c r="D29" s="22">
        <f>B29*C29</f>
        <v>33.421499999999995</v>
      </c>
      <c r="E29" s="73">
        <f t="shared" si="4"/>
        <v>15915</v>
      </c>
      <c r="F29" s="34">
        <v>2.0999999999999999E-3</v>
      </c>
      <c r="G29" s="22">
        <f>E29*F29</f>
        <v>33.421499999999995</v>
      </c>
      <c r="H29" s="22">
        <f>G29-D29</f>
        <v>0</v>
      </c>
      <c r="I29" s="23">
        <f t="shared" si="3"/>
        <v>0</v>
      </c>
      <c r="J29" s="125">
        <f t="shared" si="13"/>
        <v>9.3256482456006914E-3</v>
      </c>
    </row>
    <row r="30" spans="1:10" x14ac:dyDescent="0.2">
      <c r="A30" s="107" t="s">
        <v>96</v>
      </c>
      <c r="B30" s="73">
        <f>B9</f>
        <v>15915</v>
      </c>
      <c r="C30" s="34">
        <v>1.1000000000000001E-3</v>
      </c>
      <c r="D30" s="22">
        <f>B30*C30</f>
        <v>17.506500000000003</v>
      </c>
      <c r="E30" s="73">
        <f t="shared" si="4"/>
        <v>15915</v>
      </c>
      <c r="F30" s="34">
        <v>1.1000000000000001E-3</v>
      </c>
      <c r="G30" s="22">
        <f>E30*F30</f>
        <v>17.506500000000003</v>
      </c>
      <c r="H30" s="22">
        <f>G30-D30</f>
        <v>0</v>
      </c>
      <c r="I30" s="23">
        <f t="shared" ref="I30" si="14">IF(ISERROR(H30/D30),0,(H30/D30))</f>
        <v>0</v>
      </c>
      <c r="J30" s="125">
        <f t="shared" ref="J30" si="15">G30/$G$38</f>
        <v>4.8848633667432206E-3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6">G31/$G$38</f>
        <v>6.9757852322611892E-5</v>
      </c>
    </row>
    <row r="32" spans="1:10" x14ac:dyDescent="0.2">
      <c r="A32" s="110" t="s">
        <v>45</v>
      </c>
      <c r="B32" s="74"/>
      <c r="C32" s="35"/>
      <c r="D32" s="35">
        <f>SUM(D28:D31)</f>
        <v>108.47199999999999</v>
      </c>
      <c r="E32" s="73"/>
      <c r="F32" s="35"/>
      <c r="G32" s="35">
        <f>SUM(G28:G31)</f>
        <v>108.47199999999999</v>
      </c>
      <c r="H32" s="35">
        <f t="shared" si="2"/>
        <v>0</v>
      </c>
      <c r="I32" s="36">
        <f t="shared" si="3"/>
        <v>0</v>
      </c>
      <c r="J32" s="111">
        <f t="shared" si="16"/>
        <v>3.0267095028553428E-2</v>
      </c>
    </row>
    <row r="33" spans="1:10" ht="13.5" thickBot="1" x14ac:dyDescent="0.25">
      <c r="A33" s="112" t="s">
        <v>46</v>
      </c>
      <c r="B33" s="113">
        <f>B4</f>
        <v>15000</v>
      </c>
      <c r="C33" s="114">
        <v>7.0000000000000001E-3</v>
      </c>
      <c r="D33" s="115">
        <f>B33*C33</f>
        <v>105</v>
      </c>
      <c r="E33" s="116">
        <f t="shared" si="4"/>
        <v>15000</v>
      </c>
      <c r="F33" s="114">
        <f>C33</f>
        <v>7.0000000000000001E-3</v>
      </c>
      <c r="G33" s="115">
        <f>E33*F33</f>
        <v>105</v>
      </c>
      <c r="H33" s="115">
        <f t="shared" si="2"/>
        <v>0</v>
      </c>
      <c r="I33" s="117">
        <f t="shared" si="3"/>
        <v>0</v>
      </c>
      <c r="J33" s="118">
        <f t="shared" si="16"/>
        <v>2.9298297975496993E-2</v>
      </c>
    </row>
    <row r="34" spans="1:10" x14ac:dyDescent="0.2">
      <c r="A34" s="37" t="s">
        <v>115</v>
      </c>
      <c r="B34" s="38"/>
      <c r="C34" s="39"/>
      <c r="D34" s="39">
        <f>SUM(D15,D23,D26,D32,D33)</f>
        <v>3055.4960000000005</v>
      </c>
      <c r="E34" s="38"/>
      <c r="F34" s="39"/>
      <c r="G34" s="39">
        <f>SUM(G15,G23,G26,G32,G33)</f>
        <v>3171.5273719999996</v>
      </c>
      <c r="H34" s="39">
        <f t="shared" si="2"/>
        <v>116.03137199999901</v>
      </c>
      <c r="I34" s="40">
        <f>IF(ISERROR(H34/D34),0,(H34/D34))</f>
        <v>3.7974643723964613E-2</v>
      </c>
      <c r="J34" s="41">
        <f t="shared" si="16"/>
        <v>0.88495575221238942</v>
      </c>
    </row>
    <row r="35" spans="1:10" x14ac:dyDescent="0.2">
      <c r="A35" s="46" t="s">
        <v>106</v>
      </c>
      <c r="B35" s="43"/>
      <c r="C35" s="26">
        <v>0.13</v>
      </c>
      <c r="D35" s="26">
        <f>D34*C35</f>
        <v>397.21448000000009</v>
      </c>
      <c r="E35" s="26"/>
      <c r="F35" s="26">
        <f>C35</f>
        <v>0.13</v>
      </c>
      <c r="G35" s="26">
        <f>G34*F35</f>
        <v>412.29855835999996</v>
      </c>
      <c r="H35" s="26">
        <f t="shared" si="2"/>
        <v>15.084078359999864</v>
      </c>
      <c r="I35" s="44">
        <f t="shared" ref="I35:I38" si="17">IF(ISERROR(H35/D35),0,(H35/D35))</f>
        <v>3.7974643723964599E-2</v>
      </c>
      <c r="J35" s="45">
        <f t="shared" si="16"/>
        <v>0.11504424778761063</v>
      </c>
    </row>
    <row r="36" spans="1:10" x14ac:dyDescent="0.2">
      <c r="A36" s="46" t="s">
        <v>107</v>
      </c>
      <c r="B36" s="24"/>
      <c r="C36" s="25"/>
      <c r="D36" s="25">
        <f>SUM(D34:D35)</f>
        <v>3452.7104800000006</v>
      </c>
      <c r="E36" s="25"/>
      <c r="F36" s="25"/>
      <c r="G36" s="25">
        <f>SUM(G34:G35)</f>
        <v>3583.8259303599993</v>
      </c>
      <c r="H36" s="25">
        <f t="shared" si="2"/>
        <v>131.1154503599987</v>
      </c>
      <c r="I36" s="27">
        <f t="shared" si="17"/>
        <v>3.7974643723964564E-2</v>
      </c>
      <c r="J36" s="47">
        <f t="shared" si="16"/>
        <v>1</v>
      </c>
    </row>
    <row r="37" spans="1:10" x14ac:dyDescent="0.2">
      <c r="A37" s="46" t="s">
        <v>108</v>
      </c>
      <c r="B37" s="43"/>
      <c r="C37" s="26">
        <v>0</v>
      </c>
      <c r="D37" s="26">
        <f>D34*C37</f>
        <v>0</v>
      </c>
      <c r="E37" s="26"/>
      <c r="F37" s="26">
        <f>C37</f>
        <v>0</v>
      </c>
      <c r="G37" s="26">
        <f>G34*F37</f>
        <v>0</v>
      </c>
      <c r="H37" s="26">
        <f t="shared" si="2"/>
        <v>0</v>
      </c>
      <c r="I37" s="44">
        <f t="shared" si="17"/>
        <v>0</v>
      </c>
      <c r="J37" s="45">
        <f t="shared" si="16"/>
        <v>0</v>
      </c>
    </row>
    <row r="38" spans="1:10" ht="13.5" thickBot="1" x14ac:dyDescent="0.25">
      <c r="A38" s="46" t="s">
        <v>109</v>
      </c>
      <c r="B38" s="49"/>
      <c r="C38" s="50"/>
      <c r="D38" s="50">
        <f>SUM(D36:D37)</f>
        <v>3452.7104800000006</v>
      </c>
      <c r="E38" s="50"/>
      <c r="F38" s="50"/>
      <c r="G38" s="50">
        <f>SUM(G36:G37)</f>
        <v>3583.8259303599993</v>
      </c>
      <c r="H38" s="50">
        <f t="shared" si="2"/>
        <v>131.1154503599987</v>
      </c>
      <c r="I38" s="51">
        <f t="shared" si="17"/>
        <v>3.7974643723964564E-2</v>
      </c>
      <c r="J38" s="52">
        <f t="shared" si="16"/>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1" tint="0.499984740745262"/>
    <pageSetUpPr fitToPage="1"/>
  </sheetPr>
  <dimension ref="A1:J40"/>
  <sheetViews>
    <sheetView tabSelected="1" view="pageBreakPreview" topLeftCell="A10" zoomScaleNormal="100" zoomScaleSheetLayoutView="100" workbookViewId="0">
      <selection activeCell="N25" sqref="N25"/>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120</v>
      </c>
      <c r="B1" s="192"/>
      <c r="C1" s="192"/>
      <c r="D1" s="192"/>
      <c r="E1" s="192"/>
      <c r="F1" s="192"/>
      <c r="G1" s="192"/>
      <c r="H1" s="192"/>
      <c r="I1" s="192"/>
      <c r="J1" s="193"/>
    </row>
    <row r="3" spans="1:10" x14ac:dyDescent="0.2">
      <c r="A3" s="13" t="s">
        <v>13</v>
      </c>
      <c r="B3" s="13" t="s">
        <v>5</v>
      </c>
    </row>
    <row r="4" spans="1:10" x14ac:dyDescent="0.2">
      <c r="A4" s="15" t="s">
        <v>62</v>
      </c>
      <c r="B4" s="79">
        <f>VLOOKUP(B3,'Data for Bill Impacts'!A19:D31,3,FALSE)</f>
        <v>36104</v>
      </c>
    </row>
    <row r="5" spans="1:10" x14ac:dyDescent="0.2">
      <c r="A5" s="15" t="s">
        <v>16</v>
      </c>
      <c r="B5" s="79">
        <f>VLOOKUP(B3,'Data for Bill Impacts'!A19:D31,4,FALSE)</f>
        <v>124</v>
      </c>
    </row>
    <row r="6" spans="1:10" x14ac:dyDescent="0.2">
      <c r="A6" s="15" t="s">
        <v>20</v>
      </c>
      <c r="B6" s="80">
        <f>VLOOKUP($B$3,'Data for Bill Impacts'!$A$3:$Y$15,2,0)</f>
        <v>1.0609999999999999</v>
      </c>
    </row>
    <row r="7" spans="1:10" x14ac:dyDescent="0.2">
      <c r="A7" s="81" t="s">
        <v>48</v>
      </c>
      <c r="B7" s="82">
        <f>B4/(B5*730)</f>
        <v>0.39885108263367214</v>
      </c>
    </row>
    <row r="8" spans="1:10" x14ac:dyDescent="0.2">
      <c r="A8" s="15" t="s">
        <v>15</v>
      </c>
      <c r="B8" s="79">
        <f>VLOOKUP($B$3,'Data for Bill Impacts'!$A$3:$Y$15,4,0)</f>
        <v>0</v>
      </c>
    </row>
    <row r="9" spans="1:10" x14ac:dyDescent="0.2">
      <c r="A9" s="15" t="s">
        <v>82</v>
      </c>
      <c r="B9" s="79">
        <f>B4*B6</f>
        <v>38306.343999999997</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38306.343999999997</v>
      </c>
      <c r="C13" s="103">
        <v>0.10299999999999999</v>
      </c>
      <c r="D13" s="104">
        <f>B13*C13</f>
        <v>3945.5534319999997</v>
      </c>
      <c r="E13" s="102">
        <f>B13</f>
        <v>38306.343999999997</v>
      </c>
      <c r="F13" s="103">
        <f>C13</f>
        <v>0.10299999999999999</v>
      </c>
      <c r="G13" s="104">
        <f>E13*F13</f>
        <v>3945.5534319999997</v>
      </c>
      <c r="H13" s="104">
        <f>G13-D13</f>
        <v>0</v>
      </c>
      <c r="I13" s="105">
        <f>IF(ISERROR(H13/D13),0,(H13/D13))</f>
        <v>0</v>
      </c>
      <c r="J13" s="124">
        <f t="shared" ref="J13:J21" si="0">G13/$G$38</f>
        <v>0.49281630115022207</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3945.5534319999997</v>
      </c>
      <c r="E15" s="76"/>
      <c r="F15" s="25"/>
      <c r="G15" s="25">
        <f>SUM(G13:G14)</f>
        <v>3945.5534319999997</v>
      </c>
      <c r="H15" s="25">
        <f t="shared" si="2"/>
        <v>0</v>
      </c>
      <c r="I15" s="27">
        <f t="shared" si="3"/>
        <v>0</v>
      </c>
      <c r="J15" s="47">
        <f t="shared" si="0"/>
        <v>0.49281630115022207</v>
      </c>
    </row>
    <row r="16" spans="1:10" s="1" customFormat="1" x14ac:dyDescent="0.2">
      <c r="A16" s="107" t="s">
        <v>38</v>
      </c>
      <c r="B16" s="73">
        <v>1</v>
      </c>
      <c r="C16" s="78">
        <f>VLOOKUP($B$3,'Data for Bill Impacts'!$A$3:$Y$15,7,0)</f>
        <v>89.48</v>
      </c>
      <c r="D16" s="22">
        <f>B16*C16</f>
        <v>89.48</v>
      </c>
      <c r="E16" s="73">
        <f t="shared" ref="E16:E33" si="4">B16</f>
        <v>1</v>
      </c>
      <c r="F16" s="78">
        <f>VLOOKUP($B$3,'Data for Bill Impacts'!$A$3:$Y$15,17,0)</f>
        <v>102.93</v>
      </c>
      <c r="G16" s="22">
        <f>E16*F16</f>
        <v>102.93</v>
      </c>
      <c r="H16" s="22">
        <f t="shared" si="2"/>
        <v>13.450000000000003</v>
      </c>
      <c r="I16" s="23">
        <f t="shared" si="3"/>
        <v>0.15031291908806441</v>
      </c>
      <c r="J16" s="125">
        <f t="shared" si="0"/>
        <v>1.2856392075694075E-2</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x14ac:dyDescent="0.2">
      <c r="A19" s="107" t="s">
        <v>85</v>
      </c>
      <c r="B19" s="73">
        <v>1</v>
      </c>
      <c r="C19" s="78">
        <f>VLOOKUP($B$3,'Data for Bill Impacts'!$A$3:$Y$15,13,0)</f>
        <v>1.37</v>
      </c>
      <c r="D19" s="22">
        <f t="shared" si="6"/>
        <v>1.37</v>
      </c>
      <c r="E19" s="73">
        <f t="shared" si="4"/>
        <v>1</v>
      </c>
      <c r="F19" s="78">
        <f>VLOOKUP($B$3,'Data for Bill Impacts'!$A$3:$Y$15,22,0)</f>
        <v>-0.02</v>
      </c>
      <c r="G19" s="22">
        <f t="shared" si="5"/>
        <v>-0.02</v>
      </c>
      <c r="H19" s="22">
        <f t="shared" si="2"/>
        <v>-1.3900000000000001</v>
      </c>
      <c r="I19" s="23">
        <f t="shared" si="3"/>
        <v>-1.0145985401459854</v>
      </c>
      <c r="J19" s="125">
        <f t="shared" si="0"/>
        <v>-2.4980845381704216E-6</v>
      </c>
    </row>
    <row r="20" spans="1:10" x14ac:dyDescent="0.2">
      <c r="A20" s="107" t="s">
        <v>39</v>
      </c>
      <c r="B20" s="73">
        <f>IF($B$10="kWh",$B$4,$B$5)</f>
        <v>124</v>
      </c>
      <c r="C20" s="78">
        <f>VLOOKUP($B$3,'Data for Bill Impacts'!$A$3:$Y$15,10,0)</f>
        <v>15.912100000000001</v>
      </c>
      <c r="D20" s="22">
        <f>B20*C20</f>
        <v>1973.1004</v>
      </c>
      <c r="E20" s="73">
        <f t="shared" si="4"/>
        <v>124</v>
      </c>
      <c r="F20" s="126">
        <f>VLOOKUP($B$3,'Data for Bill Impacts'!$A$3:$Y$15,19,0)</f>
        <v>16.7653</v>
      </c>
      <c r="G20" s="22">
        <f>E20*F20</f>
        <v>2078.8971999999999</v>
      </c>
      <c r="H20" s="22">
        <f t="shared" si="2"/>
        <v>105.79679999999985</v>
      </c>
      <c r="I20" s="23">
        <f t="shared" si="3"/>
        <v>5.3619572526567752E-2</v>
      </c>
      <c r="J20" s="125">
        <f t="shared" si="0"/>
        <v>0.25966304758828912</v>
      </c>
    </row>
    <row r="21" spans="1:10" s="1" customFormat="1" x14ac:dyDescent="0.2">
      <c r="A21" s="107" t="s">
        <v>124</v>
      </c>
      <c r="B21" s="73">
        <f>IF($B$10="kWh",$B$4,$B$5)</f>
        <v>124</v>
      </c>
      <c r="C21" s="78">
        <f>VLOOKUP($B$3,'Data for Bill Impacts'!$A$3:$Y$15,14,0)</f>
        <v>4.2799999999999998E-2</v>
      </c>
      <c r="D21" s="22">
        <f>B21*C21</f>
        <v>5.3071999999999999</v>
      </c>
      <c r="E21" s="73">
        <f t="shared" si="4"/>
        <v>124</v>
      </c>
      <c r="F21" s="126">
        <f>VLOOKUP($B$3,'Data for Bill Impacts'!$A$3:$Y$15,23,0)</f>
        <v>4.7E-2</v>
      </c>
      <c r="G21" s="22">
        <f>E21*F21</f>
        <v>5.8280000000000003</v>
      </c>
      <c r="H21" s="22">
        <f t="shared" si="2"/>
        <v>0.52080000000000037</v>
      </c>
      <c r="I21" s="23">
        <f>IF(ISERROR(H21/D21),0,(H21/D21))</f>
        <v>9.8130841121495394E-2</v>
      </c>
      <c r="J21" s="125">
        <f t="shared" si="0"/>
        <v>7.2794183442286085E-4</v>
      </c>
    </row>
    <row r="22" spans="1:10" s="1" customFormat="1" x14ac:dyDescent="0.2">
      <c r="A22" s="107" t="s">
        <v>112</v>
      </c>
      <c r="B22" s="73">
        <f>B9</f>
        <v>38306.343999999997</v>
      </c>
      <c r="C22" s="126">
        <f>VLOOKUP($B$3,'Data for Bill Impacts'!$A$3:$Y$15,20,0)</f>
        <v>-1E-3</v>
      </c>
      <c r="D22" s="22">
        <f>B22*C22</f>
        <v>-38.306343999999996</v>
      </c>
      <c r="E22" s="73">
        <f>B22</f>
        <v>38306.343999999997</v>
      </c>
      <c r="F22" s="126">
        <f>VLOOKUP($B$3,'Data for Bill Impacts'!$A$3:$Y$15,21,0)</f>
        <v>1.9E-3</v>
      </c>
      <c r="G22" s="22">
        <f>E22*F22</f>
        <v>72.782053599999998</v>
      </c>
      <c r="H22" s="22">
        <f t="shared" ref="H22" si="7">G22-D22</f>
        <v>111.08839759999999</v>
      </c>
      <c r="I22" s="23">
        <f>IF(ISERROR(H22/D22),0,(H22/D22))</f>
        <v>-2.9000000000000004</v>
      </c>
      <c r="J22" s="125">
        <f t="shared" ref="J22" si="8">G22/$G$38</f>
        <v>9.0907861377225434E-3</v>
      </c>
    </row>
    <row r="23" spans="1:10" x14ac:dyDescent="0.2">
      <c r="A23" s="110" t="s">
        <v>93</v>
      </c>
      <c r="B23" s="74"/>
      <c r="C23" s="35"/>
      <c r="D23" s="35">
        <f>SUM(D16:D22)</f>
        <v>2030.9512560000003</v>
      </c>
      <c r="E23" s="73"/>
      <c r="F23" s="35"/>
      <c r="G23" s="35">
        <f>SUM(G16:G22)</f>
        <v>2260.4172535999996</v>
      </c>
      <c r="H23" s="35">
        <f t="shared" si="2"/>
        <v>229.46599759999935</v>
      </c>
      <c r="I23" s="36">
        <f t="shared" si="3"/>
        <v>0.1129844928193586</v>
      </c>
      <c r="J23" s="111">
        <f t="shared" ref="J23:J29" si="9">G23/$G$38</f>
        <v>0.2823356695515904</v>
      </c>
    </row>
    <row r="24" spans="1:10" x14ac:dyDescent="0.2">
      <c r="A24" s="107" t="s">
        <v>40</v>
      </c>
      <c r="B24" s="73">
        <f>B5</f>
        <v>124</v>
      </c>
      <c r="C24" s="78">
        <f>VLOOKUP($B$3,'Data for Bill Impacts'!$A$3:$Y$15,15,0)</f>
        <v>1.7027000000000001</v>
      </c>
      <c r="D24" s="22">
        <f>B24*C24</f>
        <v>211.13480000000001</v>
      </c>
      <c r="E24" s="73">
        <f t="shared" si="4"/>
        <v>124</v>
      </c>
      <c r="F24" s="126">
        <f>VLOOKUP($B$3,'Data for Bill Impacts'!$A$3:$Y$15,24,0)</f>
        <v>1.6718177000000001</v>
      </c>
      <c r="G24" s="22">
        <f>E24*F24</f>
        <v>207.30539480000002</v>
      </c>
      <c r="H24" s="22">
        <f t="shared" si="2"/>
        <v>-3.8294051999999965</v>
      </c>
      <c r="I24" s="23">
        <f t="shared" si="3"/>
        <v>-1.813725259881363E-2</v>
      </c>
      <c r="J24" s="125">
        <f t="shared" si="9"/>
        <v>2.5893320071459749E-2</v>
      </c>
    </row>
    <row r="25" spans="1:10" s="1" customFormat="1" x14ac:dyDescent="0.2">
      <c r="A25" s="107" t="s">
        <v>41</v>
      </c>
      <c r="B25" s="73">
        <f>B5</f>
        <v>124</v>
      </c>
      <c r="C25" s="78">
        <f>VLOOKUP($B$3,'Data for Bill Impacts'!$A$3:$Y$15,16,0)</f>
        <v>1.1397999999999999</v>
      </c>
      <c r="D25" s="22">
        <f>B25*C25</f>
        <v>141.33519999999999</v>
      </c>
      <c r="E25" s="73">
        <f t="shared" si="4"/>
        <v>124</v>
      </c>
      <c r="F25" s="126">
        <f>VLOOKUP($B$3,'Data for Bill Impacts'!$A$3:$Y$15,25,0)</f>
        <v>1.2769135</v>
      </c>
      <c r="G25" s="22">
        <f>E25*F25</f>
        <v>158.33727400000001</v>
      </c>
      <c r="H25" s="22">
        <f t="shared" si="2"/>
        <v>17.002074000000022</v>
      </c>
      <c r="I25" s="23">
        <f t="shared" si="3"/>
        <v>0.120296104579751</v>
      </c>
      <c r="J25" s="125">
        <f t="shared" si="9"/>
        <v>1.9776994799772678E-2</v>
      </c>
    </row>
    <row r="26" spans="1:10" x14ac:dyDescent="0.2">
      <c r="A26" s="110" t="s">
        <v>76</v>
      </c>
      <c r="B26" s="74"/>
      <c r="C26" s="35"/>
      <c r="D26" s="35">
        <f>SUM(D24:D25)</f>
        <v>352.47</v>
      </c>
      <c r="E26" s="73"/>
      <c r="F26" s="35"/>
      <c r="G26" s="35">
        <f>SUM(G24:G25)</f>
        <v>365.64266880000002</v>
      </c>
      <c r="H26" s="35">
        <f t="shared" si="2"/>
        <v>13.172668799999997</v>
      </c>
      <c r="I26" s="36">
        <f t="shared" si="3"/>
        <v>3.7372453825857507E-2</v>
      </c>
      <c r="J26" s="111">
        <f t="shared" si="9"/>
        <v>4.5670314871232423E-2</v>
      </c>
    </row>
    <row r="27" spans="1:10" s="1" customFormat="1" x14ac:dyDescent="0.2">
      <c r="A27" s="110" t="s">
        <v>80</v>
      </c>
      <c r="B27" s="74"/>
      <c r="C27" s="35"/>
      <c r="D27" s="35">
        <f>D23+D26</f>
        <v>2383.4212560000005</v>
      </c>
      <c r="E27" s="73"/>
      <c r="F27" s="35"/>
      <c r="G27" s="35">
        <f>G23+G26</f>
        <v>2626.0599223999998</v>
      </c>
      <c r="H27" s="35">
        <f t="shared" si="2"/>
        <v>242.63866639999924</v>
      </c>
      <c r="I27" s="36">
        <f t="shared" si="3"/>
        <v>0.10180267788968615</v>
      </c>
      <c r="J27" s="111">
        <f t="shared" si="9"/>
        <v>0.3280059844228228</v>
      </c>
    </row>
    <row r="28" spans="1:10" x14ac:dyDescent="0.2">
      <c r="A28" s="107" t="s">
        <v>42</v>
      </c>
      <c r="B28" s="73">
        <f>B9</f>
        <v>38306.343999999997</v>
      </c>
      <c r="C28" s="34">
        <v>3.5999999999999999E-3</v>
      </c>
      <c r="D28" s="22">
        <f>B28*C28</f>
        <v>137.90283839999998</v>
      </c>
      <c r="E28" s="73">
        <f t="shared" si="4"/>
        <v>38306.343999999997</v>
      </c>
      <c r="F28" s="34">
        <v>3.5999999999999999E-3</v>
      </c>
      <c r="G28" s="22">
        <f>E28*F28</f>
        <v>137.90283839999998</v>
      </c>
      <c r="H28" s="22">
        <f t="shared" si="2"/>
        <v>0</v>
      </c>
      <c r="I28" s="23">
        <f t="shared" si="3"/>
        <v>0</v>
      </c>
      <c r="J28" s="125">
        <f t="shared" si="9"/>
        <v>1.7224647418842713E-2</v>
      </c>
    </row>
    <row r="29" spans="1:10" x14ac:dyDescent="0.2">
      <c r="A29" s="107" t="s">
        <v>43</v>
      </c>
      <c r="B29" s="73">
        <f>B9</f>
        <v>38306.343999999997</v>
      </c>
      <c r="C29" s="34">
        <v>2.0999999999999999E-3</v>
      </c>
      <c r="D29" s="22">
        <f>B29*C29</f>
        <v>80.443322399999985</v>
      </c>
      <c r="E29" s="73">
        <f t="shared" si="4"/>
        <v>38306.343999999997</v>
      </c>
      <c r="F29" s="34">
        <v>2.0999999999999999E-3</v>
      </c>
      <c r="G29" s="22">
        <f>E29*F29</f>
        <v>80.443322399999985</v>
      </c>
      <c r="H29" s="22">
        <f>G29-D29</f>
        <v>0</v>
      </c>
      <c r="I29" s="23">
        <f t="shared" si="3"/>
        <v>0</v>
      </c>
      <c r="J29" s="125">
        <f t="shared" si="9"/>
        <v>1.0047710994324915E-2</v>
      </c>
    </row>
    <row r="30" spans="1:10" x14ac:dyDescent="0.2">
      <c r="A30" s="107" t="s">
        <v>96</v>
      </c>
      <c r="B30" s="73">
        <f>B9</f>
        <v>38306.343999999997</v>
      </c>
      <c r="C30" s="34">
        <v>1.1000000000000001E-3</v>
      </c>
      <c r="D30" s="22">
        <f>B30*C30</f>
        <v>42.136978399999997</v>
      </c>
      <c r="E30" s="73">
        <f t="shared" si="4"/>
        <v>38306.343999999997</v>
      </c>
      <c r="F30" s="34">
        <v>1.1000000000000001E-3</v>
      </c>
      <c r="G30" s="22">
        <f>E30*F30</f>
        <v>42.136978399999997</v>
      </c>
      <c r="H30" s="22">
        <f>G30-D30</f>
        <v>0</v>
      </c>
      <c r="I30" s="23">
        <f t="shared" ref="I30" si="10">IF(ISERROR(H30/D30),0,(H30/D30))</f>
        <v>0</v>
      </c>
      <c r="J30" s="125">
        <f t="shared" ref="J30" si="11">G30/$G$38</f>
        <v>5.2630867113130511E-3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2">G31/$G$38</f>
        <v>3.1226056727130272E-5</v>
      </c>
    </row>
    <row r="32" spans="1:10" x14ac:dyDescent="0.2">
      <c r="A32" s="110" t="s">
        <v>45</v>
      </c>
      <c r="B32" s="74"/>
      <c r="C32" s="35"/>
      <c r="D32" s="35">
        <f>SUM(D28:D31)</f>
        <v>260.73313919999993</v>
      </c>
      <c r="E32" s="73"/>
      <c r="F32" s="35"/>
      <c r="G32" s="35">
        <f>SUM(G28:G31)</f>
        <v>260.73313919999993</v>
      </c>
      <c r="H32" s="35">
        <f t="shared" si="2"/>
        <v>0</v>
      </c>
      <c r="I32" s="36">
        <f t="shared" si="3"/>
        <v>0</v>
      </c>
      <c r="J32" s="111">
        <f t="shared" si="12"/>
        <v>3.2566671181207804E-2</v>
      </c>
    </row>
    <row r="33" spans="1:10" ht="13.5" thickBot="1" x14ac:dyDescent="0.25">
      <c r="A33" s="112" t="s">
        <v>46</v>
      </c>
      <c r="B33" s="113">
        <f>B4</f>
        <v>36104</v>
      </c>
      <c r="C33" s="114">
        <v>7.0000000000000001E-3</v>
      </c>
      <c r="D33" s="115">
        <f>B33*C33</f>
        <v>252.72800000000001</v>
      </c>
      <c r="E33" s="116">
        <f t="shared" si="4"/>
        <v>36104</v>
      </c>
      <c r="F33" s="114">
        <f>C33</f>
        <v>7.0000000000000001E-3</v>
      </c>
      <c r="G33" s="115">
        <f>E33*F33</f>
        <v>252.72800000000001</v>
      </c>
      <c r="H33" s="115">
        <f t="shared" si="2"/>
        <v>0</v>
      </c>
      <c r="I33" s="117">
        <f t="shared" si="3"/>
        <v>0</v>
      </c>
      <c r="J33" s="118">
        <f t="shared" si="12"/>
        <v>3.1566795458136718E-2</v>
      </c>
    </row>
    <row r="34" spans="1:10" x14ac:dyDescent="0.2">
      <c r="A34" s="37" t="s">
        <v>115</v>
      </c>
      <c r="B34" s="38"/>
      <c r="C34" s="39"/>
      <c r="D34" s="39">
        <f>SUM(D15,D23,D26,D32,D33)</f>
        <v>6842.4358271999999</v>
      </c>
      <c r="E34" s="38"/>
      <c r="F34" s="39"/>
      <c r="G34" s="39">
        <f>SUM(G15,G23,G26,G32,G33)</f>
        <v>7085.0744935999992</v>
      </c>
      <c r="H34" s="39">
        <f t="shared" si="2"/>
        <v>242.63866639999924</v>
      </c>
      <c r="I34" s="40">
        <f>IF(ISERROR(H34/D34),0,(H34/D34))</f>
        <v>3.5460861092107554E-2</v>
      </c>
      <c r="J34" s="41">
        <f t="shared" si="12"/>
        <v>0.88495575221238942</v>
      </c>
    </row>
    <row r="35" spans="1:10" x14ac:dyDescent="0.2">
      <c r="A35" s="46" t="s">
        <v>106</v>
      </c>
      <c r="B35" s="43"/>
      <c r="C35" s="26">
        <v>0.13</v>
      </c>
      <c r="D35" s="26">
        <f>D34*C35</f>
        <v>889.51665753600003</v>
      </c>
      <c r="E35" s="26"/>
      <c r="F35" s="26">
        <f>C35</f>
        <v>0.13</v>
      </c>
      <c r="G35" s="26">
        <f>G34*F35</f>
        <v>921.05968416799988</v>
      </c>
      <c r="H35" s="26">
        <f t="shared" si="2"/>
        <v>31.543026631999851</v>
      </c>
      <c r="I35" s="44">
        <f t="shared" ref="I35:I38" si="13">IF(ISERROR(H35/D35),0,(H35/D35))</f>
        <v>3.5460861092107498E-2</v>
      </c>
      <c r="J35" s="45">
        <f t="shared" si="12"/>
        <v>0.11504424778761062</v>
      </c>
    </row>
    <row r="36" spans="1:10" x14ac:dyDescent="0.2">
      <c r="A36" s="46" t="s">
        <v>107</v>
      </c>
      <c r="B36" s="24"/>
      <c r="C36" s="25"/>
      <c r="D36" s="25">
        <f>SUM(D34:D35)</f>
        <v>7731.9524847359999</v>
      </c>
      <c r="E36" s="25"/>
      <c r="F36" s="25"/>
      <c r="G36" s="25">
        <f>SUM(G34:G35)</f>
        <v>8006.1341777679991</v>
      </c>
      <c r="H36" s="25">
        <f t="shared" si="2"/>
        <v>274.1816930319992</v>
      </c>
      <c r="I36" s="27">
        <f t="shared" si="13"/>
        <v>3.5460861092107561E-2</v>
      </c>
      <c r="J36" s="47">
        <f t="shared" si="12"/>
        <v>1</v>
      </c>
    </row>
    <row r="37" spans="1:10" x14ac:dyDescent="0.2">
      <c r="A37" s="46" t="s">
        <v>108</v>
      </c>
      <c r="B37" s="43"/>
      <c r="C37" s="26">
        <v>0</v>
      </c>
      <c r="D37" s="26">
        <f>D34*C37</f>
        <v>0</v>
      </c>
      <c r="E37" s="26"/>
      <c r="F37" s="26">
        <f>C37</f>
        <v>0</v>
      </c>
      <c r="G37" s="26">
        <f>G34*F37</f>
        <v>0</v>
      </c>
      <c r="H37" s="26">
        <f t="shared" si="2"/>
        <v>0</v>
      </c>
      <c r="I37" s="44">
        <f t="shared" si="13"/>
        <v>0</v>
      </c>
      <c r="J37" s="45">
        <f t="shared" si="12"/>
        <v>0</v>
      </c>
    </row>
    <row r="38" spans="1:10" ht="13.5" thickBot="1" x14ac:dyDescent="0.25">
      <c r="A38" s="46" t="s">
        <v>109</v>
      </c>
      <c r="B38" s="49"/>
      <c r="C38" s="50"/>
      <c r="D38" s="50">
        <f>SUM(D36:D37)</f>
        <v>7731.9524847359999</v>
      </c>
      <c r="E38" s="50"/>
      <c r="F38" s="50"/>
      <c r="G38" s="50">
        <f>SUM(G36:G37)</f>
        <v>8006.1341777679991</v>
      </c>
      <c r="H38" s="50">
        <f t="shared" si="2"/>
        <v>274.1816930319992</v>
      </c>
      <c r="I38" s="51">
        <f t="shared" si="13"/>
        <v>3.5460861092107561E-2</v>
      </c>
      <c r="J38" s="52">
        <f t="shared" si="12"/>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theme="1" tint="0.499984740745262"/>
    <pageSetUpPr fitToPage="1"/>
  </sheetPr>
  <dimension ref="A1:J40"/>
  <sheetViews>
    <sheetView tabSelected="1" view="pageBreakPreview" topLeftCell="A10" zoomScaleNormal="100" zoomScaleSheetLayoutView="100" workbookViewId="0">
      <selection activeCell="N25" sqref="N25"/>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9.5703125"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101</v>
      </c>
      <c r="B1" s="192"/>
      <c r="C1" s="192"/>
      <c r="D1" s="192"/>
      <c r="E1" s="192"/>
      <c r="F1" s="192"/>
      <c r="G1" s="192"/>
      <c r="H1" s="192"/>
      <c r="I1" s="192"/>
      <c r="J1" s="193"/>
    </row>
    <row r="3" spans="1:10" x14ac:dyDescent="0.2">
      <c r="A3" s="13" t="s">
        <v>13</v>
      </c>
      <c r="B3" s="13" t="s">
        <v>5</v>
      </c>
    </row>
    <row r="4" spans="1:10" x14ac:dyDescent="0.2">
      <c r="A4" s="15" t="s">
        <v>62</v>
      </c>
      <c r="B4" s="79">
        <v>175000</v>
      </c>
    </row>
    <row r="5" spans="1:10" x14ac:dyDescent="0.2">
      <c r="A5" s="15" t="s">
        <v>16</v>
      </c>
      <c r="B5" s="79">
        <v>500</v>
      </c>
    </row>
    <row r="6" spans="1:10" x14ac:dyDescent="0.2">
      <c r="A6" s="15" t="s">
        <v>20</v>
      </c>
      <c r="B6" s="80">
        <f>VLOOKUP($B$3,'Data for Bill Impacts'!$A$3:$Y$15,2,0)</f>
        <v>1.0609999999999999</v>
      </c>
    </row>
    <row r="7" spans="1:10" x14ac:dyDescent="0.2">
      <c r="A7" s="81" t="s">
        <v>48</v>
      </c>
      <c r="B7" s="82">
        <f>B4/(B5*730)</f>
        <v>0.47945205479452052</v>
      </c>
    </row>
    <row r="8" spans="1:10" x14ac:dyDescent="0.2">
      <c r="A8" s="15" t="s">
        <v>15</v>
      </c>
      <c r="B8" s="79">
        <f>VLOOKUP($B$3,'Data for Bill Impacts'!$A$3:$Y$15,4,0)</f>
        <v>0</v>
      </c>
    </row>
    <row r="9" spans="1:10" x14ac:dyDescent="0.2">
      <c r="A9" s="15" t="s">
        <v>82</v>
      </c>
      <c r="B9" s="79">
        <f>B4*B6</f>
        <v>185675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185675</v>
      </c>
      <c r="C13" s="103">
        <v>0.10299999999999999</v>
      </c>
      <c r="D13" s="104">
        <f>B13*C13</f>
        <v>19124.524999999998</v>
      </c>
      <c r="E13" s="102">
        <f>B13</f>
        <v>185675</v>
      </c>
      <c r="F13" s="103">
        <f>C13</f>
        <v>0.10299999999999999</v>
      </c>
      <c r="G13" s="104">
        <f>E13*F13</f>
        <v>19124.524999999998</v>
      </c>
      <c r="H13" s="104">
        <f>G13-D13</f>
        <v>0</v>
      </c>
      <c r="I13" s="105">
        <f>IF(ISERROR(H13/D13),0,(H13/D13))</f>
        <v>0</v>
      </c>
      <c r="J13" s="124">
        <f t="shared" ref="J13:J29" si="0">G13/$G$38</f>
        <v>0.52973753644977795</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19124.524999999998</v>
      </c>
      <c r="E15" s="76"/>
      <c r="F15" s="25"/>
      <c r="G15" s="25">
        <f>SUM(G13:G14)</f>
        <v>19124.524999999998</v>
      </c>
      <c r="H15" s="25">
        <f t="shared" si="2"/>
        <v>0</v>
      </c>
      <c r="I15" s="27">
        <f t="shared" si="3"/>
        <v>0</v>
      </c>
      <c r="J15" s="47">
        <f t="shared" si="0"/>
        <v>0.52973753644977795</v>
      </c>
    </row>
    <row r="16" spans="1:10" s="1" customFormat="1" x14ac:dyDescent="0.2">
      <c r="A16" s="107" t="s">
        <v>38</v>
      </c>
      <c r="B16" s="73">
        <v>1</v>
      </c>
      <c r="C16" s="78">
        <f>VLOOKUP($B$3,'Data for Bill Impacts'!$A$3:$Y$15,7,0)</f>
        <v>89.48</v>
      </c>
      <c r="D16" s="22">
        <f>B16*C16</f>
        <v>89.48</v>
      </c>
      <c r="E16" s="73">
        <f t="shared" ref="E16:E33" si="4">B16</f>
        <v>1</v>
      </c>
      <c r="F16" s="78">
        <f>VLOOKUP($B$3,'Data for Bill Impacts'!$A$3:$Y$15,17,0)</f>
        <v>102.93</v>
      </c>
      <c r="G16" s="22">
        <f>E16*F16</f>
        <v>102.93</v>
      </c>
      <c r="H16" s="22">
        <f t="shared" si="2"/>
        <v>13.450000000000003</v>
      </c>
      <c r="I16" s="23">
        <f t="shared" si="3"/>
        <v>0.15031291908806441</v>
      </c>
      <c r="J16" s="125">
        <f t="shared" si="0"/>
        <v>2.8510974587225386E-3</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x14ac:dyDescent="0.2">
      <c r="A19" s="107" t="s">
        <v>85</v>
      </c>
      <c r="B19" s="73">
        <v>1</v>
      </c>
      <c r="C19" s="78">
        <f>VLOOKUP($B$3,'Data for Bill Impacts'!$A$3:$Y$15,13,0)</f>
        <v>1.37</v>
      </c>
      <c r="D19" s="22">
        <f t="shared" si="6"/>
        <v>1.37</v>
      </c>
      <c r="E19" s="73">
        <f t="shared" si="4"/>
        <v>1</v>
      </c>
      <c r="F19" s="78">
        <f>VLOOKUP($B$3,'Data for Bill Impacts'!$A$3:$Y$15,22,0)</f>
        <v>-0.02</v>
      </c>
      <c r="G19" s="22">
        <f t="shared" si="5"/>
        <v>-0.02</v>
      </c>
      <c r="H19" s="22">
        <f t="shared" si="2"/>
        <v>-1.3900000000000001</v>
      </c>
      <c r="I19" s="23">
        <f t="shared" si="3"/>
        <v>-1.0145985401459854</v>
      </c>
      <c r="J19" s="125">
        <f t="shared" si="0"/>
        <v>-5.5398765349704434E-7</v>
      </c>
    </row>
    <row r="20" spans="1:10" x14ac:dyDescent="0.2">
      <c r="A20" s="107" t="s">
        <v>39</v>
      </c>
      <c r="B20" s="73">
        <f>IF($B$10="kWh",$B$4,$B$5)</f>
        <v>500</v>
      </c>
      <c r="C20" s="78">
        <f>VLOOKUP($B$3,'Data for Bill Impacts'!$A$3:$Y$15,10,0)</f>
        <v>15.912100000000001</v>
      </c>
      <c r="D20" s="22">
        <f>B20*C20</f>
        <v>7956.05</v>
      </c>
      <c r="E20" s="73">
        <f t="shared" si="4"/>
        <v>500</v>
      </c>
      <c r="F20" s="126">
        <f>VLOOKUP($B$3,'Data for Bill Impacts'!$A$3:$Y$15,19,0)</f>
        <v>16.7653</v>
      </c>
      <c r="G20" s="22">
        <f>E20*F20</f>
        <v>8382.65</v>
      </c>
      <c r="H20" s="22">
        <f t="shared" si="2"/>
        <v>426.59999999999945</v>
      </c>
      <c r="I20" s="23">
        <f t="shared" si="3"/>
        <v>5.3619572526567759E-2</v>
      </c>
      <c r="J20" s="125">
        <f t="shared" si="0"/>
        <v>0.2321942301793499</v>
      </c>
    </row>
    <row r="21" spans="1:10" s="1" customFormat="1" x14ac:dyDescent="0.2">
      <c r="A21" s="107" t="s">
        <v>124</v>
      </c>
      <c r="B21" s="73">
        <f>IF($B$10="kWh",$B$4,$B$5)</f>
        <v>500</v>
      </c>
      <c r="C21" s="78">
        <f>VLOOKUP($B$3,'Data for Bill Impacts'!$A$3:$Y$15,14,0)</f>
        <v>4.2799999999999998E-2</v>
      </c>
      <c r="D21" s="22">
        <f>B21*C21</f>
        <v>21.4</v>
      </c>
      <c r="E21" s="73">
        <f t="shared" si="4"/>
        <v>500</v>
      </c>
      <c r="F21" s="126">
        <f>VLOOKUP($B$3,'Data for Bill Impacts'!$A$3:$Y$15,23,0)</f>
        <v>4.7E-2</v>
      </c>
      <c r="G21" s="22">
        <f>E21*F21</f>
        <v>23.5</v>
      </c>
      <c r="H21" s="22">
        <f t="shared" si="2"/>
        <v>2.1000000000000014</v>
      </c>
      <c r="I21" s="23">
        <f>IF(ISERROR(H21/D21),0,(H21/D21))</f>
        <v>9.8130841121495394E-2</v>
      </c>
      <c r="J21" s="125">
        <f t="shared" si="0"/>
        <v>6.5093549285902697E-4</v>
      </c>
    </row>
    <row r="22" spans="1:10" s="1" customFormat="1" x14ac:dyDescent="0.2">
      <c r="A22" s="107" t="s">
        <v>112</v>
      </c>
      <c r="B22" s="73">
        <f>B9</f>
        <v>185675</v>
      </c>
      <c r="C22" s="126">
        <f>VLOOKUP($B$3,'Data for Bill Impacts'!$A$3:$Y$15,20,0)</f>
        <v>-1E-3</v>
      </c>
      <c r="D22" s="22">
        <f>B22*C22</f>
        <v>-185.67500000000001</v>
      </c>
      <c r="E22" s="73">
        <f>B22</f>
        <v>185675</v>
      </c>
      <c r="F22" s="126">
        <f>VLOOKUP($B$3,'Data for Bill Impacts'!$A$3:$Y$15,21,0)</f>
        <v>1.9E-3</v>
      </c>
      <c r="G22" s="22">
        <f>E22*F22</f>
        <v>352.78250000000003</v>
      </c>
      <c r="H22" s="22">
        <f t="shared" ref="H22" si="7">G22-D22</f>
        <v>538.45749999999998</v>
      </c>
      <c r="I22" s="23">
        <f>IF(ISERROR(H22/D22),0,(H22/D22))</f>
        <v>-2.9</v>
      </c>
      <c r="J22" s="125">
        <f t="shared" si="0"/>
        <v>9.7718574684910516E-3</v>
      </c>
    </row>
    <row r="23" spans="1:10" x14ac:dyDescent="0.2">
      <c r="A23" s="110" t="s">
        <v>79</v>
      </c>
      <c r="B23" s="74"/>
      <c r="C23" s="35"/>
      <c r="D23" s="35">
        <f>SUM(D16:D22)</f>
        <v>7882.625</v>
      </c>
      <c r="E23" s="73"/>
      <c r="F23" s="35"/>
      <c r="G23" s="35">
        <f>SUM(G16:G22)</f>
        <v>8861.8424999999988</v>
      </c>
      <c r="H23" s="35">
        <f t="shared" si="2"/>
        <v>979.21749999999884</v>
      </c>
      <c r="I23" s="36">
        <f t="shared" si="3"/>
        <v>0.12422479821125562</v>
      </c>
      <c r="J23" s="111">
        <f t="shared" si="0"/>
        <v>0.24546756661176899</v>
      </c>
    </row>
    <row r="24" spans="1:10" x14ac:dyDescent="0.2">
      <c r="A24" s="107" t="s">
        <v>40</v>
      </c>
      <c r="B24" s="73">
        <f>B5</f>
        <v>500</v>
      </c>
      <c r="C24" s="78">
        <f>VLOOKUP($B$3,'Data for Bill Impacts'!$A$3:$Y$15,15,0)</f>
        <v>1.7027000000000001</v>
      </c>
      <c r="D24" s="22">
        <f>B24*C24</f>
        <v>851.35</v>
      </c>
      <c r="E24" s="73">
        <f t="shared" si="4"/>
        <v>500</v>
      </c>
      <c r="F24" s="126">
        <f>VLOOKUP($B$3,'Data for Bill Impacts'!$A$3:$Y$15,24,0)</f>
        <v>1.6718177000000001</v>
      </c>
      <c r="G24" s="22">
        <f>E24*F24</f>
        <v>835.90885000000003</v>
      </c>
      <c r="H24" s="22">
        <f t="shared" si="2"/>
        <v>-15.441149999999993</v>
      </c>
      <c r="I24" s="23">
        <f t="shared" si="3"/>
        <v>-1.8137252598813641E-2</v>
      </c>
      <c r="J24" s="125">
        <f t="shared" si="0"/>
        <v>2.3154159117445641E-2</v>
      </c>
    </row>
    <row r="25" spans="1:10" s="1" customFormat="1" x14ac:dyDescent="0.2">
      <c r="A25" s="107" t="s">
        <v>41</v>
      </c>
      <c r="B25" s="73">
        <f>B5</f>
        <v>500</v>
      </c>
      <c r="C25" s="78">
        <f>VLOOKUP($B$3,'Data for Bill Impacts'!$A$3:$Y$15,16,0)</f>
        <v>1.1397999999999999</v>
      </c>
      <c r="D25" s="22">
        <f>B25*C25</f>
        <v>569.9</v>
      </c>
      <c r="E25" s="73">
        <f t="shared" si="4"/>
        <v>500</v>
      </c>
      <c r="F25" s="126">
        <f>VLOOKUP($B$3,'Data for Bill Impacts'!$A$3:$Y$15,25,0)</f>
        <v>1.2769135</v>
      </c>
      <c r="G25" s="22">
        <f>E25*F25</f>
        <v>638.45675000000006</v>
      </c>
      <c r="H25" s="22">
        <f t="shared" si="2"/>
        <v>68.556750000000079</v>
      </c>
      <c r="I25" s="23">
        <f t="shared" si="3"/>
        <v>0.12029610457975097</v>
      </c>
      <c r="J25" s="125">
        <f t="shared" si="0"/>
        <v>1.7684857839592453E-2</v>
      </c>
    </row>
    <row r="26" spans="1:10" x14ac:dyDescent="0.2">
      <c r="A26" s="110" t="s">
        <v>76</v>
      </c>
      <c r="B26" s="74"/>
      <c r="C26" s="35"/>
      <c r="D26" s="35">
        <f>SUM(D24:D25)</f>
        <v>1421.25</v>
      </c>
      <c r="E26" s="73"/>
      <c r="F26" s="35"/>
      <c r="G26" s="35">
        <f>SUM(G24:G25)</f>
        <v>1474.3656000000001</v>
      </c>
      <c r="H26" s="35">
        <f t="shared" si="2"/>
        <v>53.115600000000086</v>
      </c>
      <c r="I26" s="36">
        <f t="shared" si="3"/>
        <v>3.7372453825857584E-2</v>
      </c>
      <c r="J26" s="111">
        <f t="shared" si="0"/>
        <v>4.0839016957038093E-2</v>
      </c>
    </row>
    <row r="27" spans="1:10" s="1" customFormat="1" x14ac:dyDescent="0.2">
      <c r="A27" s="110" t="s">
        <v>80</v>
      </c>
      <c r="B27" s="74"/>
      <c r="C27" s="35"/>
      <c r="D27" s="35">
        <f>D23+D26</f>
        <v>9303.875</v>
      </c>
      <c r="E27" s="73"/>
      <c r="F27" s="35"/>
      <c r="G27" s="35">
        <f>G23+G26</f>
        <v>10336.2081</v>
      </c>
      <c r="H27" s="35">
        <f t="shared" si="2"/>
        <v>1032.3330999999998</v>
      </c>
      <c r="I27" s="36">
        <f t="shared" si="3"/>
        <v>0.11095732692023483</v>
      </c>
      <c r="J27" s="111">
        <f t="shared" si="0"/>
        <v>0.28630658356880712</v>
      </c>
    </row>
    <row r="28" spans="1:10" x14ac:dyDescent="0.2">
      <c r="A28" s="107" t="s">
        <v>42</v>
      </c>
      <c r="B28" s="73">
        <f>B9</f>
        <v>185675</v>
      </c>
      <c r="C28" s="34">
        <v>3.5999999999999999E-3</v>
      </c>
      <c r="D28" s="22">
        <f>B28*C28</f>
        <v>668.43</v>
      </c>
      <c r="E28" s="73">
        <f t="shared" si="4"/>
        <v>185675</v>
      </c>
      <c r="F28" s="34">
        <v>3.5999999999999999E-3</v>
      </c>
      <c r="G28" s="22">
        <f>E28*F28</f>
        <v>668.43</v>
      </c>
      <c r="H28" s="22">
        <f t="shared" si="2"/>
        <v>0</v>
      </c>
      <c r="I28" s="23">
        <f t="shared" si="3"/>
        <v>0</v>
      </c>
      <c r="J28" s="125">
        <f t="shared" si="0"/>
        <v>1.8515098361351463E-2</v>
      </c>
    </row>
    <row r="29" spans="1:10" x14ac:dyDescent="0.2">
      <c r="A29" s="107" t="s">
        <v>43</v>
      </c>
      <c r="B29" s="73">
        <f>B9</f>
        <v>185675</v>
      </c>
      <c r="C29" s="34">
        <v>2.0999999999999999E-3</v>
      </c>
      <c r="D29" s="22">
        <f>B29*C29</f>
        <v>389.91749999999996</v>
      </c>
      <c r="E29" s="73">
        <f t="shared" si="4"/>
        <v>185675</v>
      </c>
      <c r="F29" s="34">
        <v>2.0999999999999999E-3</v>
      </c>
      <c r="G29" s="22">
        <f>E29*F29</f>
        <v>389.91749999999996</v>
      </c>
      <c r="H29" s="22">
        <f>G29-D29</f>
        <v>0</v>
      </c>
      <c r="I29" s="23">
        <f t="shared" si="3"/>
        <v>0</v>
      </c>
      <c r="J29" s="125">
        <f t="shared" si="0"/>
        <v>1.0800474044121686E-2</v>
      </c>
    </row>
    <row r="30" spans="1:10" x14ac:dyDescent="0.2">
      <c r="A30" s="107" t="s">
        <v>96</v>
      </c>
      <c r="B30" s="73">
        <f>B9</f>
        <v>185675</v>
      </c>
      <c r="C30" s="34">
        <v>1.1000000000000001E-3</v>
      </c>
      <c r="D30" s="22">
        <f>B30*C30</f>
        <v>204.24250000000001</v>
      </c>
      <c r="E30" s="73">
        <f t="shared" si="4"/>
        <v>185675</v>
      </c>
      <c r="F30" s="34">
        <v>1.1000000000000001E-3</v>
      </c>
      <c r="G30" s="22">
        <f>E30*F30</f>
        <v>204.24250000000001</v>
      </c>
      <c r="H30" s="22">
        <f>G30-D30</f>
        <v>0</v>
      </c>
      <c r="I30" s="23">
        <f t="shared" ref="I30" si="8">IF(ISERROR(H30/D30),0,(H30/D30))</f>
        <v>0</v>
      </c>
      <c r="J30" s="125">
        <f t="shared" ref="J30" si="9">G30/$G$38</f>
        <v>5.6573911659685032E-3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0">G31/$G$38</f>
        <v>6.9248456687130538E-6</v>
      </c>
    </row>
    <row r="32" spans="1:10" x14ac:dyDescent="0.2">
      <c r="A32" s="110" t="s">
        <v>45</v>
      </c>
      <c r="B32" s="74"/>
      <c r="C32" s="35"/>
      <c r="D32" s="35">
        <f>SUM(D28:D31)</f>
        <v>1262.8399999999999</v>
      </c>
      <c r="E32" s="73"/>
      <c r="F32" s="35"/>
      <c r="G32" s="35">
        <f>SUM(G28:G31)</f>
        <v>1262.8399999999999</v>
      </c>
      <c r="H32" s="35">
        <f t="shared" si="2"/>
        <v>0</v>
      </c>
      <c r="I32" s="36">
        <f t="shared" si="3"/>
        <v>0</v>
      </c>
      <c r="J32" s="111">
        <f t="shared" si="10"/>
        <v>3.4979888417110368E-2</v>
      </c>
    </row>
    <row r="33" spans="1:10" ht="13.5" thickBot="1" x14ac:dyDescent="0.25">
      <c r="A33" s="112" t="s">
        <v>46</v>
      </c>
      <c r="B33" s="113">
        <f>B4</f>
        <v>175000</v>
      </c>
      <c r="C33" s="114">
        <v>7.0000000000000001E-3</v>
      </c>
      <c r="D33" s="115">
        <f>B33*C33</f>
        <v>1225</v>
      </c>
      <c r="E33" s="116">
        <f t="shared" si="4"/>
        <v>175000</v>
      </c>
      <c r="F33" s="114">
        <f>C33</f>
        <v>7.0000000000000001E-3</v>
      </c>
      <c r="G33" s="115">
        <f>E33*F33</f>
        <v>1225</v>
      </c>
      <c r="H33" s="115">
        <f t="shared" si="2"/>
        <v>0</v>
      </c>
      <c r="I33" s="117">
        <f t="shared" si="3"/>
        <v>0</v>
      </c>
      <c r="J33" s="118">
        <f t="shared" si="10"/>
        <v>3.3931743776693959E-2</v>
      </c>
    </row>
    <row r="34" spans="1:10" x14ac:dyDescent="0.2">
      <c r="A34" s="37" t="s">
        <v>115</v>
      </c>
      <c r="B34" s="38"/>
      <c r="C34" s="39"/>
      <c r="D34" s="39">
        <f>SUM(D15,D23,D26,D32,D33)</f>
        <v>30916.239999999998</v>
      </c>
      <c r="E34" s="38"/>
      <c r="F34" s="39"/>
      <c r="G34" s="39">
        <f>SUM(G15,G23,G26,G32,G33)</f>
        <v>31948.573099999998</v>
      </c>
      <c r="H34" s="39">
        <f t="shared" si="2"/>
        <v>1032.3330999999998</v>
      </c>
      <c r="I34" s="40">
        <f>IF(ISERROR(H34/D34),0,(H34/D34))</f>
        <v>3.3391288850131838E-2</v>
      </c>
      <c r="J34" s="41">
        <f t="shared" si="10"/>
        <v>0.88495575221238942</v>
      </c>
    </row>
    <row r="35" spans="1:10" x14ac:dyDescent="0.2">
      <c r="A35" s="46" t="s">
        <v>106</v>
      </c>
      <c r="B35" s="43"/>
      <c r="C35" s="26">
        <v>0.13</v>
      </c>
      <c r="D35" s="26">
        <f>D34*C35</f>
        <v>4019.1111999999998</v>
      </c>
      <c r="E35" s="26"/>
      <c r="F35" s="26">
        <f>C35</f>
        <v>0.13</v>
      </c>
      <c r="G35" s="26">
        <f>G34*F35</f>
        <v>4153.3145029999996</v>
      </c>
      <c r="H35" s="26">
        <f t="shared" si="2"/>
        <v>134.20330299999978</v>
      </c>
      <c r="I35" s="44">
        <f t="shared" ref="I35:I38" si="11">IF(ISERROR(H35/D35),0,(H35/D35))</f>
        <v>3.3391288850131789E-2</v>
      </c>
      <c r="J35" s="45">
        <f t="shared" si="10"/>
        <v>0.11504424778761062</v>
      </c>
    </row>
    <row r="36" spans="1:10" x14ac:dyDescent="0.2">
      <c r="A36" s="46" t="s">
        <v>107</v>
      </c>
      <c r="B36" s="24"/>
      <c r="C36" s="25"/>
      <c r="D36" s="25">
        <f>SUM(D34:D35)</f>
        <v>34935.351199999997</v>
      </c>
      <c r="E36" s="25"/>
      <c r="F36" s="25"/>
      <c r="G36" s="25">
        <f>SUM(G34:G35)</f>
        <v>36101.887602999996</v>
      </c>
      <c r="H36" s="25">
        <f t="shared" si="2"/>
        <v>1166.5364029999982</v>
      </c>
      <c r="I36" s="27">
        <f t="shared" si="11"/>
        <v>3.3391288850131789E-2</v>
      </c>
      <c r="J36" s="47">
        <f t="shared" si="10"/>
        <v>1</v>
      </c>
    </row>
    <row r="37" spans="1:10" x14ac:dyDescent="0.2">
      <c r="A37" s="46" t="s">
        <v>108</v>
      </c>
      <c r="B37" s="43"/>
      <c r="C37" s="26">
        <v>0</v>
      </c>
      <c r="D37" s="26">
        <f>D34*C37</f>
        <v>0</v>
      </c>
      <c r="E37" s="26"/>
      <c r="F37" s="26">
        <f>C37</f>
        <v>0</v>
      </c>
      <c r="G37" s="26">
        <f>G34*F37</f>
        <v>0</v>
      </c>
      <c r="H37" s="26">
        <f t="shared" si="2"/>
        <v>0</v>
      </c>
      <c r="I37" s="44">
        <f t="shared" si="11"/>
        <v>0</v>
      </c>
      <c r="J37" s="45">
        <f t="shared" si="10"/>
        <v>0</v>
      </c>
    </row>
    <row r="38" spans="1:10" ht="13.5" thickBot="1" x14ac:dyDescent="0.25">
      <c r="A38" s="46" t="s">
        <v>109</v>
      </c>
      <c r="B38" s="49"/>
      <c r="C38" s="50"/>
      <c r="D38" s="50">
        <f>SUM(D36:D37)</f>
        <v>34935.351199999997</v>
      </c>
      <c r="E38" s="50"/>
      <c r="F38" s="50"/>
      <c r="G38" s="50">
        <f>SUM(G36:G37)</f>
        <v>36101.887602999996</v>
      </c>
      <c r="H38" s="50">
        <f t="shared" si="2"/>
        <v>1166.5364029999982</v>
      </c>
      <c r="I38" s="51">
        <f t="shared" si="11"/>
        <v>3.3391288850131789E-2</v>
      </c>
      <c r="J38" s="52">
        <f t="shared" si="1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theme="1" tint="0.499984740745262"/>
    <pageSetUpPr fitToPage="1"/>
  </sheetPr>
  <dimension ref="A1:J40"/>
  <sheetViews>
    <sheetView tabSelected="1" view="pageBreakPreview" zoomScaleNormal="100" zoomScaleSheetLayoutView="100" workbookViewId="0">
      <selection activeCell="N25" sqref="N25"/>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98</v>
      </c>
      <c r="B1" s="192"/>
      <c r="C1" s="192"/>
      <c r="D1" s="192"/>
      <c r="E1" s="192"/>
      <c r="F1" s="192"/>
      <c r="G1" s="192"/>
      <c r="H1" s="192"/>
      <c r="I1" s="192"/>
      <c r="J1" s="193"/>
    </row>
    <row r="3" spans="1:10" x14ac:dyDescent="0.2">
      <c r="A3" s="13" t="s">
        <v>13</v>
      </c>
      <c r="B3" s="13" t="s">
        <v>125</v>
      </c>
    </row>
    <row r="4" spans="1:10" x14ac:dyDescent="0.2">
      <c r="A4" s="15" t="s">
        <v>62</v>
      </c>
      <c r="B4" s="79">
        <v>300</v>
      </c>
    </row>
    <row r="5" spans="1:10" x14ac:dyDescent="0.2">
      <c r="A5" s="15" t="s">
        <v>16</v>
      </c>
      <c r="B5" s="79">
        <v>10</v>
      </c>
    </row>
    <row r="6" spans="1:10" x14ac:dyDescent="0.2">
      <c r="A6" s="15" t="s">
        <v>20</v>
      </c>
      <c r="B6" s="80">
        <f>VLOOKUP($B$3,'Data for Bill Impacts'!$A$3:$Y$15,2,0)</f>
        <v>1.0609999999999999</v>
      </c>
    </row>
    <row r="7" spans="1:10" x14ac:dyDescent="0.2">
      <c r="A7" s="81" t="s">
        <v>48</v>
      </c>
      <c r="B7" s="82">
        <f>B4/(B5*730)</f>
        <v>4.1095890410958902E-2</v>
      </c>
    </row>
    <row r="8" spans="1:10" x14ac:dyDescent="0.2">
      <c r="A8" s="15" t="s">
        <v>15</v>
      </c>
      <c r="B8" s="79">
        <f>VLOOKUP($B$3,'Data for Bill Impacts'!$A$3:$Y$15,4,0)</f>
        <v>0</v>
      </c>
    </row>
    <row r="9" spans="1:10" x14ac:dyDescent="0.2">
      <c r="A9" s="15" t="s">
        <v>82</v>
      </c>
      <c r="B9" s="79">
        <f>B4*B6</f>
        <v>318.29999999999995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318.29999999999995</v>
      </c>
      <c r="C13" s="103">
        <v>0.10299999999999999</v>
      </c>
      <c r="D13" s="104">
        <f>B13*C13</f>
        <v>32.784899999999993</v>
      </c>
      <c r="E13" s="102">
        <f>B13</f>
        <v>318.29999999999995</v>
      </c>
      <c r="F13" s="103">
        <f>C13</f>
        <v>0.10299999999999999</v>
      </c>
      <c r="G13" s="104">
        <f>E13*F13</f>
        <v>32.784899999999993</v>
      </c>
      <c r="H13" s="104">
        <f>G13-D13</f>
        <v>0</v>
      </c>
      <c r="I13" s="105">
        <f>IF(ISERROR(H13/D13),0,(H13/D13))</f>
        <v>0</v>
      </c>
      <c r="J13" s="124">
        <f t="shared" ref="J13:J21" si="0">G13/$G$38</f>
        <v>9.4047904475208929E-2</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32.784899999999993</v>
      </c>
      <c r="E15" s="76"/>
      <c r="F15" s="25"/>
      <c r="G15" s="25">
        <f>SUM(G13:G14)</f>
        <v>32.784899999999993</v>
      </c>
      <c r="H15" s="25">
        <f t="shared" si="2"/>
        <v>0</v>
      </c>
      <c r="I15" s="27">
        <f t="shared" si="3"/>
        <v>0</v>
      </c>
      <c r="J15" s="47">
        <f t="shared" si="0"/>
        <v>9.4047904475208929E-2</v>
      </c>
    </row>
    <row r="16" spans="1:10" s="1" customFormat="1" x14ac:dyDescent="0.2">
      <c r="A16" s="107" t="s">
        <v>38</v>
      </c>
      <c r="B16" s="73">
        <v>1</v>
      </c>
      <c r="C16" s="78">
        <f>VLOOKUP($B$3,'Data for Bill Impacts'!$A$3:$Y$15,7,0)</f>
        <v>149.34</v>
      </c>
      <c r="D16" s="22">
        <f>B16*C16</f>
        <v>149.34</v>
      </c>
      <c r="E16" s="73">
        <f t="shared" ref="E16:E33" si="4">B16</f>
        <v>1</v>
      </c>
      <c r="F16" s="78">
        <f>VLOOKUP($B$3,'Data for Bill Impacts'!$A$3:$Y$15,17,0)</f>
        <v>198.03</v>
      </c>
      <c r="G16" s="22">
        <f>E16*F16</f>
        <v>198.03</v>
      </c>
      <c r="H16" s="22">
        <f t="shared" si="2"/>
        <v>48.69</v>
      </c>
      <c r="I16" s="23">
        <f t="shared" si="3"/>
        <v>0.32603455202892728</v>
      </c>
      <c r="J16" s="125">
        <f t="shared" si="0"/>
        <v>0.5680757459447987</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x14ac:dyDescent="0.2">
      <c r="A19" s="107" t="s">
        <v>85</v>
      </c>
      <c r="B19" s="73">
        <v>1</v>
      </c>
      <c r="C19" s="78">
        <f>VLOOKUP($B$3,'Data for Bill Impacts'!$A$3:$Y$15,13,0)</f>
        <v>2.72</v>
      </c>
      <c r="D19" s="22">
        <f t="shared" si="6"/>
        <v>2.72</v>
      </c>
      <c r="E19" s="73">
        <f t="shared" si="4"/>
        <v>1</v>
      </c>
      <c r="F19" s="78">
        <f>VLOOKUP($B$3,'Data for Bill Impacts'!$A$3:$Y$15,22,0)</f>
        <v>0.01</v>
      </c>
      <c r="G19" s="22">
        <f t="shared" si="5"/>
        <v>0.01</v>
      </c>
      <c r="H19" s="22">
        <f t="shared" si="2"/>
        <v>-2.7100000000000004</v>
      </c>
      <c r="I19" s="23">
        <f t="shared" si="3"/>
        <v>-0.99632352941176483</v>
      </c>
      <c r="J19" s="125">
        <f t="shared" si="0"/>
        <v>2.8686347823299432E-5</v>
      </c>
    </row>
    <row r="20" spans="1:10" x14ac:dyDescent="0.2">
      <c r="A20" s="107" t="s">
        <v>39</v>
      </c>
      <c r="B20" s="73">
        <f>IF($B$10="kWh",$B$4,$B$5)</f>
        <v>10</v>
      </c>
      <c r="C20" s="78">
        <f>VLOOKUP($B$3,'Data for Bill Impacts'!$A$3:$Y$15,10,0)</f>
        <v>6.9518000000000004</v>
      </c>
      <c r="D20" s="22">
        <f>B20*C20</f>
        <v>69.518000000000001</v>
      </c>
      <c r="E20" s="73">
        <f t="shared" si="4"/>
        <v>10</v>
      </c>
      <c r="F20" s="126">
        <f>VLOOKUP($B$3,'Data for Bill Impacts'!$A$3:$Y$15,19,0)</f>
        <v>6.0591999999999997</v>
      </c>
      <c r="G20" s="22">
        <f>E20*F20</f>
        <v>60.591999999999999</v>
      </c>
      <c r="H20" s="22">
        <f t="shared" si="2"/>
        <v>-8.9260000000000019</v>
      </c>
      <c r="I20" s="23">
        <f t="shared" si="3"/>
        <v>-0.12839840041428122</v>
      </c>
      <c r="J20" s="125">
        <f t="shared" si="0"/>
        <v>0.17381631873093592</v>
      </c>
    </row>
    <row r="21" spans="1:10" s="1" customFormat="1" x14ac:dyDescent="0.2">
      <c r="A21" s="107" t="s">
        <v>124</v>
      </c>
      <c r="B21" s="73">
        <f>IF($B$10="kWh",$B$4,$B$5)</f>
        <v>10</v>
      </c>
      <c r="C21" s="78">
        <f>VLOOKUP($B$3,'Data for Bill Impacts'!$A$3:$Y$15,14,0)</f>
        <v>6.3299999999999995E-2</v>
      </c>
      <c r="D21" s="22">
        <f>B21*C21</f>
        <v>0.63300000000000001</v>
      </c>
      <c r="E21" s="73">
        <f t="shared" si="4"/>
        <v>10</v>
      </c>
      <c r="F21" s="78">
        <f>VLOOKUP($B$3,'Data for Bill Impacts'!$A$3:$Y$15,23,0)</f>
        <v>1.72E-2</v>
      </c>
      <c r="G21" s="22">
        <f>E21*F21</f>
        <v>0.17199999999999999</v>
      </c>
      <c r="H21" s="22">
        <f t="shared" si="2"/>
        <v>-0.46100000000000002</v>
      </c>
      <c r="I21" s="23">
        <f>IF(ISERROR(H21/D21),0,(H21/D21))</f>
        <v>-0.72827804107424965</v>
      </c>
      <c r="J21" s="125">
        <f t="shared" si="0"/>
        <v>4.9340518256075019E-4</v>
      </c>
    </row>
    <row r="22" spans="1:10" s="1" customFormat="1" x14ac:dyDescent="0.2">
      <c r="A22" s="107" t="s">
        <v>112</v>
      </c>
      <c r="B22" s="73">
        <f>B9</f>
        <v>318.29999999999995</v>
      </c>
      <c r="C22" s="126">
        <f>VLOOKUP($B$3,'Data for Bill Impacts'!$A$3:$Y$15,20,0)</f>
        <v>-1E-3</v>
      </c>
      <c r="D22" s="22">
        <f>B22*C22</f>
        <v>-0.31829999999999997</v>
      </c>
      <c r="E22" s="73">
        <f>B22</f>
        <v>318.29999999999995</v>
      </c>
      <c r="F22" s="126">
        <f>VLOOKUP($B$3,'Data for Bill Impacts'!$A$3:$Y$15,21,0)</f>
        <v>1.9E-3</v>
      </c>
      <c r="G22" s="22">
        <f>E22*F22</f>
        <v>0.60476999999999992</v>
      </c>
      <c r="H22" s="22">
        <f t="shared" ref="H22" si="7">G22-D22</f>
        <v>0.92306999999999984</v>
      </c>
      <c r="I22" s="23">
        <f>IF(ISERROR(H22/D22),0,(H22/D22))</f>
        <v>-2.9</v>
      </c>
      <c r="J22" s="125">
        <f t="shared" ref="J22" si="8">G22/$G$38</f>
        <v>1.7348642573096794E-3</v>
      </c>
    </row>
    <row r="23" spans="1:10" x14ac:dyDescent="0.2">
      <c r="A23" s="110" t="s">
        <v>93</v>
      </c>
      <c r="B23" s="74"/>
      <c r="C23" s="35"/>
      <c r="D23" s="35">
        <f>SUM(D16:D22)</f>
        <v>221.89270000000002</v>
      </c>
      <c r="E23" s="73"/>
      <c r="F23" s="35"/>
      <c r="G23" s="35">
        <f>SUM(G16:G22)</f>
        <v>259.40877</v>
      </c>
      <c r="H23" s="35">
        <f t="shared" si="2"/>
        <v>37.516069999999985</v>
      </c>
      <c r="I23" s="36">
        <f t="shared" si="3"/>
        <v>0.16907302493502482</v>
      </c>
      <c r="J23" s="111">
        <f t="shared" ref="J23:J29" si="9">G23/$G$38</f>
        <v>0.74414902046342835</v>
      </c>
    </row>
    <row r="24" spans="1:10" x14ac:dyDescent="0.2">
      <c r="A24" s="107" t="s">
        <v>40</v>
      </c>
      <c r="B24" s="73">
        <f>B5</f>
        <v>10</v>
      </c>
      <c r="C24" s="78">
        <f>VLOOKUP($B$3,'Data for Bill Impacts'!$A$3:$Y$15,15,0)</f>
        <v>0.55489999999999995</v>
      </c>
      <c r="D24" s="22">
        <f>B24*C24</f>
        <v>5.5489999999999995</v>
      </c>
      <c r="E24" s="73">
        <f t="shared" si="4"/>
        <v>10</v>
      </c>
      <c r="F24" s="126">
        <f>VLOOKUP($B$3,'Data for Bill Impacts'!$A$3:$Y$15,24,0)</f>
        <v>0.63108279999999994</v>
      </c>
      <c r="G24" s="22">
        <f>E24*F24</f>
        <v>6.310827999999999</v>
      </c>
      <c r="H24" s="22">
        <f t="shared" si="2"/>
        <v>0.76182799999999951</v>
      </c>
      <c r="I24" s="23">
        <f t="shared" si="3"/>
        <v>0.13729104343124879</v>
      </c>
      <c r="J24" s="125">
        <f t="shared" si="9"/>
        <v>1.8103460706101707E-2</v>
      </c>
    </row>
    <row r="25" spans="1:10" s="1" customFormat="1" x14ac:dyDescent="0.2">
      <c r="A25" s="107" t="s">
        <v>41</v>
      </c>
      <c r="B25" s="73">
        <f>B5</f>
        <v>10</v>
      </c>
      <c r="C25" s="78">
        <f>VLOOKUP($B$3,'Data for Bill Impacts'!$A$3:$Y$15,16,0)</f>
        <v>0.3553</v>
      </c>
      <c r="D25" s="22">
        <f>B25*C25</f>
        <v>3.5529999999999999</v>
      </c>
      <c r="E25" s="73">
        <f t="shared" si="4"/>
        <v>10</v>
      </c>
      <c r="F25" s="126">
        <f>VLOOKUP($B$3,'Data for Bill Impacts'!$A$3:$Y$15,25,0)</f>
        <v>0.54747599999999996</v>
      </c>
      <c r="G25" s="22">
        <f>E25*F25</f>
        <v>5.4747599999999998</v>
      </c>
      <c r="H25" s="22">
        <f t="shared" si="2"/>
        <v>1.9217599999999999</v>
      </c>
      <c r="I25" s="23">
        <f t="shared" si="3"/>
        <v>0.54088376020264561</v>
      </c>
      <c r="J25" s="125">
        <f t="shared" si="9"/>
        <v>1.5705086960908679E-2</v>
      </c>
    </row>
    <row r="26" spans="1:10" x14ac:dyDescent="0.2">
      <c r="A26" s="110" t="s">
        <v>76</v>
      </c>
      <c r="B26" s="74"/>
      <c r="C26" s="35"/>
      <c r="D26" s="35">
        <f>SUM(D24:D25)</f>
        <v>9.1020000000000003</v>
      </c>
      <c r="E26" s="73"/>
      <c r="F26" s="35"/>
      <c r="G26" s="35">
        <f>SUM(G24:G25)</f>
        <v>11.785587999999999</v>
      </c>
      <c r="H26" s="35">
        <f t="shared" si="2"/>
        <v>2.6835879999999985</v>
      </c>
      <c r="I26" s="36">
        <f t="shared" si="3"/>
        <v>0.29483498132278602</v>
      </c>
      <c r="J26" s="111">
        <f t="shared" si="9"/>
        <v>3.3808547667010386E-2</v>
      </c>
    </row>
    <row r="27" spans="1:10" s="1" customFormat="1" x14ac:dyDescent="0.2">
      <c r="A27" s="110" t="s">
        <v>80</v>
      </c>
      <c r="B27" s="74"/>
      <c r="C27" s="35"/>
      <c r="D27" s="35">
        <f>D23+D26</f>
        <v>230.99470000000002</v>
      </c>
      <c r="E27" s="73"/>
      <c r="F27" s="35"/>
      <c r="G27" s="35">
        <f>G23+G26</f>
        <v>271.19435800000002</v>
      </c>
      <c r="H27" s="35">
        <f t="shared" si="2"/>
        <v>40.199657999999999</v>
      </c>
      <c r="I27" s="36">
        <f t="shared" si="3"/>
        <v>0.17402848636786902</v>
      </c>
      <c r="J27" s="111">
        <f t="shared" si="9"/>
        <v>0.77795756813043881</v>
      </c>
    </row>
    <row r="28" spans="1:10" x14ac:dyDescent="0.2">
      <c r="A28" s="107" t="s">
        <v>42</v>
      </c>
      <c r="B28" s="73">
        <f>B9</f>
        <v>318.29999999999995</v>
      </c>
      <c r="C28" s="34">
        <v>3.5999999999999999E-3</v>
      </c>
      <c r="D28" s="22">
        <f>B28*C28</f>
        <v>1.1458799999999998</v>
      </c>
      <c r="E28" s="73">
        <f t="shared" si="4"/>
        <v>318.29999999999995</v>
      </c>
      <c r="F28" s="34">
        <v>3.5999999999999999E-3</v>
      </c>
      <c r="G28" s="22">
        <f>E28*F28</f>
        <v>1.1458799999999998</v>
      </c>
      <c r="H28" s="22">
        <f t="shared" si="2"/>
        <v>0</v>
      </c>
      <c r="I28" s="23">
        <f t="shared" si="3"/>
        <v>0</v>
      </c>
      <c r="J28" s="125">
        <f t="shared" si="9"/>
        <v>3.2871112243762347E-3</v>
      </c>
    </row>
    <row r="29" spans="1:10" x14ac:dyDescent="0.2">
      <c r="A29" s="107" t="s">
        <v>43</v>
      </c>
      <c r="B29" s="73">
        <f>B9</f>
        <v>318.29999999999995</v>
      </c>
      <c r="C29" s="34">
        <v>2.0999999999999999E-3</v>
      </c>
      <c r="D29" s="22">
        <f>B29*C29</f>
        <v>0.66842999999999986</v>
      </c>
      <c r="E29" s="73">
        <f t="shared" si="4"/>
        <v>318.29999999999995</v>
      </c>
      <c r="F29" s="34">
        <v>2.0999999999999999E-3</v>
      </c>
      <c r="G29" s="22">
        <f>E29*F29</f>
        <v>0.66842999999999986</v>
      </c>
      <c r="H29" s="22">
        <f>G29-D29</f>
        <v>0</v>
      </c>
      <c r="I29" s="23">
        <f t="shared" si="3"/>
        <v>0</v>
      </c>
      <c r="J29" s="125">
        <f t="shared" si="9"/>
        <v>1.9174815475528036E-3</v>
      </c>
    </row>
    <row r="30" spans="1:10" x14ac:dyDescent="0.2">
      <c r="A30" s="107" t="s">
        <v>96</v>
      </c>
      <c r="B30" s="73">
        <f>B9</f>
        <v>318.29999999999995</v>
      </c>
      <c r="C30" s="34">
        <v>1.1000000000000001E-3</v>
      </c>
      <c r="D30" s="22">
        <f>B30*C30</f>
        <v>0.35013</v>
      </c>
      <c r="E30" s="73">
        <f t="shared" si="4"/>
        <v>318.29999999999995</v>
      </c>
      <c r="F30" s="34">
        <v>1.1000000000000001E-3</v>
      </c>
      <c r="G30" s="22">
        <f>E30*F30</f>
        <v>0.35013</v>
      </c>
      <c r="H30" s="22">
        <f>G30-D30</f>
        <v>0</v>
      </c>
      <c r="I30" s="23">
        <f t="shared" ref="I30" si="10">IF(ISERROR(H30/D30),0,(H30/D30))</f>
        <v>0</v>
      </c>
      <c r="J30" s="125">
        <f t="shared" ref="J30" si="11">G30/$G$38</f>
        <v>1.004395096337183E-3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2">G31/$G$38</f>
        <v>7.1715869558248578E-4</v>
      </c>
    </row>
    <row r="32" spans="1:10" x14ac:dyDescent="0.2">
      <c r="A32" s="110" t="s">
        <v>45</v>
      </c>
      <c r="B32" s="74"/>
      <c r="C32" s="35"/>
      <c r="D32" s="35">
        <f>SUM(D28:D31)</f>
        <v>2.4144399999999995</v>
      </c>
      <c r="E32" s="73"/>
      <c r="F32" s="35"/>
      <c r="G32" s="35">
        <f>SUM(G28:G31)</f>
        <v>2.4144399999999995</v>
      </c>
      <c r="H32" s="35">
        <f t="shared" si="2"/>
        <v>0</v>
      </c>
      <c r="I32" s="36">
        <f t="shared" si="3"/>
        <v>0</v>
      </c>
      <c r="J32" s="111">
        <f t="shared" si="12"/>
        <v>6.9261465638487067E-3</v>
      </c>
    </row>
    <row r="33" spans="1:10" ht="13.5" thickBot="1" x14ac:dyDescent="0.25">
      <c r="A33" s="112" t="s">
        <v>46</v>
      </c>
      <c r="B33" s="113">
        <f>B4</f>
        <v>300</v>
      </c>
      <c r="C33" s="114">
        <v>7.0000000000000001E-3</v>
      </c>
      <c r="D33" s="115">
        <f>B33*C33</f>
        <v>2.1</v>
      </c>
      <c r="E33" s="116">
        <f t="shared" si="4"/>
        <v>300</v>
      </c>
      <c r="F33" s="114">
        <f>C33</f>
        <v>7.0000000000000001E-3</v>
      </c>
      <c r="G33" s="115">
        <f>E33*F33</f>
        <v>2.1</v>
      </c>
      <c r="H33" s="115">
        <f t="shared" si="2"/>
        <v>0</v>
      </c>
      <c r="I33" s="117">
        <f t="shared" si="3"/>
        <v>0</v>
      </c>
      <c r="J33" s="118">
        <f t="shared" si="12"/>
        <v>6.0241330428928812E-3</v>
      </c>
    </row>
    <row r="34" spans="1:10" x14ac:dyDescent="0.2">
      <c r="A34" s="37" t="s">
        <v>115</v>
      </c>
      <c r="B34" s="38"/>
      <c r="C34" s="39"/>
      <c r="D34" s="39">
        <f>SUM(D15,D23,D26,D32,D33)</f>
        <v>268.29404000000005</v>
      </c>
      <c r="E34" s="38"/>
      <c r="F34" s="39"/>
      <c r="G34" s="39">
        <f>SUM(G15,G23,G26,G32,G33)</f>
        <v>308.49369800000005</v>
      </c>
      <c r="H34" s="39">
        <f t="shared" si="2"/>
        <v>40.199657999999999</v>
      </c>
      <c r="I34" s="40">
        <f>IF(ISERROR(H34/D34),0,(H34/D34))</f>
        <v>0.14983433101980198</v>
      </c>
      <c r="J34" s="41">
        <f t="shared" si="12"/>
        <v>0.88495575221238942</v>
      </c>
    </row>
    <row r="35" spans="1:10" x14ac:dyDescent="0.2">
      <c r="A35" s="46" t="s">
        <v>106</v>
      </c>
      <c r="B35" s="43"/>
      <c r="C35" s="26">
        <v>0.13</v>
      </c>
      <c r="D35" s="26">
        <f>D34*C35</f>
        <v>34.87822520000001</v>
      </c>
      <c r="E35" s="26"/>
      <c r="F35" s="26">
        <f>C35</f>
        <v>0.13</v>
      </c>
      <c r="G35" s="26">
        <f>G34*F35</f>
        <v>40.104180740000011</v>
      </c>
      <c r="H35" s="26">
        <f t="shared" si="2"/>
        <v>5.2259555400000011</v>
      </c>
      <c r="I35" s="44">
        <f t="shared" ref="I35:I38" si="13">IF(ISERROR(H35/D35),0,(H35/D35))</f>
        <v>0.14983433101980198</v>
      </c>
      <c r="J35" s="45">
        <f t="shared" si="12"/>
        <v>0.11504424778761063</v>
      </c>
    </row>
    <row r="36" spans="1:10" x14ac:dyDescent="0.2">
      <c r="A36" s="46" t="s">
        <v>107</v>
      </c>
      <c r="B36" s="24"/>
      <c r="C36" s="25"/>
      <c r="D36" s="25">
        <f>SUM(D34:D35)</f>
        <v>303.17226520000008</v>
      </c>
      <c r="E36" s="25"/>
      <c r="F36" s="25"/>
      <c r="G36" s="25">
        <f>SUM(G34:G35)</f>
        <v>348.59787874000006</v>
      </c>
      <c r="H36" s="25">
        <f t="shared" si="2"/>
        <v>45.425613539999972</v>
      </c>
      <c r="I36" s="27">
        <f t="shared" si="13"/>
        <v>0.14983433101980187</v>
      </c>
      <c r="J36" s="47">
        <f t="shared" si="12"/>
        <v>1</v>
      </c>
    </row>
    <row r="37" spans="1:10" x14ac:dyDescent="0.2">
      <c r="A37" s="46" t="s">
        <v>108</v>
      </c>
      <c r="B37" s="43"/>
      <c r="C37" s="26">
        <v>0</v>
      </c>
      <c r="D37" s="26">
        <f>D34*C37</f>
        <v>0</v>
      </c>
      <c r="E37" s="26"/>
      <c r="F37" s="26">
        <f>C37</f>
        <v>0</v>
      </c>
      <c r="G37" s="26">
        <f>G34*F37</f>
        <v>0</v>
      </c>
      <c r="H37" s="26">
        <f t="shared" si="2"/>
        <v>0</v>
      </c>
      <c r="I37" s="44">
        <f t="shared" si="13"/>
        <v>0</v>
      </c>
      <c r="J37" s="45">
        <f t="shared" si="12"/>
        <v>0</v>
      </c>
    </row>
    <row r="38" spans="1:10" ht="13.5" thickBot="1" x14ac:dyDescent="0.25">
      <c r="A38" s="46" t="s">
        <v>109</v>
      </c>
      <c r="B38" s="49"/>
      <c r="C38" s="50"/>
      <c r="D38" s="50">
        <f>SUM(D36:D37)</f>
        <v>303.17226520000008</v>
      </c>
      <c r="E38" s="50"/>
      <c r="F38" s="50"/>
      <c r="G38" s="50">
        <f>SUM(G36:G37)</f>
        <v>348.59787874000006</v>
      </c>
      <c r="H38" s="50">
        <f t="shared" si="2"/>
        <v>45.425613539999972</v>
      </c>
      <c r="I38" s="51">
        <f t="shared" si="13"/>
        <v>0.14983433101980187</v>
      </c>
      <c r="J38" s="52">
        <f t="shared" si="12"/>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theme="1" tint="0.499984740745262"/>
    <pageSetUpPr fitToPage="1"/>
  </sheetPr>
  <dimension ref="A1:J43"/>
  <sheetViews>
    <sheetView tabSelected="1" topLeftCell="A16" zoomScaleNormal="100" zoomScaleSheetLayoutView="100" workbookViewId="0">
      <selection activeCell="N25" sqref="N25"/>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120</v>
      </c>
      <c r="B1" s="192"/>
      <c r="C1" s="192"/>
      <c r="D1" s="192"/>
      <c r="E1" s="192"/>
      <c r="F1" s="192"/>
      <c r="G1" s="192"/>
      <c r="H1" s="192"/>
      <c r="I1" s="192"/>
      <c r="J1" s="193"/>
    </row>
    <row r="3" spans="1:10" x14ac:dyDescent="0.2">
      <c r="A3" s="13" t="s">
        <v>13</v>
      </c>
      <c r="B3" s="13" t="s">
        <v>125</v>
      </c>
    </row>
    <row r="4" spans="1:10" x14ac:dyDescent="0.2">
      <c r="A4" s="15" t="s">
        <v>62</v>
      </c>
      <c r="B4" s="79">
        <f>VLOOKUP(B3,'Data for Bill Impacts'!A19:D31,3,FALSE)</f>
        <v>1328</v>
      </c>
    </row>
    <row r="5" spans="1:10" x14ac:dyDescent="0.2">
      <c r="A5" s="15" t="s">
        <v>16</v>
      </c>
      <c r="B5" s="79">
        <f>VLOOKUP(B3,'Data for Bill Impacts'!A19:D31,4,FALSE)</f>
        <v>13</v>
      </c>
    </row>
    <row r="6" spans="1:10" x14ac:dyDescent="0.2">
      <c r="A6" s="15" t="s">
        <v>20</v>
      </c>
      <c r="B6" s="80">
        <f>VLOOKUP($B$3,'Data for Bill Impacts'!$A$3:$Y$15,2,0)</f>
        <v>1.0609999999999999</v>
      </c>
    </row>
    <row r="7" spans="1:10" x14ac:dyDescent="0.2">
      <c r="A7" s="81" t="s">
        <v>48</v>
      </c>
      <c r="B7" s="82">
        <f>B4/(B5*730)</f>
        <v>0.1399367755532139</v>
      </c>
    </row>
    <row r="8" spans="1:10" x14ac:dyDescent="0.2">
      <c r="A8" s="15" t="s">
        <v>15</v>
      </c>
      <c r="B8" s="79">
        <f>VLOOKUP($B$3,'Data for Bill Impacts'!$A$3:$Y$15,4,0)</f>
        <v>0</v>
      </c>
    </row>
    <row r="9" spans="1:10" x14ac:dyDescent="0.2">
      <c r="A9" s="15" t="s">
        <v>82</v>
      </c>
      <c r="B9" s="79">
        <f>B4*B6</f>
        <v>1409.0079999999998</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1409.0079999999998</v>
      </c>
      <c r="C13" s="103">
        <v>0.10299999999999999</v>
      </c>
      <c r="D13" s="104">
        <f>B13*C13</f>
        <v>145.12782399999998</v>
      </c>
      <c r="E13" s="102">
        <f>B13</f>
        <v>1409.0079999999998</v>
      </c>
      <c r="F13" s="103">
        <f>C13</f>
        <v>0.10299999999999999</v>
      </c>
      <c r="G13" s="104">
        <f>E13*F13</f>
        <v>145.12782399999998</v>
      </c>
      <c r="H13" s="104">
        <f>G13-D13</f>
        <v>0</v>
      </c>
      <c r="I13" s="105">
        <f>IF(ISERROR(H13/D13),0,(H13/D13))</f>
        <v>0</v>
      </c>
      <c r="J13" s="124">
        <f>G13/$G$38</f>
        <v>0.27963299263717617</v>
      </c>
    </row>
    <row r="14" spans="1:10" x14ac:dyDescent="0.2">
      <c r="A14" s="107" t="s">
        <v>32</v>
      </c>
      <c r="B14" s="73">
        <v>0</v>
      </c>
      <c r="C14" s="21">
        <v>0.121</v>
      </c>
      <c r="D14" s="22">
        <f>B14*C14</f>
        <v>0</v>
      </c>
      <c r="E14" s="73">
        <f t="shared" ref="E14" si="0">B14</f>
        <v>0</v>
      </c>
      <c r="F14" s="21">
        <f>C14</f>
        <v>0.121</v>
      </c>
      <c r="G14" s="22">
        <f>E14*F14</f>
        <v>0</v>
      </c>
      <c r="H14" s="22">
        <f t="shared" ref="H14:H38" si="1">G14-D14</f>
        <v>0</v>
      </c>
      <c r="I14" s="23">
        <f t="shared" ref="I14:I33" si="2">IF(ISERROR(H14/D14),0,(H14/D14))</f>
        <v>0</v>
      </c>
      <c r="J14" s="125">
        <f>G14/$G$38</f>
        <v>0</v>
      </c>
    </row>
    <row r="15" spans="1:10" s="1" customFormat="1" x14ac:dyDescent="0.2">
      <c r="A15" s="46" t="s">
        <v>33</v>
      </c>
      <c r="B15" s="24"/>
      <c r="C15" s="25"/>
      <c r="D15" s="25">
        <f>SUM(D13:D14)</f>
        <v>145.12782399999998</v>
      </c>
      <c r="E15" s="76"/>
      <c r="F15" s="25"/>
      <c r="G15" s="25">
        <f>SUM(G13:G14)</f>
        <v>145.12782399999998</v>
      </c>
      <c r="H15" s="25">
        <f t="shared" si="1"/>
        <v>0</v>
      </c>
      <c r="I15" s="27">
        <f t="shared" si="2"/>
        <v>0</v>
      </c>
      <c r="J15" s="47">
        <f>G15/$G$38</f>
        <v>0.27963299263717617</v>
      </c>
    </row>
    <row r="16" spans="1:10" s="1" customFormat="1" x14ac:dyDescent="0.2">
      <c r="A16" s="107" t="s">
        <v>38</v>
      </c>
      <c r="B16" s="73">
        <v>1</v>
      </c>
      <c r="C16" s="78">
        <f>VLOOKUP($B$3,'Data for Bill Impacts'!$A$3:$Y$15,7,0)</f>
        <v>149.34</v>
      </c>
      <c r="D16" s="22">
        <f>B16*C16</f>
        <v>149.34</v>
      </c>
      <c r="E16" s="73">
        <f t="shared" ref="E16:E33" si="3">B16</f>
        <v>1</v>
      </c>
      <c r="F16" s="22">
        <f>VLOOKUP($B$3,'Data for Bill Impacts'!$A$3:$Y$15,17,0)</f>
        <v>198.03</v>
      </c>
      <c r="G16" s="22">
        <f>E16*F16</f>
        <v>198.03</v>
      </c>
      <c r="H16" s="22">
        <f t="shared" si="1"/>
        <v>48.69</v>
      </c>
      <c r="I16" s="23">
        <f t="shared" si="2"/>
        <v>0.32603455202892728</v>
      </c>
      <c r="J16" s="125">
        <f>G16/$G$38</f>
        <v>0.38156516101240517</v>
      </c>
    </row>
    <row r="17" spans="1:10" hidden="1" x14ac:dyDescent="0.2">
      <c r="A17" s="107" t="s">
        <v>83</v>
      </c>
      <c r="B17" s="73">
        <v>1</v>
      </c>
      <c r="C17" s="78">
        <f>VLOOKUP($B$3,'Data for Bill Impacts'!$A$3:$Y$15,8,0)</f>
        <v>0</v>
      </c>
      <c r="D17" s="22">
        <f>B17*C17</f>
        <v>0</v>
      </c>
      <c r="E17" s="73">
        <f t="shared" si="3"/>
        <v>1</v>
      </c>
      <c r="F17" s="78">
        <v>0</v>
      </c>
      <c r="G17" s="22">
        <f t="shared" ref="G17:G18" si="4">E17*F17</f>
        <v>0</v>
      </c>
      <c r="H17" s="22">
        <f t="shared" si="1"/>
        <v>0</v>
      </c>
      <c r="I17" s="23">
        <f t="shared" si="2"/>
        <v>0</v>
      </c>
      <c r="J17" s="125">
        <f t="shared" ref="J17:J18" si="5">G17/$G$38</f>
        <v>0</v>
      </c>
    </row>
    <row r="18" spans="1:10" hidden="1" x14ac:dyDescent="0.2">
      <c r="A18" s="107" t="s">
        <v>84</v>
      </c>
      <c r="B18" s="73">
        <v>1</v>
      </c>
      <c r="C18" s="78">
        <f>VLOOKUP($B$3,'Data for Bill Impacts'!$A$3:$Y$15,11,0)</f>
        <v>0</v>
      </c>
      <c r="D18" s="22">
        <f t="shared" ref="D18" si="6">B18*C18</f>
        <v>0</v>
      </c>
      <c r="E18" s="73">
        <f t="shared" si="3"/>
        <v>1</v>
      </c>
      <c r="F18" s="78">
        <f>VLOOKUP($B$3,'Data for Bill Impacts'!$A$3:$Y$15,12,0)</f>
        <v>0</v>
      </c>
      <c r="G18" s="22">
        <f t="shared" si="4"/>
        <v>0</v>
      </c>
      <c r="H18" s="22">
        <f t="shared" si="1"/>
        <v>0</v>
      </c>
      <c r="I18" s="23">
        <f t="shared" si="2"/>
        <v>0</v>
      </c>
      <c r="J18" s="125">
        <f t="shared" si="5"/>
        <v>0</v>
      </c>
    </row>
    <row r="19" spans="1:10" x14ac:dyDescent="0.2">
      <c r="A19" s="107" t="s">
        <v>85</v>
      </c>
      <c r="B19" s="73">
        <v>1</v>
      </c>
      <c r="C19" s="78">
        <f>VLOOKUP($B$3,'Data for Bill Impacts'!$A$3:$Y$15,13,0)</f>
        <v>2.72</v>
      </c>
      <c r="D19" s="22">
        <f t="shared" ref="D19" si="7">B19*C19</f>
        <v>2.72</v>
      </c>
      <c r="E19" s="73">
        <f t="shared" si="3"/>
        <v>1</v>
      </c>
      <c r="F19" s="122">
        <f>VLOOKUP($B$3,'Data for Bill Impacts'!$A$3:$Y$15,22,0)</f>
        <v>0.01</v>
      </c>
      <c r="G19" s="22">
        <f t="shared" ref="G19" si="8">E19*F19</f>
        <v>0.01</v>
      </c>
      <c r="H19" s="22">
        <f t="shared" si="1"/>
        <v>-2.7100000000000004</v>
      </c>
      <c r="I19" s="23">
        <f t="shared" si="2"/>
        <v>-0.99632352941176483</v>
      </c>
      <c r="J19" s="125">
        <f t="shared" ref="J19:J29" si="9">G19/$G$38</f>
        <v>1.926804832663764E-5</v>
      </c>
    </row>
    <row r="20" spans="1:10" x14ac:dyDescent="0.2">
      <c r="A20" s="107" t="s">
        <v>39</v>
      </c>
      <c r="B20" s="73">
        <f>IF($B$10="kWh",$B$4,$B$5)</f>
        <v>13</v>
      </c>
      <c r="C20" s="78">
        <f>VLOOKUP($B$3,'Data for Bill Impacts'!$A$3:$Y$15,10,0)</f>
        <v>6.9518000000000004</v>
      </c>
      <c r="D20" s="22">
        <f>B20*C20</f>
        <v>90.373400000000004</v>
      </c>
      <c r="E20" s="73">
        <f t="shared" si="3"/>
        <v>13</v>
      </c>
      <c r="F20" s="126">
        <f>VLOOKUP($B$3,'Data for Bill Impacts'!$A$3:$Y$15,19,0)</f>
        <v>6.0591999999999997</v>
      </c>
      <c r="G20" s="22">
        <f>E20*F20</f>
        <v>78.769599999999997</v>
      </c>
      <c r="H20" s="22">
        <f t="shared" si="1"/>
        <v>-11.603800000000007</v>
      </c>
      <c r="I20" s="23">
        <f t="shared" si="2"/>
        <v>-0.12839840041428127</v>
      </c>
      <c r="J20" s="125">
        <f t="shared" si="9"/>
        <v>0.15177364594699164</v>
      </c>
    </row>
    <row r="21" spans="1:10" x14ac:dyDescent="0.2">
      <c r="A21" s="107" t="s">
        <v>124</v>
      </c>
      <c r="B21" s="73">
        <f>IF($B$10="kWh",$B$4,$B$5)</f>
        <v>13</v>
      </c>
      <c r="C21" s="78">
        <f>VLOOKUP($B$3,'Data for Bill Impacts'!$A$3:$Y$15,14,0)</f>
        <v>6.3299999999999995E-2</v>
      </c>
      <c r="D21" s="22">
        <f>B21*C21</f>
        <v>0.82289999999999996</v>
      </c>
      <c r="E21" s="73">
        <f t="shared" si="3"/>
        <v>13</v>
      </c>
      <c r="F21" s="78">
        <f>VLOOKUP($B$3,'Data for Bill Impacts'!$A$3:$Y$15,23,0)</f>
        <v>1.72E-2</v>
      </c>
      <c r="G21" s="22">
        <f>E21*F21</f>
        <v>0.22359999999999999</v>
      </c>
      <c r="H21" s="22">
        <f t="shared" si="1"/>
        <v>-0.59929999999999994</v>
      </c>
      <c r="I21" s="23">
        <f>IF(ISERROR(H21/D21),0,(H21/D21))</f>
        <v>-0.72827804107424954</v>
      </c>
      <c r="J21" s="125">
        <f t="shared" si="9"/>
        <v>4.3083356058361765E-4</v>
      </c>
    </row>
    <row r="22" spans="1:10" x14ac:dyDescent="0.2">
      <c r="A22" s="107" t="s">
        <v>112</v>
      </c>
      <c r="B22" s="73">
        <f>B9</f>
        <v>1409.0079999999998</v>
      </c>
      <c r="C22" s="126">
        <f>VLOOKUP($B$3,'Data for Bill Impacts'!$A$3:$Y$15,20,0)</f>
        <v>-1E-3</v>
      </c>
      <c r="D22" s="22">
        <f>B22*C22</f>
        <v>-1.4090079999999998</v>
      </c>
      <c r="E22" s="73">
        <f>B22</f>
        <v>1409.0079999999998</v>
      </c>
      <c r="F22" s="126">
        <f>VLOOKUP($B$3,'Data for Bill Impacts'!$A$3:$Y$15,21,0)</f>
        <v>1.9E-3</v>
      </c>
      <c r="G22" s="22">
        <f>E22*F22</f>
        <v>2.6771151999999998</v>
      </c>
      <c r="H22" s="22">
        <f t="shared" ref="H22" si="10">G22-D22</f>
        <v>4.0861231999999994</v>
      </c>
      <c r="I22" s="23">
        <f>IF(ISERROR(H22/D22),0,(H22/D22))</f>
        <v>-2.9</v>
      </c>
      <c r="J22" s="125">
        <f t="shared" si="9"/>
        <v>5.1582785049576188E-3</v>
      </c>
    </row>
    <row r="23" spans="1:10" s="1" customFormat="1" x14ac:dyDescent="0.2">
      <c r="A23" s="110" t="s">
        <v>79</v>
      </c>
      <c r="B23" s="74"/>
      <c r="C23" s="35"/>
      <c r="D23" s="35">
        <f>SUM(D16:D22)</f>
        <v>241.84729200000001</v>
      </c>
      <c r="E23" s="73"/>
      <c r="F23" s="35"/>
      <c r="G23" s="35">
        <f>SUM(G16:G22)</f>
        <v>279.71031519999997</v>
      </c>
      <c r="H23" s="35">
        <f t="shared" si="1"/>
        <v>37.863023199999958</v>
      </c>
      <c r="I23" s="36">
        <f t="shared" si="2"/>
        <v>0.15655756525898978</v>
      </c>
      <c r="J23" s="111">
        <f t="shared" si="9"/>
        <v>0.53894718707326461</v>
      </c>
    </row>
    <row r="24" spans="1:10" s="1" customFormat="1" x14ac:dyDescent="0.2">
      <c r="A24" s="107" t="s">
        <v>40</v>
      </c>
      <c r="B24" s="73">
        <f>B5</f>
        <v>13</v>
      </c>
      <c r="C24" s="78">
        <f>VLOOKUP($B$3,'Data for Bill Impacts'!$A$3:$Y$15,15,0)</f>
        <v>0.55489999999999995</v>
      </c>
      <c r="D24" s="22">
        <f>B24*C24</f>
        <v>7.2136999999999993</v>
      </c>
      <c r="E24" s="73">
        <f t="shared" si="3"/>
        <v>13</v>
      </c>
      <c r="F24" s="126">
        <f>VLOOKUP($B$3,'Data for Bill Impacts'!$A$3:$Y$15,24,0)</f>
        <v>0.63108279999999994</v>
      </c>
      <c r="G24" s="22">
        <f>E24*F24</f>
        <v>8.2040763999999999</v>
      </c>
      <c r="H24" s="22">
        <f t="shared" si="1"/>
        <v>0.9903764000000006</v>
      </c>
      <c r="I24" s="23">
        <f t="shared" si="2"/>
        <v>0.13729104343124898</v>
      </c>
      <c r="J24" s="125">
        <f t="shared" si="9"/>
        <v>1.5807654055062736E-2</v>
      </c>
    </row>
    <row r="25" spans="1:10" x14ac:dyDescent="0.2">
      <c r="A25" s="107" t="s">
        <v>41</v>
      </c>
      <c r="B25" s="73">
        <f>B5</f>
        <v>13</v>
      </c>
      <c r="C25" s="78">
        <f>VLOOKUP($B$3,'Data for Bill Impacts'!$A$3:$Y$15,16,0)</f>
        <v>0.3553</v>
      </c>
      <c r="D25" s="22">
        <f>B25*C25</f>
        <v>4.6189</v>
      </c>
      <c r="E25" s="73">
        <f t="shared" si="3"/>
        <v>13</v>
      </c>
      <c r="F25" s="126">
        <f>VLOOKUP($B$3,'Data for Bill Impacts'!$A$3:$Y$15,25,0)</f>
        <v>0.54747599999999996</v>
      </c>
      <c r="G25" s="22">
        <f>E25*F25</f>
        <v>7.1171879999999996</v>
      </c>
      <c r="H25" s="22">
        <f t="shared" si="1"/>
        <v>2.4982879999999996</v>
      </c>
      <c r="I25" s="23">
        <f t="shared" si="2"/>
        <v>0.54088376020264561</v>
      </c>
      <c r="J25" s="125">
        <f t="shared" si="9"/>
        <v>1.3713432233376548E-2</v>
      </c>
    </row>
    <row r="26" spans="1:10" x14ac:dyDescent="0.2">
      <c r="A26" s="110" t="s">
        <v>76</v>
      </c>
      <c r="B26" s="74"/>
      <c r="C26" s="35"/>
      <c r="D26" s="35">
        <f>SUM(D24:D25)</f>
        <v>11.832599999999999</v>
      </c>
      <c r="E26" s="73"/>
      <c r="F26" s="35"/>
      <c r="G26" s="35">
        <f>SUM(G24:G25)</f>
        <v>15.3212644</v>
      </c>
      <c r="H26" s="35">
        <f t="shared" si="1"/>
        <v>3.4886644000000011</v>
      </c>
      <c r="I26" s="36">
        <f t="shared" si="2"/>
        <v>0.29483498132278629</v>
      </c>
      <c r="J26" s="111">
        <f t="shared" si="9"/>
        <v>2.9521086288439285E-2</v>
      </c>
    </row>
    <row r="27" spans="1:10" s="1" customFormat="1" x14ac:dyDescent="0.2">
      <c r="A27" s="110" t="s">
        <v>80</v>
      </c>
      <c r="B27" s="74"/>
      <c r="C27" s="35"/>
      <c r="D27" s="35">
        <f>D23+D26</f>
        <v>253.679892</v>
      </c>
      <c r="E27" s="73"/>
      <c r="F27" s="35"/>
      <c r="G27" s="35">
        <f>G23+G26</f>
        <v>295.03157959999999</v>
      </c>
      <c r="H27" s="35">
        <f t="shared" si="1"/>
        <v>41.351687599999991</v>
      </c>
      <c r="I27" s="36">
        <f t="shared" si="2"/>
        <v>0.16300735258906524</v>
      </c>
      <c r="J27" s="111">
        <f t="shared" si="9"/>
        <v>0.56846827336170391</v>
      </c>
    </row>
    <row r="28" spans="1:10" x14ac:dyDescent="0.2">
      <c r="A28" s="107" t="s">
        <v>42</v>
      </c>
      <c r="B28" s="73">
        <f>B9</f>
        <v>1409.0079999999998</v>
      </c>
      <c r="C28" s="34">
        <v>3.5999999999999999E-3</v>
      </c>
      <c r="D28" s="22">
        <f>B28*C28</f>
        <v>5.0724287999999991</v>
      </c>
      <c r="E28" s="73">
        <f t="shared" si="3"/>
        <v>1409.0079999999998</v>
      </c>
      <c r="F28" s="34">
        <v>3.5999999999999999E-3</v>
      </c>
      <c r="G28" s="22">
        <f>E28*F28</f>
        <v>5.0724287999999991</v>
      </c>
      <c r="H28" s="22">
        <f t="shared" si="1"/>
        <v>0</v>
      </c>
      <c r="I28" s="23">
        <f t="shared" si="2"/>
        <v>0</v>
      </c>
      <c r="J28" s="125">
        <f t="shared" si="9"/>
        <v>9.7735803251828551E-3</v>
      </c>
    </row>
    <row r="29" spans="1:10" s="1" customFormat="1" x14ac:dyDescent="0.2">
      <c r="A29" s="107" t="s">
        <v>43</v>
      </c>
      <c r="B29" s="73">
        <f>B9</f>
        <v>1409.0079999999998</v>
      </c>
      <c r="C29" s="34">
        <v>2.0999999999999999E-3</v>
      </c>
      <c r="D29" s="22">
        <f>B29*C29</f>
        <v>2.9589167999999995</v>
      </c>
      <c r="E29" s="73">
        <f t="shared" si="3"/>
        <v>1409.0079999999998</v>
      </c>
      <c r="F29" s="34">
        <v>2.0999999999999999E-3</v>
      </c>
      <c r="G29" s="22">
        <f>E29*F29</f>
        <v>2.9589167999999995</v>
      </c>
      <c r="H29" s="22">
        <f>G29-D29</f>
        <v>0</v>
      </c>
      <c r="I29" s="23">
        <f t="shared" si="2"/>
        <v>0</v>
      </c>
      <c r="J29" s="125">
        <f t="shared" si="9"/>
        <v>5.7012551896899995E-3</v>
      </c>
    </row>
    <row r="30" spans="1:10" x14ac:dyDescent="0.2">
      <c r="A30" s="107" t="s">
        <v>96</v>
      </c>
      <c r="B30" s="73">
        <f>B9</f>
        <v>1409.0079999999998</v>
      </c>
      <c r="C30" s="34">
        <v>1.1000000000000001E-3</v>
      </c>
      <c r="D30" s="22">
        <f>B30*C30</f>
        <v>1.5499087999999999</v>
      </c>
      <c r="E30" s="73">
        <f t="shared" si="3"/>
        <v>1409.0079999999998</v>
      </c>
      <c r="F30" s="34">
        <v>1.1000000000000001E-3</v>
      </c>
      <c r="G30" s="22">
        <f>E30*F30</f>
        <v>1.5499087999999999</v>
      </c>
      <c r="H30" s="22">
        <f>G30-D30</f>
        <v>0</v>
      </c>
      <c r="I30" s="23">
        <f t="shared" ref="I30" si="11">IF(ISERROR(H30/D30),0,(H30/D30))</f>
        <v>0</v>
      </c>
      <c r="J30" s="125">
        <f t="shared" ref="J30" si="12">G30/$G$38</f>
        <v>2.9863717660280949E-3</v>
      </c>
    </row>
    <row r="31" spans="1:10" x14ac:dyDescent="0.2">
      <c r="A31" s="107" t="s">
        <v>44</v>
      </c>
      <c r="B31" s="73">
        <v>1</v>
      </c>
      <c r="C31" s="22">
        <v>0.25</v>
      </c>
      <c r="D31" s="22">
        <f>B31*C31</f>
        <v>0.25</v>
      </c>
      <c r="E31" s="73">
        <f t="shared" si="3"/>
        <v>1</v>
      </c>
      <c r="F31" s="22">
        <f>C31</f>
        <v>0.25</v>
      </c>
      <c r="G31" s="22">
        <f>E31*F31</f>
        <v>0.25</v>
      </c>
      <c r="H31" s="22">
        <f t="shared" si="1"/>
        <v>0</v>
      </c>
      <c r="I31" s="23">
        <f t="shared" si="2"/>
        <v>0</v>
      </c>
      <c r="J31" s="125">
        <f t="shared" ref="J31:J38" si="13">G31/$G$38</f>
        <v>4.8170120816594099E-4</v>
      </c>
    </row>
    <row r="32" spans="1:10" x14ac:dyDescent="0.2">
      <c r="A32" s="110" t="s">
        <v>45</v>
      </c>
      <c r="B32" s="74"/>
      <c r="C32" s="35"/>
      <c r="D32" s="35">
        <f>SUM(D28:D31)</f>
        <v>9.8312543999999988</v>
      </c>
      <c r="E32" s="73"/>
      <c r="F32" s="35"/>
      <c r="G32" s="35">
        <f>SUM(G28:G31)</f>
        <v>9.8312543999999988</v>
      </c>
      <c r="H32" s="35">
        <f t="shared" si="1"/>
        <v>0</v>
      </c>
      <c r="I32" s="36">
        <f t="shared" si="2"/>
        <v>0</v>
      </c>
      <c r="J32" s="111">
        <f t="shared" si="13"/>
        <v>1.8942908489066893E-2</v>
      </c>
    </row>
    <row r="33" spans="1:10" ht="13.5" thickBot="1" x14ac:dyDescent="0.25">
      <c r="A33" s="170" t="s">
        <v>46</v>
      </c>
      <c r="B33" s="171">
        <f>B4</f>
        <v>1328</v>
      </c>
      <c r="C33" s="172">
        <v>7.0000000000000001E-3</v>
      </c>
      <c r="D33" s="173">
        <f>B33*C33</f>
        <v>9.2959999999999994</v>
      </c>
      <c r="E33" s="174">
        <f t="shared" si="3"/>
        <v>1328</v>
      </c>
      <c r="F33" s="172">
        <f>C33</f>
        <v>7.0000000000000001E-3</v>
      </c>
      <c r="G33" s="173">
        <f>E33*F33</f>
        <v>9.2959999999999994</v>
      </c>
      <c r="H33" s="173">
        <f t="shared" si="1"/>
        <v>0</v>
      </c>
      <c r="I33" s="175">
        <f t="shared" si="2"/>
        <v>0</v>
      </c>
      <c r="J33" s="176">
        <f t="shared" si="13"/>
        <v>1.7911577724442348E-2</v>
      </c>
    </row>
    <row r="34" spans="1:10" x14ac:dyDescent="0.2">
      <c r="A34" s="37" t="s">
        <v>115</v>
      </c>
      <c r="B34" s="38"/>
      <c r="C34" s="39"/>
      <c r="D34" s="39">
        <f>SUM(D15,D23,D26,D32,D33)</f>
        <v>417.93497039999994</v>
      </c>
      <c r="E34" s="38"/>
      <c r="F34" s="39"/>
      <c r="G34" s="39">
        <f>SUM(G15,G23,G26,G32,G33)</f>
        <v>459.28665799999993</v>
      </c>
      <c r="H34" s="39">
        <f t="shared" si="1"/>
        <v>41.351687599999991</v>
      </c>
      <c r="I34" s="40">
        <f>IF(ISERROR(H34/D34),0,(H34/D34))</f>
        <v>9.8942875156924168E-2</v>
      </c>
      <c r="J34" s="41">
        <f t="shared" si="13"/>
        <v>0.88495575221238931</v>
      </c>
    </row>
    <row r="35" spans="1:10" x14ac:dyDescent="0.2">
      <c r="A35" s="46" t="s">
        <v>106</v>
      </c>
      <c r="B35" s="43"/>
      <c r="C35" s="26">
        <v>0.13</v>
      </c>
      <c r="D35" s="26">
        <f>D34*C35</f>
        <v>54.331546151999994</v>
      </c>
      <c r="E35" s="26"/>
      <c r="F35" s="26">
        <f>C35</f>
        <v>0.13</v>
      </c>
      <c r="G35" s="26">
        <f>G34*F35</f>
        <v>59.707265539999995</v>
      </c>
      <c r="H35" s="26">
        <f t="shared" si="1"/>
        <v>5.3757193880000003</v>
      </c>
      <c r="I35" s="44">
        <f t="shared" ref="I35:I38" si="14">IF(ISERROR(H35/D35),0,(H35/D35))</f>
        <v>9.8942875156924195E-2</v>
      </c>
      <c r="J35" s="45">
        <f t="shared" si="13"/>
        <v>0.11504424778761062</v>
      </c>
    </row>
    <row r="36" spans="1:10" x14ac:dyDescent="0.2">
      <c r="A36" s="46" t="s">
        <v>107</v>
      </c>
      <c r="B36" s="24"/>
      <c r="C36" s="25"/>
      <c r="D36" s="25">
        <f>SUM(D34:D35)</f>
        <v>472.26651655199993</v>
      </c>
      <c r="E36" s="25"/>
      <c r="F36" s="25"/>
      <c r="G36" s="25">
        <f>SUM(G34:G35)</f>
        <v>518.99392353999997</v>
      </c>
      <c r="H36" s="25">
        <f t="shared" si="1"/>
        <v>46.727406988000041</v>
      </c>
      <c r="I36" s="27">
        <f t="shared" si="14"/>
        <v>9.8942875156924279E-2</v>
      </c>
      <c r="J36" s="47">
        <f t="shared" si="13"/>
        <v>1</v>
      </c>
    </row>
    <row r="37" spans="1:10" x14ac:dyDescent="0.2">
      <c r="A37" s="46" t="s">
        <v>108</v>
      </c>
      <c r="B37" s="43"/>
      <c r="C37" s="26">
        <v>0</v>
      </c>
      <c r="D37" s="26">
        <f>D34*C37</f>
        <v>0</v>
      </c>
      <c r="E37" s="26"/>
      <c r="F37" s="26">
        <f>C37</f>
        <v>0</v>
      </c>
      <c r="G37" s="26">
        <f>G34*F37</f>
        <v>0</v>
      </c>
      <c r="H37" s="26">
        <f t="shared" si="1"/>
        <v>0</v>
      </c>
      <c r="I37" s="44">
        <f t="shared" si="14"/>
        <v>0</v>
      </c>
      <c r="J37" s="45">
        <f t="shared" si="13"/>
        <v>0</v>
      </c>
    </row>
    <row r="38" spans="1:10" ht="13.5" thickBot="1" x14ac:dyDescent="0.25">
      <c r="A38" s="48" t="s">
        <v>109</v>
      </c>
      <c r="B38" s="49"/>
      <c r="C38" s="50"/>
      <c r="D38" s="50">
        <f>SUM(D36:D37)</f>
        <v>472.26651655199993</v>
      </c>
      <c r="E38" s="50"/>
      <c r="F38" s="50"/>
      <c r="G38" s="50">
        <f>SUM(G36:G37)</f>
        <v>518.99392353999997</v>
      </c>
      <c r="H38" s="50">
        <f t="shared" si="1"/>
        <v>46.727406988000041</v>
      </c>
      <c r="I38" s="51">
        <f t="shared" si="14"/>
        <v>9.8942875156924279E-2</v>
      </c>
      <c r="J38" s="52">
        <f t="shared" si="13"/>
        <v>1</v>
      </c>
    </row>
    <row r="39" spans="1:10" x14ac:dyDescent="0.2">
      <c r="F39" s="69"/>
      <c r="G39" s="129"/>
    </row>
    <row r="40" spans="1:10" x14ac:dyDescent="0.2">
      <c r="F40" s="132"/>
    </row>
    <row r="41" spans="1:10" x14ac:dyDescent="0.2">
      <c r="F41" s="130"/>
    </row>
    <row r="42" spans="1:10" x14ac:dyDescent="0.2">
      <c r="F42" s="131"/>
      <c r="G42" s="129"/>
      <c r="H42" s="129"/>
    </row>
    <row r="43" spans="1:10" x14ac:dyDescent="0.2">
      <c r="F43" s="130"/>
      <c r="G43" s="129"/>
    </row>
  </sheetData>
  <mergeCells count="1">
    <mergeCell ref="A1:J1"/>
  </mergeCells>
  <dataValidations count="1">
    <dataValidation type="list" allowBlank="1" showInputMessage="1" showErrorMessage="1" sqref="WVI983034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B131064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B196600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B262136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B327672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B393208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B458744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B524280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B589816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B655352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B720888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B786424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B851960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B917496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B983032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formula1>Demand</formula1>
    </dataValidation>
  </dataValidation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1" tint="0.499984740745262"/>
    <pageSetUpPr fitToPage="1"/>
  </sheetPr>
  <dimension ref="A1:J40"/>
  <sheetViews>
    <sheetView tabSelected="1" view="pageBreakPreview" topLeftCell="A16" zoomScaleNormal="100" zoomScaleSheetLayoutView="100" workbookViewId="0">
      <selection activeCell="N25" sqref="N25"/>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101</v>
      </c>
      <c r="B1" s="192"/>
      <c r="C1" s="192"/>
      <c r="D1" s="192"/>
      <c r="E1" s="192"/>
      <c r="F1" s="192"/>
      <c r="G1" s="192"/>
      <c r="H1" s="192"/>
      <c r="I1" s="192"/>
      <c r="J1" s="193"/>
    </row>
    <row r="3" spans="1:10" x14ac:dyDescent="0.2">
      <c r="A3" s="13" t="s">
        <v>13</v>
      </c>
      <c r="B3" s="13" t="s">
        <v>125</v>
      </c>
    </row>
    <row r="4" spans="1:10" x14ac:dyDescent="0.2">
      <c r="A4" s="15" t="s">
        <v>62</v>
      </c>
      <c r="B4" s="79">
        <v>5000</v>
      </c>
    </row>
    <row r="5" spans="1:10" x14ac:dyDescent="0.2">
      <c r="A5" s="15" t="s">
        <v>16</v>
      </c>
      <c r="B5" s="79">
        <v>100</v>
      </c>
    </row>
    <row r="6" spans="1:10" x14ac:dyDescent="0.2">
      <c r="A6" s="15" t="s">
        <v>20</v>
      </c>
      <c r="B6" s="80">
        <f>VLOOKUP($B$3,'Data for Bill Impacts'!$A$3:$Y$15,2,0)</f>
        <v>1.0609999999999999</v>
      </c>
    </row>
    <row r="7" spans="1:10" x14ac:dyDescent="0.2">
      <c r="A7" s="81" t="s">
        <v>48</v>
      </c>
      <c r="B7" s="82">
        <f>B4/(B5*730)</f>
        <v>6.8493150684931503E-2</v>
      </c>
    </row>
    <row r="8" spans="1:10" x14ac:dyDescent="0.2">
      <c r="A8" s="15" t="s">
        <v>15</v>
      </c>
      <c r="B8" s="79">
        <f>VLOOKUP($B$3,'Data for Bill Impacts'!$A$3:$Y$15,4,0)</f>
        <v>0</v>
      </c>
    </row>
    <row r="9" spans="1:10" x14ac:dyDescent="0.2">
      <c r="A9" s="15" t="s">
        <v>82</v>
      </c>
      <c r="B9" s="79">
        <f>B4*B6</f>
        <v>5305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5305</v>
      </c>
      <c r="C13" s="103">
        <v>0.10299999999999999</v>
      </c>
      <c r="D13" s="104">
        <f>B13*C13</f>
        <v>546.41499999999996</v>
      </c>
      <c r="E13" s="102">
        <f>B13</f>
        <v>5305</v>
      </c>
      <c r="F13" s="103">
        <f>C13</f>
        <v>0.10299999999999999</v>
      </c>
      <c r="G13" s="104">
        <f>E13*F13</f>
        <v>546.41499999999996</v>
      </c>
      <c r="H13" s="104">
        <f>G13-D13</f>
        <v>0</v>
      </c>
      <c r="I13" s="105">
        <f>IF(ISERROR(H13/D13),0,(H13/D13))</f>
        <v>0</v>
      </c>
      <c r="J13" s="124">
        <f t="shared" ref="J13:J21" si="0">G13/$G$38</f>
        <v>0.31169738106204509</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546.41499999999996</v>
      </c>
      <c r="E15" s="76"/>
      <c r="F15" s="25"/>
      <c r="G15" s="25">
        <f>SUM(G13:G14)</f>
        <v>546.41499999999996</v>
      </c>
      <c r="H15" s="25">
        <f t="shared" si="2"/>
        <v>0</v>
      </c>
      <c r="I15" s="27">
        <f t="shared" si="3"/>
        <v>0</v>
      </c>
      <c r="J15" s="47">
        <f t="shared" si="0"/>
        <v>0.31169738106204509</v>
      </c>
    </row>
    <row r="16" spans="1:10" s="1" customFormat="1" x14ac:dyDescent="0.2">
      <c r="A16" s="107" t="s">
        <v>38</v>
      </c>
      <c r="B16" s="73">
        <v>1</v>
      </c>
      <c r="C16" s="78">
        <f>VLOOKUP($B$3,'Data for Bill Impacts'!$A$3:$Y$15,7,0)</f>
        <v>149.34</v>
      </c>
      <c r="D16" s="22">
        <f>B16*C16</f>
        <v>149.34</v>
      </c>
      <c r="E16" s="73">
        <f t="shared" ref="E16:E33" si="4">B16</f>
        <v>1</v>
      </c>
      <c r="F16" s="78">
        <f>VLOOKUP($B$3,'Data for Bill Impacts'!$A$3:$Y$15,17,0)</f>
        <v>198.03</v>
      </c>
      <c r="G16" s="22">
        <f>E16*F16</f>
        <v>198.03</v>
      </c>
      <c r="H16" s="22">
        <f t="shared" si="2"/>
        <v>48.69</v>
      </c>
      <c r="I16" s="23">
        <f t="shared" si="3"/>
        <v>0.32603455202892728</v>
      </c>
      <c r="J16" s="125">
        <f t="shared" si="0"/>
        <v>0.11296438123352541</v>
      </c>
    </row>
    <row r="17" spans="1:10"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hidden="1" x14ac:dyDescent="0.2">
      <c r="A19" s="107" t="s">
        <v>85</v>
      </c>
      <c r="B19" s="73">
        <v>1</v>
      </c>
      <c r="C19" s="78">
        <f>VLOOKUP($B$3,'Data for Bill Impacts'!$A$3:$Y$15,13,0)</f>
        <v>2.72</v>
      </c>
      <c r="D19" s="22">
        <f t="shared" si="6"/>
        <v>2.72</v>
      </c>
      <c r="E19" s="73">
        <f t="shared" si="4"/>
        <v>1</v>
      </c>
      <c r="F19" s="78">
        <f>VLOOKUP($B$3,'Data for Bill Impacts'!$A$3:$Y$15,22,0)</f>
        <v>0.01</v>
      </c>
      <c r="G19" s="22">
        <f t="shared" si="5"/>
        <v>0.01</v>
      </c>
      <c r="H19" s="22">
        <f t="shared" si="2"/>
        <v>-2.7100000000000004</v>
      </c>
      <c r="I19" s="23">
        <f t="shared" si="3"/>
        <v>-0.99632352941176483</v>
      </c>
      <c r="J19" s="125">
        <f t="shared" si="0"/>
        <v>5.704407475308055E-6</v>
      </c>
    </row>
    <row r="20" spans="1:10" x14ac:dyDescent="0.2">
      <c r="A20" s="107" t="s">
        <v>39</v>
      </c>
      <c r="B20" s="73">
        <f>IF($B$10="kWh",$B$4,$B$5)</f>
        <v>100</v>
      </c>
      <c r="C20" s="78">
        <f>VLOOKUP($B$3,'Data for Bill Impacts'!$A$3:$Y$15,10,0)</f>
        <v>6.9518000000000004</v>
      </c>
      <c r="D20" s="22">
        <f>B20*C20</f>
        <v>695.18000000000006</v>
      </c>
      <c r="E20" s="73">
        <f t="shared" si="4"/>
        <v>100</v>
      </c>
      <c r="F20" s="126">
        <f>VLOOKUP($B$3,'Data for Bill Impacts'!$A$3:$Y$15,19,0)</f>
        <v>6.0591999999999997</v>
      </c>
      <c r="G20" s="22">
        <f>E20*F20</f>
        <v>605.91999999999996</v>
      </c>
      <c r="H20" s="22">
        <f t="shared" si="2"/>
        <v>-89.260000000000105</v>
      </c>
      <c r="I20" s="23">
        <f t="shared" si="3"/>
        <v>-0.12839840041428133</v>
      </c>
      <c r="J20" s="125">
        <f t="shared" si="0"/>
        <v>0.34564145774386562</v>
      </c>
    </row>
    <row r="21" spans="1:10" s="1" customFormat="1" x14ac:dyDescent="0.2">
      <c r="A21" s="107" t="s">
        <v>124</v>
      </c>
      <c r="B21" s="73">
        <f>IF($B$10="kWh",$B$4,$B$5)</f>
        <v>100</v>
      </c>
      <c r="C21" s="78">
        <f>VLOOKUP($B$3,'Data for Bill Impacts'!$A$3:$Y$15,14,0)</f>
        <v>6.3299999999999995E-2</v>
      </c>
      <c r="D21" s="22">
        <f>B21*C21</f>
        <v>6.3299999999999992</v>
      </c>
      <c r="E21" s="73">
        <f t="shared" si="4"/>
        <v>100</v>
      </c>
      <c r="F21" s="78">
        <f>VLOOKUP($B$3,'Data for Bill Impacts'!$A$3:$Y$15,23,0)</f>
        <v>1.72E-2</v>
      </c>
      <c r="G21" s="22">
        <f>E21*F21</f>
        <v>1.72</v>
      </c>
      <c r="H21" s="22">
        <f t="shared" si="2"/>
        <v>-4.6099999999999994</v>
      </c>
      <c r="I21" s="23">
        <f>IF(ISERROR(H21/D21),0,(H21/D21))</f>
        <v>-0.72827804107424965</v>
      </c>
      <c r="J21" s="125">
        <f t="shared" si="0"/>
        <v>9.8115808575298543E-4</v>
      </c>
    </row>
    <row r="22" spans="1:10" s="1" customFormat="1" x14ac:dyDescent="0.2">
      <c r="A22" s="107" t="s">
        <v>112</v>
      </c>
      <c r="B22" s="73">
        <f>B9</f>
        <v>5305</v>
      </c>
      <c r="C22" s="126">
        <f>VLOOKUP($B$3,'Data for Bill Impacts'!$A$3:$Y$15,20,0)</f>
        <v>-1E-3</v>
      </c>
      <c r="D22" s="22">
        <f>B22*C22</f>
        <v>-5.3049999999999997</v>
      </c>
      <c r="E22" s="73">
        <f>B22</f>
        <v>5305</v>
      </c>
      <c r="F22" s="126">
        <f>VLOOKUP($B$3,'Data for Bill Impacts'!$A$3:$Y$15,21,0)</f>
        <v>1.9E-3</v>
      </c>
      <c r="G22" s="22">
        <f>E22*F22</f>
        <v>10.079499999999999</v>
      </c>
      <c r="H22" s="22">
        <f t="shared" ref="H22" si="7">G22-D22</f>
        <v>15.384499999999999</v>
      </c>
      <c r="I22" s="23">
        <f>IF(ISERROR(H22/D22),0,(H22/D22))</f>
        <v>-2.9</v>
      </c>
      <c r="J22" s="125">
        <f t="shared" ref="J22" si="8">G22/$G$38</f>
        <v>5.7497575147367535E-3</v>
      </c>
    </row>
    <row r="23" spans="1:10" x14ac:dyDescent="0.2">
      <c r="A23" s="110" t="s">
        <v>93</v>
      </c>
      <c r="B23" s="74"/>
      <c r="C23" s="35"/>
      <c r="D23" s="35">
        <f>SUM(D16:D22)</f>
        <v>848.2650000000001</v>
      </c>
      <c r="E23" s="73"/>
      <c r="F23" s="35"/>
      <c r="G23" s="35">
        <f>SUM(G16:G22)</f>
        <v>815.7595</v>
      </c>
      <c r="H23" s="35">
        <f t="shared" si="2"/>
        <v>-32.505500000000097</v>
      </c>
      <c r="I23" s="36">
        <f t="shared" si="3"/>
        <v>-3.8319982552622228E-2</v>
      </c>
      <c r="J23" s="111">
        <f t="shared" ref="J23:J29" si="9">G23/$G$38</f>
        <v>0.46534245898535614</v>
      </c>
    </row>
    <row r="24" spans="1:10" x14ac:dyDescent="0.2">
      <c r="A24" s="107" t="s">
        <v>40</v>
      </c>
      <c r="B24" s="73">
        <f>B5</f>
        <v>100</v>
      </c>
      <c r="C24" s="78">
        <f>VLOOKUP($B$3,'Data for Bill Impacts'!$A$3:$Y$15,15,0)</f>
        <v>0.55489999999999995</v>
      </c>
      <c r="D24" s="22">
        <f>B24*C24</f>
        <v>55.489999999999995</v>
      </c>
      <c r="E24" s="73">
        <f t="shared" si="4"/>
        <v>100</v>
      </c>
      <c r="F24" s="126">
        <f>VLOOKUP($B$3,'Data for Bill Impacts'!$A$3:$Y$15,24,0)</f>
        <v>0.63108279999999994</v>
      </c>
      <c r="G24" s="22">
        <f>E24*F24</f>
        <v>63.108279999999993</v>
      </c>
      <c r="H24" s="22">
        <f t="shared" si="2"/>
        <v>7.6182799999999986</v>
      </c>
      <c r="I24" s="23">
        <f t="shared" si="3"/>
        <v>0.13729104343124887</v>
      </c>
      <c r="J24" s="125">
        <f t="shared" si="9"/>
        <v>3.5999534418583376E-2</v>
      </c>
    </row>
    <row r="25" spans="1:10" s="1" customFormat="1" x14ac:dyDescent="0.2">
      <c r="A25" s="107" t="s">
        <v>41</v>
      </c>
      <c r="B25" s="73">
        <f>B5</f>
        <v>100</v>
      </c>
      <c r="C25" s="78">
        <f>VLOOKUP($B$3,'Data for Bill Impacts'!$A$3:$Y$15,16,0)</f>
        <v>0.3553</v>
      </c>
      <c r="D25" s="22">
        <f>B25*C25</f>
        <v>35.53</v>
      </c>
      <c r="E25" s="73">
        <f t="shared" si="4"/>
        <v>100</v>
      </c>
      <c r="F25" s="126">
        <f>VLOOKUP($B$3,'Data for Bill Impacts'!$A$3:$Y$15,25,0)</f>
        <v>0.54747599999999996</v>
      </c>
      <c r="G25" s="22">
        <f>E25*F25</f>
        <v>54.747599999999998</v>
      </c>
      <c r="H25" s="22">
        <f t="shared" si="2"/>
        <v>19.217599999999997</v>
      </c>
      <c r="I25" s="23">
        <f t="shared" si="3"/>
        <v>0.54088376020264561</v>
      </c>
      <c r="J25" s="125">
        <f t="shared" si="9"/>
        <v>3.1230261869517526E-2</v>
      </c>
    </row>
    <row r="26" spans="1:10" x14ac:dyDescent="0.2">
      <c r="A26" s="110" t="s">
        <v>76</v>
      </c>
      <c r="B26" s="74"/>
      <c r="C26" s="35"/>
      <c r="D26" s="35">
        <f>SUM(D24:D25)</f>
        <v>91.02</v>
      </c>
      <c r="E26" s="73"/>
      <c r="F26" s="35"/>
      <c r="G26" s="35">
        <f>SUM(G24:G25)</f>
        <v>117.85587999999998</v>
      </c>
      <c r="H26" s="35">
        <f t="shared" si="2"/>
        <v>26.835879999999989</v>
      </c>
      <c r="I26" s="36">
        <f t="shared" si="3"/>
        <v>0.29483498132278607</v>
      </c>
      <c r="J26" s="111">
        <f t="shared" si="9"/>
        <v>6.7229796288100899E-2</v>
      </c>
    </row>
    <row r="27" spans="1:10" s="1" customFormat="1" x14ac:dyDescent="0.2">
      <c r="A27" s="110" t="s">
        <v>80</v>
      </c>
      <c r="B27" s="74"/>
      <c r="C27" s="35"/>
      <c r="D27" s="35">
        <f>D23+D26</f>
        <v>939.28500000000008</v>
      </c>
      <c r="E27" s="73"/>
      <c r="F27" s="35"/>
      <c r="G27" s="35">
        <f>G23+G26</f>
        <v>933.61537999999996</v>
      </c>
      <c r="H27" s="35">
        <f t="shared" si="2"/>
        <v>-5.6696200000001227</v>
      </c>
      <c r="I27" s="36">
        <f t="shared" si="3"/>
        <v>-6.0361019285947526E-3</v>
      </c>
      <c r="J27" s="111">
        <f t="shared" si="9"/>
        <v>0.53257225527345697</v>
      </c>
    </row>
    <row r="28" spans="1:10" x14ac:dyDescent="0.2">
      <c r="A28" s="107" t="s">
        <v>42</v>
      </c>
      <c r="B28" s="73">
        <f>B9</f>
        <v>5305</v>
      </c>
      <c r="C28" s="34">
        <v>3.5999999999999999E-3</v>
      </c>
      <c r="D28" s="22">
        <f>B28*C28</f>
        <v>19.097999999999999</v>
      </c>
      <c r="E28" s="73">
        <f t="shared" si="4"/>
        <v>5305</v>
      </c>
      <c r="F28" s="34">
        <v>3.5999999999999999E-3</v>
      </c>
      <c r="G28" s="22">
        <f>E28*F28</f>
        <v>19.097999999999999</v>
      </c>
      <c r="H28" s="22">
        <f t="shared" si="2"/>
        <v>0</v>
      </c>
      <c r="I28" s="23">
        <f t="shared" si="3"/>
        <v>0</v>
      </c>
      <c r="J28" s="125">
        <f t="shared" si="9"/>
        <v>1.0894277396343324E-2</v>
      </c>
    </row>
    <row r="29" spans="1:10" x14ac:dyDescent="0.2">
      <c r="A29" s="107" t="s">
        <v>43</v>
      </c>
      <c r="B29" s="73">
        <f>B9</f>
        <v>5305</v>
      </c>
      <c r="C29" s="34">
        <v>2.0999999999999999E-3</v>
      </c>
      <c r="D29" s="22">
        <f>B29*C29</f>
        <v>11.140499999999999</v>
      </c>
      <c r="E29" s="73">
        <f t="shared" si="4"/>
        <v>5305</v>
      </c>
      <c r="F29" s="34">
        <v>2.0999999999999999E-3</v>
      </c>
      <c r="G29" s="22">
        <f>E29*F29</f>
        <v>11.140499999999999</v>
      </c>
      <c r="H29" s="22">
        <f>G29-D29</f>
        <v>0</v>
      </c>
      <c r="I29" s="23">
        <f t="shared" si="3"/>
        <v>0</v>
      </c>
      <c r="J29" s="125">
        <f t="shared" si="9"/>
        <v>6.3549951478669379E-3</v>
      </c>
    </row>
    <row r="30" spans="1:10" x14ac:dyDescent="0.2">
      <c r="A30" s="107" t="s">
        <v>96</v>
      </c>
      <c r="B30" s="73">
        <f>B9</f>
        <v>5305</v>
      </c>
      <c r="C30" s="34">
        <v>1.1000000000000001E-3</v>
      </c>
      <c r="D30" s="22">
        <f>B30*C30</f>
        <v>5.8355000000000006</v>
      </c>
      <c r="E30" s="73">
        <f t="shared" si="4"/>
        <v>5305</v>
      </c>
      <c r="F30" s="34">
        <v>1.1000000000000001E-3</v>
      </c>
      <c r="G30" s="22">
        <f>E30*F30</f>
        <v>5.8355000000000006</v>
      </c>
      <c r="H30" s="22">
        <f>G30-D30</f>
        <v>0</v>
      </c>
      <c r="I30" s="23">
        <f t="shared" ref="I30" si="10">IF(ISERROR(H30/D30),0,(H30/D30))</f>
        <v>0</v>
      </c>
      <c r="J30" s="125">
        <f t="shared" ref="J30" si="11">G30/$G$38</f>
        <v>3.3288069822160157E-3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2">G31/$G$38</f>
        <v>1.4261018688270136E-4</v>
      </c>
    </row>
    <row r="32" spans="1:10" x14ac:dyDescent="0.2">
      <c r="A32" s="110" t="s">
        <v>45</v>
      </c>
      <c r="B32" s="74"/>
      <c r="C32" s="35"/>
      <c r="D32" s="35">
        <f>SUM(D28:D31)</f>
        <v>36.323999999999998</v>
      </c>
      <c r="E32" s="73"/>
      <c r="F32" s="35"/>
      <c r="G32" s="35">
        <f>SUM(G28:G31)</f>
        <v>36.323999999999998</v>
      </c>
      <c r="H32" s="35">
        <f t="shared" si="2"/>
        <v>0</v>
      </c>
      <c r="I32" s="36">
        <f t="shared" si="3"/>
        <v>0</v>
      </c>
      <c r="J32" s="111">
        <f t="shared" si="12"/>
        <v>2.0720689713308978E-2</v>
      </c>
    </row>
    <row r="33" spans="1:10" ht="13.5" thickBot="1" x14ac:dyDescent="0.25">
      <c r="A33" s="112" t="s">
        <v>46</v>
      </c>
      <c r="B33" s="113">
        <f>B4</f>
        <v>5000</v>
      </c>
      <c r="C33" s="114">
        <v>7.0000000000000001E-3</v>
      </c>
      <c r="D33" s="115">
        <f>B33*C33</f>
        <v>35</v>
      </c>
      <c r="E33" s="116">
        <f t="shared" si="4"/>
        <v>5000</v>
      </c>
      <c r="F33" s="114">
        <f>C33</f>
        <v>7.0000000000000001E-3</v>
      </c>
      <c r="G33" s="115">
        <f>E33*F33</f>
        <v>35</v>
      </c>
      <c r="H33" s="115">
        <f t="shared" si="2"/>
        <v>0</v>
      </c>
      <c r="I33" s="117">
        <f t="shared" si="3"/>
        <v>0</v>
      </c>
      <c r="J33" s="118">
        <f t="shared" si="12"/>
        <v>1.9965426163578194E-2</v>
      </c>
    </row>
    <row r="34" spans="1:10" x14ac:dyDescent="0.2">
      <c r="A34" s="37" t="s">
        <v>115</v>
      </c>
      <c r="B34" s="38"/>
      <c r="C34" s="39"/>
      <c r="D34" s="39">
        <f>SUM(D15,D23,D26,D32,D33)</f>
        <v>1557.0240000000001</v>
      </c>
      <c r="E34" s="38"/>
      <c r="F34" s="39"/>
      <c r="G34" s="39">
        <f>SUM(G15,G23,G26,G32,G33)</f>
        <v>1551.3543800000002</v>
      </c>
      <c r="H34" s="39">
        <f t="shared" si="2"/>
        <v>-5.6696199999998953</v>
      </c>
      <c r="I34" s="40">
        <f>IF(ISERROR(H34/D34),0,(H34/D34))</f>
        <v>-3.6413183098011944E-3</v>
      </c>
      <c r="J34" s="41">
        <f t="shared" si="12"/>
        <v>0.88495575221238942</v>
      </c>
    </row>
    <row r="35" spans="1:10" x14ac:dyDescent="0.2">
      <c r="A35" s="46" t="s">
        <v>106</v>
      </c>
      <c r="B35" s="43"/>
      <c r="C35" s="26">
        <v>0.13</v>
      </c>
      <c r="D35" s="26">
        <f>D34*C35</f>
        <v>202.41312000000002</v>
      </c>
      <c r="E35" s="26"/>
      <c r="F35" s="26">
        <f>C35</f>
        <v>0.13</v>
      </c>
      <c r="G35" s="26">
        <f>G34*F35</f>
        <v>201.67606940000005</v>
      </c>
      <c r="H35" s="26">
        <f t="shared" si="2"/>
        <v>-0.73705059999997502</v>
      </c>
      <c r="I35" s="44">
        <f t="shared" ref="I35:I38" si="13">IF(ISERROR(H35/D35),0,(H35/D35))</f>
        <v>-3.641318309801138E-3</v>
      </c>
      <c r="J35" s="45">
        <f t="shared" si="12"/>
        <v>0.11504424778761063</v>
      </c>
    </row>
    <row r="36" spans="1:10" x14ac:dyDescent="0.2">
      <c r="A36" s="46" t="s">
        <v>107</v>
      </c>
      <c r="B36" s="24"/>
      <c r="C36" s="25"/>
      <c r="D36" s="25">
        <f>SUM(D34:D35)</f>
        <v>1759.43712</v>
      </c>
      <c r="E36" s="25"/>
      <c r="F36" s="25"/>
      <c r="G36" s="25">
        <f>SUM(G34:G35)</f>
        <v>1753.0304494000002</v>
      </c>
      <c r="H36" s="25">
        <f t="shared" si="2"/>
        <v>-6.4066705999998703</v>
      </c>
      <c r="I36" s="27">
        <f t="shared" si="13"/>
        <v>-3.6413183098011879E-3</v>
      </c>
      <c r="J36" s="47">
        <f t="shared" si="12"/>
        <v>1</v>
      </c>
    </row>
    <row r="37" spans="1:10" x14ac:dyDescent="0.2">
      <c r="A37" s="46" t="s">
        <v>108</v>
      </c>
      <c r="B37" s="43"/>
      <c r="C37" s="26">
        <v>0</v>
      </c>
      <c r="D37" s="26">
        <f>D34*C37</f>
        <v>0</v>
      </c>
      <c r="E37" s="26"/>
      <c r="F37" s="26">
        <f>C37</f>
        <v>0</v>
      </c>
      <c r="G37" s="26">
        <f>G34*F37</f>
        <v>0</v>
      </c>
      <c r="H37" s="26">
        <f t="shared" si="2"/>
        <v>0</v>
      </c>
      <c r="I37" s="44">
        <f t="shared" si="13"/>
        <v>0</v>
      </c>
      <c r="J37" s="45">
        <f t="shared" si="12"/>
        <v>0</v>
      </c>
    </row>
    <row r="38" spans="1:10" ht="13.5" thickBot="1" x14ac:dyDescent="0.25">
      <c r="A38" s="46" t="s">
        <v>109</v>
      </c>
      <c r="B38" s="49"/>
      <c r="C38" s="50"/>
      <c r="D38" s="50">
        <f>SUM(D36:D37)</f>
        <v>1759.43712</v>
      </c>
      <c r="E38" s="50"/>
      <c r="F38" s="50"/>
      <c r="G38" s="50">
        <f>SUM(G36:G37)</f>
        <v>1753.0304494000002</v>
      </c>
      <c r="H38" s="50">
        <f t="shared" si="2"/>
        <v>-6.4066705999998703</v>
      </c>
      <c r="I38" s="51">
        <f t="shared" si="13"/>
        <v>-3.6413183098011879E-3</v>
      </c>
      <c r="J38" s="52">
        <f t="shared" si="12"/>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theme="1" tint="0.499984740745262"/>
    <pageSetUpPr fitToPage="1"/>
  </sheetPr>
  <dimension ref="A1:J38"/>
  <sheetViews>
    <sheetView tabSelected="1" view="pageBreakPreview" topLeftCell="A10" zoomScaleNormal="100" zoomScaleSheetLayoutView="100" workbookViewId="0">
      <selection activeCell="N25" sqref="N25"/>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98</v>
      </c>
      <c r="B1" s="192"/>
      <c r="C1" s="192"/>
      <c r="D1" s="192"/>
      <c r="E1" s="192"/>
      <c r="F1" s="192"/>
      <c r="G1" s="192"/>
      <c r="H1" s="192"/>
      <c r="I1" s="192"/>
      <c r="J1" s="193"/>
    </row>
    <row r="3" spans="1:10" x14ac:dyDescent="0.2">
      <c r="A3" s="13" t="s">
        <v>13</v>
      </c>
      <c r="B3" s="13" t="s">
        <v>11</v>
      </c>
    </row>
    <row r="4" spans="1:10" x14ac:dyDescent="0.2">
      <c r="A4" s="15" t="s">
        <v>62</v>
      </c>
      <c r="B4" s="79">
        <v>200000</v>
      </c>
    </row>
    <row r="5" spans="1:10" x14ac:dyDescent="0.2">
      <c r="A5" s="15" t="s">
        <v>16</v>
      </c>
      <c r="B5" s="79">
        <v>500</v>
      </c>
    </row>
    <row r="6" spans="1:10" x14ac:dyDescent="0.2">
      <c r="A6" s="15" t="s">
        <v>20</v>
      </c>
      <c r="B6" s="80">
        <f>VLOOKUP($B$3,'Data for Bill Impacts'!$A$3:$Y$15,2,0)</f>
        <v>1.034</v>
      </c>
    </row>
    <row r="7" spans="1:10" x14ac:dyDescent="0.2">
      <c r="A7" s="81" t="s">
        <v>48</v>
      </c>
      <c r="B7" s="82">
        <f>B4/(B5*730)</f>
        <v>0.54794520547945202</v>
      </c>
    </row>
    <row r="8" spans="1:10" x14ac:dyDescent="0.2">
      <c r="A8" s="15" t="s">
        <v>15</v>
      </c>
      <c r="B8" s="79">
        <f>VLOOKUP($B$3,'Data for Bill Impacts'!$A$3:$Y$15,4,0)</f>
        <v>0</v>
      </c>
    </row>
    <row r="9" spans="1:10" x14ac:dyDescent="0.2">
      <c r="A9" s="15" t="s">
        <v>82</v>
      </c>
      <c r="B9" s="79">
        <f>B4*B6</f>
        <v>206800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206800</v>
      </c>
      <c r="C13" s="103">
        <v>0.10299999999999999</v>
      </c>
      <c r="D13" s="104">
        <f>B13*C13</f>
        <v>21300.399999999998</v>
      </c>
      <c r="E13" s="102">
        <f>B13</f>
        <v>206800</v>
      </c>
      <c r="F13" s="103">
        <f>C13</f>
        <v>0.10299999999999999</v>
      </c>
      <c r="G13" s="104">
        <f>E13*F13</f>
        <v>21300.399999999998</v>
      </c>
      <c r="H13" s="104">
        <f>G13-D13</f>
        <v>0</v>
      </c>
      <c r="I13" s="105">
        <f>IF(ISERROR(H13/D13),0,(H13/D13))</f>
        <v>0</v>
      </c>
      <c r="J13" s="124">
        <f t="shared" ref="J13:J27" si="0">G13/$G$36</f>
        <v>0.63798026663754914</v>
      </c>
    </row>
    <row r="14" spans="1:10" x14ac:dyDescent="0.2">
      <c r="A14" s="107" t="s">
        <v>32</v>
      </c>
      <c r="B14" s="73">
        <v>0</v>
      </c>
      <c r="C14" s="21">
        <v>0.121</v>
      </c>
      <c r="D14" s="22">
        <f>B14*C14</f>
        <v>0</v>
      </c>
      <c r="E14" s="73">
        <f t="shared" ref="E14" si="1">B14</f>
        <v>0</v>
      </c>
      <c r="F14" s="21">
        <f>C14</f>
        <v>0.121</v>
      </c>
      <c r="G14" s="22">
        <f>E14*F14</f>
        <v>0</v>
      </c>
      <c r="H14" s="22">
        <f t="shared" ref="H14:H36" si="2">G14-D14</f>
        <v>0</v>
      </c>
      <c r="I14" s="23">
        <f t="shared" ref="I14:I31" si="3">IF(ISERROR(H14/D14),0,(H14/D14))</f>
        <v>0</v>
      </c>
      <c r="J14" s="125">
        <f t="shared" si="0"/>
        <v>0</v>
      </c>
    </row>
    <row r="15" spans="1:10" s="1" customFormat="1" x14ac:dyDescent="0.2">
      <c r="A15" s="46" t="s">
        <v>33</v>
      </c>
      <c r="B15" s="24"/>
      <c r="C15" s="25"/>
      <c r="D15" s="25">
        <f>SUM(D13:D14)</f>
        <v>21300.399999999998</v>
      </c>
      <c r="E15" s="76"/>
      <c r="F15" s="25"/>
      <c r="G15" s="25">
        <f>SUM(G13:G14)</f>
        <v>21300.399999999998</v>
      </c>
      <c r="H15" s="25">
        <f t="shared" si="2"/>
        <v>0</v>
      </c>
      <c r="I15" s="27">
        <f t="shared" si="3"/>
        <v>0</v>
      </c>
      <c r="J15" s="47">
        <f t="shared" si="0"/>
        <v>0.63798026663754914</v>
      </c>
    </row>
    <row r="16" spans="1:10" s="1" customFormat="1" x14ac:dyDescent="0.2">
      <c r="A16" s="107" t="s">
        <v>38</v>
      </c>
      <c r="B16" s="73">
        <v>1</v>
      </c>
      <c r="C16" s="78">
        <f>VLOOKUP($B$3,'Data for Bill Impacts'!$A$3:$Y$15,7,0)</f>
        <v>1256.56</v>
      </c>
      <c r="D16" s="22">
        <f>B16*C16</f>
        <v>1256.56</v>
      </c>
      <c r="E16" s="73">
        <f t="shared" ref="E16:E31" si="4">B16</f>
        <v>1</v>
      </c>
      <c r="F16" s="78">
        <f>VLOOKUP($B$3,'Data for Bill Impacts'!$A$3:$Y$15,17,0)</f>
        <v>1204.08</v>
      </c>
      <c r="G16" s="22">
        <f>E16*F16</f>
        <v>1204.08</v>
      </c>
      <c r="H16" s="22">
        <f t="shared" si="2"/>
        <v>-52.480000000000018</v>
      </c>
      <c r="I16" s="23">
        <f t="shared" si="3"/>
        <v>-4.1764818233908464E-2</v>
      </c>
      <c r="J16" s="125">
        <f t="shared" si="0"/>
        <v>3.6064077644219837E-2</v>
      </c>
    </row>
    <row r="17" spans="1:10" x14ac:dyDescent="0.2">
      <c r="A17" s="107" t="s">
        <v>85</v>
      </c>
      <c r="B17" s="73">
        <v>1</v>
      </c>
      <c r="C17" s="78">
        <f>VLOOKUP($B$3,'Data for Bill Impacts'!$A$3:$Y$15,13,0)</f>
        <v>11.86</v>
      </c>
      <c r="D17" s="22">
        <f t="shared" ref="D17" si="5">B17*C17</f>
        <v>11.86</v>
      </c>
      <c r="E17" s="73">
        <f t="shared" si="4"/>
        <v>1</v>
      </c>
      <c r="F17" s="78">
        <f>VLOOKUP($B$3,'Data for Bill Impacts'!$A$3:$Y$15,22,0)</f>
        <v>3.83</v>
      </c>
      <c r="G17" s="22">
        <f t="shared" ref="G17" si="6">E17*F17</f>
        <v>3.83</v>
      </c>
      <c r="H17" s="22">
        <f t="shared" si="2"/>
        <v>-8.0299999999999994</v>
      </c>
      <c r="I17" s="23">
        <f t="shared" si="3"/>
        <v>-0.67706576728499157</v>
      </c>
      <c r="J17" s="125">
        <f t="shared" si="0"/>
        <v>1.147144852313484E-4</v>
      </c>
    </row>
    <row r="18" spans="1:10" x14ac:dyDescent="0.2">
      <c r="A18" s="107" t="s">
        <v>39</v>
      </c>
      <c r="B18" s="73">
        <f>IF($B$10="kWh",$B$4,$B$5)</f>
        <v>500</v>
      </c>
      <c r="C18" s="78">
        <f>VLOOKUP($B$3,'Data for Bill Impacts'!$A$3:$Y$15,10,0)</f>
        <v>1.2052</v>
      </c>
      <c r="D18" s="22">
        <f>B18*C18</f>
        <v>602.6</v>
      </c>
      <c r="E18" s="73">
        <f t="shared" si="4"/>
        <v>500</v>
      </c>
      <c r="F18" s="78">
        <f>VLOOKUP($B$3,'Data for Bill Impacts'!$A$3:$Y$15,19,0)</f>
        <v>1.3153070071616677</v>
      </c>
      <c r="G18" s="22">
        <f>E18*F18</f>
        <v>657.6535035808339</v>
      </c>
      <c r="H18" s="22">
        <f t="shared" si="2"/>
        <v>55.053503580833876</v>
      </c>
      <c r="I18" s="23">
        <f t="shared" si="3"/>
        <v>9.1359946201184664E-2</v>
      </c>
      <c r="J18" s="125">
        <f t="shared" si="0"/>
        <v>1.9697750162889844E-2</v>
      </c>
    </row>
    <row r="19" spans="1:10" s="1" customFormat="1" x14ac:dyDescent="0.2">
      <c r="A19" s="107" t="s">
        <v>124</v>
      </c>
      <c r="B19" s="73">
        <f>IF($B$10="kWh",$B$4,$B$5)</f>
        <v>500</v>
      </c>
      <c r="C19" s="78">
        <f>VLOOKUP($B$3,'Data for Bill Impacts'!$A$3:$Y$15,14,0)</f>
        <v>0.31259999999999999</v>
      </c>
      <c r="D19" s="22">
        <f>B19*C19</f>
        <v>156.29999999999998</v>
      </c>
      <c r="E19" s="73">
        <f>B19</f>
        <v>500</v>
      </c>
      <c r="F19" s="126">
        <f>VLOOKUP($B$3,'Data for Bill Impacts'!$A$3:$Y$15,23,0)</f>
        <v>0.27289999999999998</v>
      </c>
      <c r="G19" s="22">
        <f>E19*F19</f>
        <v>136.44999999999999</v>
      </c>
      <c r="H19" s="22">
        <f>G19-D19</f>
        <v>-19.849999999999994</v>
      </c>
      <c r="I19" s="23">
        <f>IF(ISERROR(H19/D19),0,(H19/D19))</f>
        <v>-0.12699936020473446</v>
      </c>
      <c r="J19" s="125">
        <f t="shared" si="0"/>
        <v>4.0868907336338092E-3</v>
      </c>
    </row>
    <row r="20" spans="1:10" s="1" customFormat="1" x14ac:dyDescent="0.2">
      <c r="A20" s="107" t="s">
        <v>112</v>
      </c>
      <c r="B20" s="73">
        <f>B9</f>
        <v>206800</v>
      </c>
      <c r="C20" s="126">
        <f>VLOOKUP($B$3,'Data for Bill Impacts'!$A$3:$Y$15,20,0)</f>
        <v>-1E-3</v>
      </c>
      <c r="D20" s="22">
        <f>B20*C20</f>
        <v>-206.8</v>
      </c>
      <c r="E20" s="73">
        <f t="shared" si="4"/>
        <v>206800</v>
      </c>
      <c r="F20" s="78">
        <f>VLOOKUP($B$3,'Data for Bill Impacts'!$A$3:$Y$15,21,0)</f>
        <v>1.9E-3</v>
      </c>
      <c r="G20" s="22">
        <f>E20*F20</f>
        <v>392.92</v>
      </c>
      <c r="H20" s="22">
        <f t="shared" si="2"/>
        <v>599.72</v>
      </c>
      <c r="I20" s="23">
        <f>IF(ISERROR(H20/D20),0,(H20/D20))</f>
        <v>-2.9</v>
      </c>
      <c r="J20" s="125">
        <f t="shared" si="0"/>
        <v>1.176856802535285E-2</v>
      </c>
    </row>
    <row r="21" spans="1:10" x14ac:dyDescent="0.2">
      <c r="A21" s="110" t="s">
        <v>93</v>
      </c>
      <c r="B21" s="74"/>
      <c r="C21" s="35"/>
      <c r="D21" s="35">
        <f>SUM(D16:D20)</f>
        <v>1820.52</v>
      </c>
      <c r="E21" s="73"/>
      <c r="F21" s="35"/>
      <c r="G21" s="35">
        <f>SUM(G16:G20)</f>
        <v>2394.9335035808335</v>
      </c>
      <c r="H21" s="35">
        <f t="shared" si="2"/>
        <v>574.41350358083355</v>
      </c>
      <c r="I21" s="36">
        <f t="shared" si="3"/>
        <v>0.31552166610684507</v>
      </c>
      <c r="J21" s="111">
        <f t="shared" si="0"/>
        <v>7.1732001051327682E-2</v>
      </c>
    </row>
    <row r="22" spans="1:10" x14ac:dyDescent="0.2">
      <c r="A22" s="107" t="s">
        <v>40</v>
      </c>
      <c r="B22" s="73">
        <f>B5</f>
        <v>500</v>
      </c>
      <c r="C22" s="78">
        <f>VLOOKUP($B$3,'Data for Bill Impacts'!$A$3:$Y$15,15,0)</f>
        <v>3.3028</v>
      </c>
      <c r="D22" s="22">
        <f>B22*C22</f>
        <v>1651.4</v>
      </c>
      <c r="E22" s="73">
        <f t="shared" si="4"/>
        <v>500</v>
      </c>
      <c r="F22" s="126">
        <f>VLOOKUP($B$3,'Data for Bill Impacts'!$A$3:$Y$15,24,0)</f>
        <v>3.4866480000000002</v>
      </c>
      <c r="G22" s="22">
        <f>E22*F22</f>
        <v>1743.3240000000001</v>
      </c>
      <c r="H22" s="22">
        <f t="shared" si="2"/>
        <v>91.923999999999978</v>
      </c>
      <c r="I22" s="23">
        <f t="shared" si="3"/>
        <v>5.5664284849218829E-2</v>
      </c>
      <c r="J22" s="125">
        <f t="shared" si="0"/>
        <v>5.2215278133539225E-2</v>
      </c>
    </row>
    <row r="23" spans="1:10" s="1" customFormat="1" x14ac:dyDescent="0.2">
      <c r="A23" s="107" t="s">
        <v>41</v>
      </c>
      <c r="B23" s="73">
        <f>B5</f>
        <v>500</v>
      </c>
      <c r="C23" s="126">
        <f>VLOOKUP($B$3,'Data for Bill Impacts'!$A$3:$Y$15,16,0)</f>
        <v>2.6059999999999999</v>
      </c>
      <c r="D23" s="22">
        <f>B23*C23</f>
        <v>1303</v>
      </c>
      <c r="E23" s="73">
        <f t="shared" si="4"/>
        <v>500</v>
      </c>
      <c r="F23" s="126">
        <f>VLOOKUP($B$3,'Data for Bill Impacts'!$A$3:$Y$15,25,0)</f>
        <v>2.6021643999999999</v>
      </c>
      <c r="G23" s="22">
        <f>E23*F23</f>
        <v>1301.0822000000001</v>
      </c>
      <c r="H23" s="22">
        <f t="shared" si="2"/>
        <v>-1.9177999999999429</v>
      </c>
      <c r="I23" s="23">
        <f t="shared" si="3"/>
        <v>-1.4718342287029494E-3</v>
      </c>
      <c r="J23" s="125">
        <f t="shared" si="0"/>
        <v>3.8969445121846032E-2</v>
      </c>
    </row>
    <row r="24" spans="1:10" x14ac:dyDescent="0.2">
      <c r="A24" s="110" t="s">
        <v>76</v>
      </c>
      <c r="B24" s="74"/>
      <c r="C24" s="35"/>
      <c r="D24" s="35">
        <f>SUM(D22:D23)</f>
        <v>2954.4</v>
      </c>
      <c r="E24" s="73"/>
      <c r="F24" s="35"/>
      <c r="G24" s="35">
        <f>SUM(G22:G23)</f>
        <v>3044.4062000000004</v>
      </c>
      <c r="H24" s="35">
        <f t="shared" si="2"/>
        <v>90.006200000000263</v>
      </c>
      <c r="I24" s="36">
        <f t="shared" si="3"/>
        <v>3.0465136745193699E-2</v>
      </c>
      <c r="J24" s="111">
        <f t="shared" si="0"/>
        <v>9.1184723255385264E-2</v>
      </c>
    </row>
    <row r="25" spans="1:10" s="1" customFormat="1" x14ac:dyDescent="0.2">
      <c r="A25" s="110" t="s">
        <v>80</v>
      </c>
      <c r="B25" s="74"/>
      <c r="C25" s="35"/>
      <c r="D25" s="35">
        <f>D21+D24</f>
        <v>4774.92</v>
      </c>
      <c r="E25" s="73"/>
      <c r="F25" s="35"/>
      <c r="G25" s="35">
        <f>G21+G24</f>
        <v>5439.3397035808339</v>
      </c>
      <c r="H25" s="35">
        <f t="shared" si="2"/>
        <v>664.41970358083381</v>
      </c>
      <c r="I25" s="36">
        <f t="shared" si="3"/>
        <v>0.13914781893326669</v>
      </c>
      <c r="J25" s="111">
        <f t="shared" si="0"/>
        <v>0.16291672430671295</v>
      </c>
    </row>
    <row r="26" spans="1:10" x14ac:dyDescent="0.2">
      <c r="A26" s="107" t="s">
        <v>42</v>
      </c>
      <c r="B26" s="73">
        <f>B9</f>
        <v>206800</v>
      </c>
      <c r="C26" s="34">
        <v>3.5999999999999999E-3</v>
      </c>
      <c r="D26" s="22">
        <f>B26*C26</f>
        <v>744.48</v>
      </c>
      <c r="E26" s="73">
        <f t="shared" si="4"/>
        <v>206800</v>
      </c>
      <c r="F26" s="34">
        <v>3.5999999999999999E-3</v>
      </c>
      <c r="G26" s="22">
        <f>E26*F26</f>
        <v>744.48</v>
      </c>
      <c r="H26" s="22">
        <f t="shared" si="2"/>
        <v>0</v>
      </c>
      <c r="I26" s="23">
        <f t="shared" si="3"/>
        <v>0</v>
      </c>
      <c r="J26" s="125">
        <f t="shared" si="0"/>
        <v>2.2298339416458032E-2</v>
      </c>
    </row>
    <row r="27" spans="1:10" x14ac:dyDescent="0.2">
      <c r="A27" s="107" t="s">
        <v>43</v>
      </c>
      <c r="B27" s="73">
        <f>B9</f>
        <v>206800</v>
      </c>
      <c r="C27" s="34">
        <v>2.0999999999999999E-3</v>
      </c>
      <c r="D27" s="22">
        <f>B27*C27</f>
        <v>434.28</v>
      </c>
      <c r="E27" s="73">
        <f t="shared" si="4"/>
        <v>206800</v>
      </c>
      <c r="F27" s="34">
        <v>2.0999999999999999E-3</v>
      </c>
      <c r="G27" s="22">
        <f>E27*F27</f>
        <v>434.28</v>
      </c>
      <c r="H27" s="22">
        <f>G27-D27</f>
        <v>0</v>
      </c>
      <c r="I27" s="23">
        <f t="shared" si="3"/>
        <v>0</v>
      </c>
      <c r="J27" s="125">
        <f t="shared" si="0"/>
        <v>1.3007364659600517E-2</v>
      </c>
    </row>
    <row r="28" spans="1:10" x14ac:dyDescent="0.2">
      <c r="A28" s="107" t="s">
        <v>96</v>
      </c>
      <c r="B28" s="73">
        <f>B9</f>
        <v>206800</v>
      </c>
      <c r="C28" s="34">
        <v>1.1000000000000001E-3</v>
      </c>
      <c r="D28" s="22">
        <f>B28*C28</f>
        <v>227.48000000000002</v>
      </c>
      <c r="E28" s="73">
        <f t="shared" si="4"/>
        <v>206800</v>
      </c>
      <c r="F28" s="34">
        <v>1.1000000000000001E-3</v>
      </c>
      <c r="G28" s="22">
        <f>E28*F28</f>
        <v>227.48000000000002</v>
      </c>
      <c r="H28" s="22">
        <f>G28-D28</f>
        <v>0</v>
      </c>
      <c r="I28" s="23">
        <f t="shared" ref="I28" si="7">IF(ISERROR(H28/D28),0,(H28/D28))</f>
        <v>0</v>
      </c>
      <c r="J28" s="125">
        <f t="shared" ref="J28" si="8">G28/$G$36</f>
        <v>6.8133814883621765E-3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7.4878906808974153E-6</v>
      </c>
    </row>
    <row r="30" spans="1:10" x14ac:dyDescent="0.2">
      <c r="A30" s="110" t="s">
        <v>45</v>
      </c>
      <c r="B30" s="74"/>
      <c r="C30" s="35"/>
      <c r="D30" s="35">
        <f>SUM(D26:D29)</f>
        <v>1406.49</v>
      </c>
      <c r="E30" s="73"/>
      <c r="F30" s="35"/>
      <c r="G30" s="35">
        <f>SUM(G26:G29)</f>
        <v>1406.49</v>
      </c>
      <c r="H30" s="35">
        <f t="shared" si="2"/>
        <v>0</v>
      </c>
      <c r="I30" s="36">
        <f t="shared" si="3"/>
        <v>0</v>
      </c>
      <c r="J30" s="111">
        <f t="shared" si="9"/>
        <v>4.2126573455101624E-2</v>
      </c>
    </row>
    <row r="31" spans="1:10" ht="13.5" thickBot="1" x14ac:dyDescent="0.25">
      <c r="A31" s="112" t="s">
        <v>46</v>
      </c>
      <c r="B31" s="113">
        <f>B4</f>
        <v>200000</v>
      </c>
      <c r="C31" s="114">
        <v>7.0000000000000001E-3</v>
      </c>
      <c r="D31" s="115">
        <f>B31*C31</f>
        <v>1400</v>
      </c>
      <c r="E31" s="116">
        <f t="shared" si="4"/>
        <v>200000</v>
      </c>
      <c r="F31" s="114">
        <f>C31</f>
        <v>7.0000000000000001E-3</v>
      </c>
      <c r="G31" s="115">
        <f>E31*F31</f>
        <v>1400</v>
      </c>
      <c r="H31" s="115">
        <f t="shared" si="2"/>
        <v>0</v>
      </c>
      <c r="I31" s="117">
        <f t="shared" si="3"/>
        <v>0</v>
      </c>
      <c r="J31" s="118">
        <f t="shared" si="9"/>
        <v>4.1932187813025525E-2</v>
      </c>
    </row>
    <row r="32" spans="1:10" x14ac:dyDescent="0.2">
      <c r="A32" s="37" t="s">
        <v>115</v>
      </c>
      <c r="B32" s="38"/>
      <c r="C32" s="39"/>
      <c r="D32" s="39">
        <f>SUM(D15,D21,D24,D30,D31)</f>
        <v>28881.81</v>
      </c>
      <c r="E32" s="38"/>
      <c r="F32" s="39"/>
      <c r="G32" s="39">
        <f>SUM(G15,G21,G24,G30,G31)</f>
        <v>29546.229703580833</v>
      </c>
      <c r="H32" s="39">
        <f t="shared" si="2"/>
        <v>664.41970358083199</v>
      </c>
      <c r="I32" s="40">
        <f>IF(ISERROR(H32/D32),0,(H32/D32))</f>
        <v>2.3004780641546773E-2</v>
      </c>
      <c r="J32" s="41">
        <f t="shared" si="9"/>
        <v>0.88495575221238931</v>
      </c>
    </row>
    <row r="33" spans="1:10" x14ac:dyDescent="0.2">
      <c r="A33" s="46" t="s">
        <v>106</v>
      </c>
      <c r="B33" s="43"/>
      <c r="C33" s="26">
        <v>0.13</v>
      </c>
      <c r="D33" s="26">
        <f>D32*C33</f>
        <v>3754.6353000000004</v>
      </c>
      <c r="E33" s="26"/>
      <c r="F33" s="26">
        <f>C33</f>
        <v>0.13</v>
      </c>
      <c r="G33" s="26">
        <f>G32*F33</f>
        <v>3841.0098614655085</v>
      </c>
      <c r="H33" s="26">
        <f t="shared" si="2"/>
        <v>86.374561465508123</v>
      </c>
      <c r="I33" s="44">
        <f t="shared" ref="I33:I36" si="10">IF(ISERROR(H33/D33),0,(H33/D33))</f>
        <v>2.3004780641546759E-2</v>
      </c>
      <c r="J33" s="45">
        <f t="shared" si="9"/>
        <v>0.11504424778761062</v>
      </c>
    </row>
    <row r="34" spans="1:10" x14ac:dyDescent="0.2">
      <c r="A34" s="46" t="s">
        <v>107</v>
      </c>
      <c r="B34" s="24"/>
      <c r="C34" s="25"/>
      <c r="D34" s="25">
        <f>SUM(D32:D33)</f>
        <v>32636.445300000003</v>
      </c>
      <c r="E34" s="25"/>
      <c r="F34" s="25"/>
      <c r="G34" s="25">
        <f>SUM(G32:G33)</f>
        <v>33387.239565046344</v>
      </c>
      <c r="H34" s="25">
        <f t="shared" si="2"/>
        <v>750.79426504634102</v>
      </c>
      <c r="I34" s="27">
        <f t="shared" si="10"/>
        <v>2.3004780641546797E-2</v>
      </c>
      <c r="J34" s="47">
        <f t="shared" si="9"/>
        <v>1</v>
      </c>
    </row>
    <row r="35" spans="1:10" x14ac:dyDescent="0.2">
      <c r="A35" s="46" t="s">
        <v>108</v>
      </c>
      <c r="B35" s="43"/>
      <c r="C35" s="26">
        <v>0</v>
      </c>
      <c r="D35" s="26">
        <f>D32*C35</f>
        <v>0</v>
      </c>
      <c r="E35" s="26"/>
      <c r="F35" s="26">
        <f>C35</f>
        <v>0</v>
      </c>
      <c r="G35" s="26">
        <f>G32*F35</f>
        <v>0</v>
      </c>
      <c r="H35" s="26">
        <f t="shared" si="2"/>
        <v>0</v>
      </c>
      <c r="I35" s="44">
        <f t="shared" si="10"/>
        <v>0</v>
      </c>
      <c r="J35" s="45">
        <f t="shared" si="9"/>
        <v>0</v>
      </c>
    </row>
    <row r="36" spans="1:10" ht="13.5" thickBot="1" x14ac:dyDescent="0.25">
      <c r="A36" s="46" t="s">
        <v>109</v>
      </c>
      <c r="B36" s="49"/>
      <c r="C36" s="50"/>
      <c r="D36" s="50">
        <f>SUM(D34:D35)</f>
        <v>32636.445300000003</v>
      </c>
      <c r="E36" s="50"/>
      <c r="F36" s="50"/>
      <c r="G36" s="50">
        <f>SUM(G34:G35)</f>
        <v>33387.239565046344</v>
      </c>
      <c r="H36" s="50">
        <f t="shared" si="2"/>
        <v>750.79426504634102</v>
      </c>
      <c r="I36" s="51">
        <f t="shared" si="10"/>
        <v>2.3004780641546797E-2</v>
      </c>
      <c r="J36" s="52">
        <f t="shared" si="9"/>
        <v>1</v>
      </c>
    </row>
    <row r="37" spans="1:10" x14ac:dyDescent="0.2">
      <c r="F37" s="69"/>
    </row>
    <row r="38" spans="1:10" x14ac:dyDescent="0.2">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theme="1" tint="0.499984740745262"/>
    <pageSetUpPr fitToPage="1"/>
  </sheetPr>
  <dimension ref="A1:J38"/>
  <sheetViews>
    <sheetView tabSelected="1" view="pageBreakPreview" topLeftCell="A10" zoomScaleNormal="100" zoomScaleSheetLayoutView="100" workbookViewId="0">
      <selection activeCell="N25" sqref="N25"/>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120</v>
      </c>
      <c r="B1" s="192"/>
      <c r="C1" s="192"/>
      <c r="D1" s="192"/>
      <c r="E1" s="192"/>
      <c r="F1" s="192"/>
      <c r="G1" s="192"/>
      <c r="H1" s="192"/>
      <c r="I1" s="192"/>
      <c r="J1" s="193"/>
    </row>
    <row r="3" spans="1:10" x14ac:dyDescent="0.2">
      <c r="A3" s="13" t="s">
        <v>13</v>
      </c>
      <c r="B3" s="13" t="s">
        <v>11</v>
      </c>
    </row>
    <row r="4" spans="1:10" x14ac:dyDescent="0.2">
      <c r="A4" s="15" t="s">
        <v>62</v>
      </c>
      <c r="B4" s="79">
        <f>VLOOKUP(B3,'Data for Bill Impacts'!A19:D31,3,FALSE)</f>
        <v>1601036</v>
      </c>
    </row>
    <row r="5" spans="1:10" x14ac:dyDescent="0.2">
      <c r="A5" s="15" t="s">
        <v>16</v>
      </c>
      <c r="B5" s="79">
        <f>VLOOKUP(B3,'Data for Bill Impacts'!A19:D31,4,FALSE)</f>
        <v>3091</v>
      </c>
    </row>
    <row r="6" spans="1:10" x14ac:dyDescent="0.2">
      <c r="A6" s="15" t="s">
        <v>20</v>
      </c>
      <c r="B6" s="80">
        <f>VLOOKUP($B$3,'Data for Bill Impacts'!$A$3:$Y$15,2,0)</f>
        <v>1.034</v>
      </c>
    </row>
    <row r="7" spans="1:10" x14ac:dyDescent="0.2">
      <c r="A7" s="81" t="s">
        <v>48</v>
      </c>
      <c r="B7" s="82">
        <f>B4/(B5*730)</f>
        <v>0.70954383694597223</v>
      </c>
    </row>
    <row r="8" spans="1:10" x14ac:dyDescent="0.2">
      <c r="A8" s="15" t="s">
        <v>15</v>
      </c>
      <c r="B8" s="79">
        <f>VLOOKUP($B$3,'Data for Bill Impacts'!$A$3:$Y$15,4,0)</f>
        <v>0</v>
      </c>
    </row>
    <row r="9" spans="1:10" x14ac:dyDescent="0.2">
      <c r="A9" s="15" t="s">
        <v>82</v>
      </c>
      <c r="B9" s="79">
        <f>B4*B6</f>
        <v>1655471.2240000002</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1655471.2240000002</v>
      </c>
      <c r="C13" s="103">
        <v>0.10299999999999999</v>
      </c>
      <c r="D13" s="104">
        <f>B13*C13</f>
        <v>170513.53607200002</v>
      </c>
      <c r="E13" s="102">
        <f>B13</f>
        <v>1655471.2240000002</v>
      </c>
      <c r="F13" s="103">
        <f>C13</f>
        <v>0.10299999999999999</v>
      </c>
      <c r="G13" s="104">
        <f>E13*F13</f>
        <v>170513.53607200002</v>
      </c>
      <c r="H13" s="104">
        <f>G13-D13</f>
        <v>0</v>
      </c>
      <c r="I13" s="105">
        <f>IF(ISERROR(H13/D13),0,(H13/D13))</f>
        <v>0</v>
      </c>
      <c r="J13" s="124">
        <f t="shared" ref="J13:J27" si="0">G13/$G$36</f>
        <v>0.68260248536171864</v>
      </c>
    </row>
    <row r="14" spans="1:10" x14ac:dyDescent="0.2">
      <c r="A14" s="107" t="s">
        <v>32</v>
      </c>
      <c r="B14" s="73">
        <v>0</v>
      </c>
      <c r="C14" s="21">
        <v>0.121</v>
      </c>
      <c r="D14" s="22">
        <f>B14*C14</f>
        <v>0</v>
      </c>
      <c r="E14" s="73">
        <f t="shared" ref="E14" si="1">B14</f>
        <v>0</v>
      </c>
      <c r="F14" s="21">
        <f>C14</f>
        <v>0.121</v>
      </c>
      <c r="G14" s="22">
        <f>E14*F14</f>
        <v>0</v>
      </c>
      <c r="H14" s="22">
        <f t="shared" ref="H14:H36" si="2">G14-D14</f>
        <v>0</v>
      </c>
      <c r="I14" s="23">
        <f t="shared" ref="I14:I31" si="3">IF(ISERROR(H14/D14),0,(H14/D14))</f>
        <v>0</v>
      </c>
      <c r="J14" s="125">
        <f t="shared" si="0"/>
        <v>0</v>
      </c>
    </row>
    <row r="15" spans="1:10" s="1" customFormat="1" x14ac:dyDescent="0.2">
      <c r="A15" s="46" t="s">
        <v>33</v>
      </c>
      <c r="B15" s="24"/>
      <c r="C15" s="25"/>
      <c r="D15" s="25">
        <f>SUM(D13:D14)</f>
        <v>170513.53607200002</v>
      </c>
      <c r="E15" s="76"/>
      <c r="F15" s="25"/>
      <c r="G15" s="25">
        <f>SUM(G13:G14)</f>
        <v>170513.53607200002</v>
      </c>
      <c r="H15" s="25">
        <f t="shared" si="2"/>
        <v>0</v>
      </c>
      <c r="I15" s="27">
        <f t="shared" si="3"/>
        <v>0</v>
      </c>
      <c r="J15" s="47">
        <f t="shared" si="0"/>
        <v>0.68260248536171864</v>
      </c>
    </row>
    <row r="16" spans="1:10" s="1" customFormat="1" x14ac:dyDescent="0.2">
      <c r="A16" s="107" t="s">
        <v>38</v>
      </c>
      <c r="B16" s="73">
        <v>1</v>
      </c>
      <c r="C16" s="78">
        <f>VLOOKUP($B$3,'Data for Bill Impacts'!$A$3:$Y$15,7,0)</f>
        <v>1256.56</v>
      </c>
      <c r="D16" s="22">
        <f>B16*C16</f>
        <v>1256.56</v>
      </c>
      <c r="E16" s="73">
        <f t="shared" ref="E16:E31" si="4">B16</f>
        <v>1</v>
      </c>
      <c r="F16" s="78">
        <f>VLOOKUP($B$3,'Data for Bill Impacts'!$A$3:$Y$15,17,0)</f>
        <v>1204.08</v>
      </c>
      <c r="G16" s="22">
        <f>E16*F16</f>
        <v>1204.08</v>
      </c>
      <c r="H16" s="22">
        <f t="shared" si="2"/>
        <v>-52.480000000000018</v>
      </c>
      <c r="I16" s="23">
        <f t="shared" si="3"/>
        <v>-4.1764818233908464E-2</v>
      </c>
      <c r="J16" s="125">
        <f t="shared" si="0"/>
        <v>4.8201921061990305E-3</v>
      </c>
    </row>
    <row r="17" spans="1:10" x14ac:dyDescent="0.2">
      <c r="A17" s="107" t="s">
        <v>85</v>
      </c>
      <c r="B17" s="73">
        <v>1</v>
      </c>
      <c r="C17" s="78">
        <f>VLOOKUP($B$3,'Data for Bill Impacts'!$A$3:$Y$15,13,0)</f>
        <v>11.86</v>
      </c>
      <c r="D17" s="22">
        <f t="shared" ref="D17" si="5">B17*C17</f>
        <v>11.86</v>
      </c>
      <c r="E17" s="73">
        <f t="shared" si="4"/>
        <v>1</v>
      </c>
      <c r="F17" s="78">
        <f>VLOOKUP($B$3,'Data for Bill Impacts'!$A$3:$Y$15,22,0)</f>
        <v>3.83</v>
      </c>
      <c r="G17" s="22">
        <f t="shared" ref="G17" si="6">E17*F17</f>
        <v>3.83</v>
      </c>
      <c r="H17" s="22">
        <f t="shared" si="2"/>
        <v>-8.0299999999999994</v>
      </c>
      <c r="I17" s="23">
        <f t="shared" si="3"/>
        <v>-0.67706576728499157</v>
      </c>
      <c r="J17" s="125">
        <f t="shared" si="0"/>
        <v>1.5332316595859319E-5</v>
      </c>
    </row>
    <row r="18" spans="1:10" x14ac:dyDescent="0.2">
      <c r="A18" s="107" t="s">
        <v>39</v>
      </c>
      <c r="B18" s="73">
        <f>IF($B$10="kWh",$B$4,$B$5)</f>
        <v>3091</v>
      </c>
      <c r="C18" s="78">
        <f>VLOOKUP($B$3,'Data for Bill Impacts'!$A$3:$Y$15,10,0)</f>
        <v>1.2052</v>
      </c>
      <c r="D18" s="22">
        <f>B18*C18</f>
        <v>3725.2732000000001</v>
      </c>
      <c r="E18" s="73">
        <f t="shared" si="4"/>
        <v>3091</v>
      </c>
      <c r="F18" s="78">
        <f>VLOOKUP($B$3,'Data for Bill Impacts'!$A$3:$Y$15,19,0)</f>
        <v>1.3153070071616677</v>
      </c>
      <c r="G18" s="22">
        <f>E18*F18</f>
        <v>4065.613959136715</v>
      </c>
      <c r="H18" s="22">
        <f t="shared" si="2"/>
        <v>340.34075913671495</v>
      </c>
      <c r="I18" s="23">
        <f t="shared" si="3"/>
        <v>9.1359946201184636E-2</v>
      </c>
      <c r="J18" s="125">
        <f t="shared" si="0"/>
        <v>1.6275530124811793E-2</v>
      </c>
    </row>
    <row r="19" spans="1:10" s="1" customFormat="1" x14ac:dyDescent="0.2">
      <c r="A19" s="107" t="s">
        <v>124</v>
      </c>
      <c r="B19" s="73">
        <f>IF($B$10="kWh",$B$4,$B$5)</f>
        <v>3091</v>
      </c>
      <c r="C19" s="78">
        <f>VLOOKUP($B$3,'Data for Bill Impacts'!$A$3:$Y$15,14,0)</f>
        <v>0.31259999999999999</v>
      </c>
      <c r="D19" s="22">
        <f>B19*C19</f>
        <v>966.24659999999994</v>
      </c>
      <c r="E19" s="73">
        <f>B19</f>
        <v>3091</v>
      </c>
      <c r="F19" s="126">
        <f>VLOOKUP($B$3,'Data for Bill Impacts'!$A$3:$Y$15,23,0)</f>
        <v>0.27289999999999998</v>
      </c>
      <c r="G19" s="22">
        <f>E19*F19</f>
        <v>843.5338999999999</v>
      </c>
      <c r="H19" s="22">
        <f>G19-D19</f>
        <v>-122.71270000000004</v>
      </c>
      <c r="I19" s="23">
        <f>IF(ISERROR(H19/D19),0,(H19/D19))</f>
        <v>-0.12699936020473454</v>
      </c>
      <c r="J19" s="125">
        <f t="shared" si="0"/>
        <v>3.3768482543446304E-3</v>
      </c>
    </row>
    <row r="20" spans="1:10" s="1" customFormat="1" x14ac:dyDescent="0.2">
      <c r="A20" s="107" t="s">
        <v>112</v>
      </c>
      <c r="B20" s="73">
        <f>B9</f>
        <v>1655471.2240000002</v>
      </c>
      <c r="C20" s="126">
        <f>VLOOKUP($B$3,'Data for Bill Impacts'!$A$3:$Y$15,20,0)</f>
        <v>-1E-3</v>
      </c>
      <c r="D20" s="22">
        <f>B20*C20</f>
        <v>-1655.4712240000001</v>
      </c>
      <c r="E20" s="73">
        <f t="shared" si="4"/>
        <v>1655471.2240000002</v>
      </c>
      <c r="F20" s="78">
        <f>VLOOKUP($B$3,'Data for Bill Impacts'!$A$3:$Y$15,21,0)</f>
        <v>1.9E-3</v>
      </c>
      <c r="G20" s="22">
        <f>E20*F20</f>
        <v>3145.3953256000004</v>
      </c>
      <c r="H20" s="22">
        <f t="shared" si="2"/>
        <v>4800.8665496000003</v>
      </c>
      <c r="I20" s="23">
        <f>IF(ISERROR(H20/D20),0,(H20/D20))</f>
        <v>-2.9</v>
      </c>
      <c r="J20" s="125">
        <f t="shared" si="0"/>
        <v>1.25916963319152E-2</v>
      </c>
    </row>
    <row r="21" spans="1:10" x14ac:dyDescent="0.2">
      <c r="A21" s="110" t="s">
        <v>79</v>
      </c>
      <c r="B21" s="74"/>
      <c r="C21" s="35"/>
      <c r="D21" s="35">
        <f>SUM(D16:D20)</f>
        <v>4304.4685760000002</v>
      </c>
      <c r="E21" s="73"/>
      <c r="F21" s="35"/>
      <c r="G21" s="35">
        <f>SUM(G16:G20)</f>
        <v>9262.4531847367161</v>
      </c>
      <c r="H21" s="35">
        <f t="shared" si="2"/>
        <v>4957.9846087367159</v>
      </c>
      <c r="I21" s="36">
        <f t="shared" si="3"/>
        <v>1.1518226980167681</v>
      </c>
      <c r="J21" s="111">
        <f t="shared" si="0"/>
        <v>3.707959913386652E-2</v>
      </c>
    </row>
    <row r="22" spans="1:10" x14ac:dyDescent="0.2">
      <c r="A22" s="107" t="s">
        <v>40</v>
      </c>
      <c r="B22" s="73">
        <f>B5</f>
        <v>3091</v>
      </c>
      <c r="C22" s="78">
        <f>VLOOKUP($B$3,'Data for Bill Impacts'!$A$3:$Y$15,15,0)</f>
        <v>3.3028</v>
      </c>
      <c r="D22" s="22">
        <f>B22*C22</f>
        <v>10208.9548</v>
      </c>
      <c r="E22" s="73">
        <f t="shared" si="4"/>
        <v>3091</v>
      </c>
      <c r="F22" s="126">
        <f>VLOOKUP($B$3,'Data for Bill Impacts'!$A$3:$Y$15,24,0)</f>
        <v>3.4866480000000002</v>
      </c>
      <c r="G22" s="22">
        <f>E22*F22</f>
        <v>10777.228968000001</v>
      </c>
      <c r="H22" s="22">
        <f t="shared" si="2"/>
        <v>568.27416800000174</v>
      </c>
      <c r="I22" s="23">
        <f t="shared" si="3"/>
        <v>5.5664284849219016E-2</v>
      </c>
      <c r="J22" s="125">
        <f t="shared" si="0"/>
        <v>4.3143573515259069E-2</v>
      </c>
    </row>
    <row r="23" spans="1:10" s="1" customFormat="1" x14ac:dyDescent="0.2">
      <c r="A23" s="107" t="s">
        <v>41</v>
      </c>
      <c r="B23" s="73">
        <f>B5</f>
        <v>3091</v>
      </c>
      <c r="C23" s="126">
        <f>VLOOKUP($B$3,'Data for Bill Impacts'!$A$3:$Y$15,16,0)</f>
        <v>2.6059999999999999</v>
      </c>
      <c r="D23" s="22">
        <f>B23*C23</f>
        <v>8055.1459999999997</v>
      </c>
      <c r="E23" s="73">
        <f t="shared" si="4"/>
        <v>3091</v>
      </c>
      <c r="F23" s="126">
        <f>VLOOKUP($B$3,'Data for Bill Impacts'!$A$3:$Y$15,25,0)</f>
        <v>2.6021643999999999</v>
      </c>
      <c r="G23" s="22">
        <f>E23*F23</f>
        <v>8043.2901603999999</v>
      </c>
      <c r="H23" s="22">
        <f t="shared" si="2"/>
        <v>-11.855839599999854</v>
      </c>
      <c r="I23" s="23">
        <f t="shared" si="3"/>
        <v>-1.471834228702975E-3</v>
      </c>
      <c r="J23" s="125">
        <f t="shared" si="0"/>
        <v>3.2199026426008588E-2</v>
      </c>
    </row>
    <row r="24" spans="1:10" x14ac:dyDescent="0.2">
      <c r="A24" s="110" t="s">
        <v>76</v>
      </c>
      <c r="B24" s="74"/>
      <c r="C24" s="35"/>
      <c r="D24" s="35">
        <f>SUM(D22:D23)</f>
        <v>18264.1008</v>
      </c>
      <c r="E24" s="73"/>
      <c r="F24" s="35"/>
      <c r="G24" s="35">
        <f>SUM(G22:G23)</f>
        <v>18820.519128400003</v>
      </c>
      <c r="H24" s="35">
        <f t="shared" si="2"/>
        <v>556.41832840000279</v>
      </c>
      <c r="I24" s="36">
        <f t="shared" si="3"/>
        <v>3.0465136745193761E-2</v>
      </c>
      <c r="J24" s="111">
        <f t="shared" si="0"/>
        <v>7.5342599941267657E-2</v>
      </c>
    </row>
    <row r="25" spans="1:10" s="1" customFormat="1" x14ac:dyDescent="0.2">
      <c r="A25" s="110" t="s">
        <v>80</v>
      </c>
      <c r="B25" s="74"/>
      <c r="C25" s="35"/>
      <c r="D25" s="35">
        <f>D21+D24</f>
        <v>22568.569375999999</v>
      </c>
      <c r="E25" s="73"/>
      <c r="F25" s="35"/>
      <c r="G25" s="35">
        <f>G21+G24</f>
        <v>28082.972313136721</v>
      </c>
      <c r="H25" s="35">
        <f t="shared" si="2"/>
        <v>5514.4029371367214</v>
      </c>
      <c r="I25" s="36">
        <f t="shared" si="3"/>
        <v>0.2443399422118834</v>
      </c>
      <c r="J25" s="111">
        <f t="shared" si="0"/>
        <v>0.11242219907513419</v>
      </c>
    </row>
    <row r="26" spans="1:10" x14ac:dyDescent="0.2">
      <c r="A26" s="107" t="s">
        <v>42</v>
      </c>
      <c r="B26" s="73">
        <f>B9</f>
        <v>1655471.2240000002</v>
      </c>
      <c r="C26" s="34">
        <v>3.5999999999999999E-3</v>
      </c>
      <c r="D26" s="22">
        <f>B26*C26</f>
        <v>5959.6964064000003</v>
      </c>
      <c r="E26" s="73">
        <f t="shared" si="4"/>
        <v>1655471.2240000002</v>
      </c>
      <c r="F26" s="34">
        <v>3.5999999999999999E-3</v>
      </c>
      <c r="G26" s="22">
        <f>E26*F26</f>
        <v>5959.6964064000003</v>
      </c>
      <c r="H26" s="22">
        <f t="shared" si="2"/>
        <v>0</v>
      </c>
      <c r="I26" s="23">
        <f t="shared" si="3"/>
        <v>0</v>
      </c>
      <c r="J26" s="125">
        <f t="shared" si="0"/>
        <v>2.385795094468143E-2</v>
      </c>
    </row>
    <row r="27" spans="1:10" x14ac:dyDescent="0.2">
      <c r="A27" s="107" t="s">
        <v>43</v>
      </c>
      <c r="B27" s="73">
        <f>B9</f>
        <v>1655471.2240000002</v>
      </c>
      <c r="C27" s="34">
        <v>2.0999999999999999E-3</v>
      </c>
      <c r="D27" s="22">
        <f>B27*C27</f>
        <v>3476.4895704</v>
      </c>
      <c r="E27" s="73">
        <f t="shared" si="4"/>
        <v>1655471.2240000002</v>
      </c>
      <c r="F27" s="34">
        <v>2.0999999999999999E-3</v>
      </c>
      <c r="G27" s="22">
        <f>E27*F27</f>
        <v>3476.4895704</v>
      </c>
      <c r="H27" s="22">
        <f>G27-D27</f>
        <v>0</v>
      </c>
      <c r="I27" s="23">
        <f t="shared" si="3"/>
        <v>0</v>
      </c>
      <c r="J27" s="125">
        <f t="shared" si="0"/>
        <v>1.3917138051064166E-2</v>
      </c>
    </row>
    <row r="28" spans="1:10" x14ac:dyDescent="0.2">
      <c r="A28" s="107" t="s">
        <v>96</v>
      </c>
      <c r="B28" s="73">
        <f>B9</f>
        <v>1655471.2240000002</v>
      </c>
      <c r="C28" s="34">
        <v>1.1000000000000001E-3</v>
      </c>
      <c r="D28" s="22">
        <f>B28*C28</f>
        <v>1821.0183464000004</v>
      </c>
      <c r="E28" s="73">
        <f t="shared" si="4"/>
        <v>1655471.2240000002</v>
      </c>
      <c r="F28" s="34">
        <v>1.1000000000000001E-3</v>
      </c>
      <c r="G28" s="22">
        <f>E28*F28</f>
        <v>1821.0183464000004</v>
      </c>
      <c r="H28" s="22">
        <f>G28-D28</f>
        <v>0</v>
      </c>
      <c r="I28" s="23">
        <f t="shared" ref="I28" si="7">IF(ISERROR(H28/D28),0,(H28/D28))</f>
        <v>0</v>
      </c>
      <c r="J28" s="125">
        <f t="shared" ref="J28" si="8">G28/$G$36</f>
        <v>7.2899294553193262E-3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1.0008039553432977E-6</v>
      </c>
    </row>
    <row r="30" spans="1:10" x14ac:dyDescent="0.2">
      <c r="A30" s="110" t="s">
        <v>45</v>
      </c>
      <c r="B30" s="74"/>
      <c r="C30" s="35"/>
      <c r="D30" s="35">
        <f>SUM(D26:D29)</f>
        <v>11257.4543232</v>
      </c>
      <c r="E30" s="73"/>
      <c r="F30" s="35"/>
      <c r="G30" s="35">
        <f>SUM(G26:G29)</f>
        <v>11257.4543232</v>
      </c>
      <c r="H30" s="35">
        <f t="shared" si="2"/>
        <v>0</v>
      </c>
      <c r="I30" s="36">
        <f t="shared" si="3"/>
        <v>0</v>
      </c>
      <c r="J30" s="111">
        <f t="shared" si="9"/>
        <v>4.5066019255020261E-2</v>
      </c>
    </row>
    <row r="31" spans="1:10" ht="13.5" thickBot="1" x14ac:dyDescent="0.25">
      <c r="A31" s="112" t="s">
        <v>46</v>
      </c>
      <c r="B31" s="113">
        <f>B4</f>
        <v>1601036</v>
      </c>
      <c r="C31" s="114">
        <v>7.0000000000000001E-3</v>
      </c>
      <c r="D31" s="115">
        <f>B31*C31</f>
        <v>11207.252</v>
      </c>
      <c r="E31" s="116">
        <f t="shared" si="4"/>
        <v>1601036</v>
      </c>
      <c r="F31" s="114">
        <f>C31</f>
        <v>7.0000000000000001E-3</v>
      </c>
      <c r="G31" s="115">
        <f>E31*F31</f>
        <v>11207.252</v>
      </c>
      <c r="H31" s="115">
        <f t="shared" si="2"/>
        <v>0</v>
      </c>
      <c r="I31" s="117">
        <f t="shared" si="3"/>
        <v>0</v>
      </c>
      <c r="J31" s="118">
        <f t="shared" si="9"/>
        <v>4.4865048520516336E-2</v>
      </c>
    </row>
    <row r="32" spans="1:10" x14ac:dyDescent="0.2">
      <c r="A32" s="37" t="s">
        <v>115</v>
      </c>
      <c r="B32" s="38"/>
      <c r="C32" s="39"/>
      <c r="D32" s="39">
        <f>SUM(D15,D21,D24,D30,D31)</f>
        <v>215546.81177120001</v>
      </c>
      <c r="E32" s="38"/>
      <c r="F32" s="39"/>
      <c r="G32" s="39">
        <f>SUM(G15,G21,G24,G30,G31)</f>
        <v>221061.21470833672</v>
      </c>
      <c r="H32" s="39">
        <f t="shared" si="2"/>
        <v>5514.4029371367069</v>
      </c>
      <c r="I32" s="40">
        <f>IF(ISERROR(H32/D32),0,(H32/D32))</f>
        <v>2.5583319427569032E-2</v>
      </c>
      <c r="J32" s="41">
        <f t="shared" si="9"/>
        <v>0.88495575221238942</v>
      </c>
    </row>
    <row r="33" spans="1:10" x14ac:dyDescent="0.2">
      <c r="A33" s="46" t="s">
        <v>106</v>
      </c>
      <c r="B33" s="43"/>
      <c r="C33" s="26">
        <v>0.13</v>
      </c>
      <c r="D33" s="26">
        <f>D32*C33</f>
        <v>28021.085530256001</v>
      </c>
      <c r="E33" s="26"/>
      <c r="F33" s="26">
        <f>C33</f>
        <v>0.13</v>
      </c>
      <c r="G33" s="26">
        <f>G32*F33</f>
        <v>28737.957912083773</v>
      </c>
      <c r="H33" s="26">
        <f t="shared" si="2"/>
        <v>716.87238182777219</v>
      </c>
      <c r="I33" s="44">
        <f t="shared" ref="I33:I36" si="10">IF(ISERROR(H33/D33),0,(H33/D33))</f>
        <v>2.5583319427569043E-2</v>
      </c>
      <c r="J33" s="45">
        <f t="shared" si="9"/>
        <v>0.11504424778761062</v>
      </c>
    </row>
    <row r="34" spans="1:10" x14ac:dyDescent="0.2">
      <c r="A34" s="46" t="s">
        <v>107</v>
      </c>
      <c r="B34" s="24"/>
      <c r="C34" s="25"/>
      <c r="D34" s="25">
        <f>SUM(D32:D33)</f>
        <v>243567.89730145602</v>
      </c>
      <c r="E34" s="25"/>
      <c r="F34" s="25"/>
      <c r="G34" s="25">
        <f>SUM(G32:G33)</f>
        <v>249799.17262042049</v>
      </c>
      <c r="H34" s="25">
        <f t="shared" si="2"/>
        <v>6231.2753189644718</v>
      </c>
      <c r="I34" s="27">
        <f t="shared" si="10"/>
        <v>2.5583319427569005E-2</v>
      </c>
      <c r="J34" s="47">
        <f t="shared" si="9"/>
        <v>1</v>
      </c>
    </row>
    <row r="35" spans="1:10" x14ac:dyDescent="0.2">
      <c r="A35" s="46" t="s">
        <v>108</v>
      </c>
      <c r="B35" s="43"/>
      <c r="C35" s="26">
        <v>0</v>
      </c>
      <c r="D35" s="26">
        <f>D32*C35</f>
        <v>0</v>
      </c>
      <c r="E35" s="26"/>
      <c r="F35" s="26">
        <f>C35</f>
        <v>0</v>
      </c>
      <c r="G35" s="26">
        <f>G32*F35</f>
        <v>0</v>
      </c>
      <c r="H35" s="26">
        <f t="shared" si="2"/>
        <v>0</v>
      </c>
      <c r="I35" s="44">
        <f t="shared" si="10"/>
        <v>0</v>
      </c>
      <c r="J35" s="45">
        <f t="shared" si="9"/>
        <v>0</v>
      </c>
    </row>
    <row r="36" spans="1:10" ht="13.5" thickBot="1" x14ac:dyDescent="0.25">
      <c r="A36" s="46" t="s">
        <v>109</v>
      </c>
      <c r="B36" s="49"/>
      <c r="C36" s="50"/>
      <c r="D36" s="50">
        <f>SUM(D34:D35)</f>
        <v>243567.89730145602</v>
      </c>
      <c r="E36" s="50"/>
      <c r="F36" s="50"/>
      <c r="G36" s="50">
        <f>SUM(G34:G35)</f>
        <v>249799.17262042049</v>
      </c>
      <c r="H36" s="50">
        <f t="shared" si="2"/>
        <v>6231.2753189644718</v>
      </c>
      <c r="I36" s="51">
        <f t="shared" si="10"/>
        <v>2.5583319427569005E-2</v>
      </c>
      <c r="J36" s="52">
        <f t="shared" si="9"/>
        <v>1</v>
      </c>
    </row>
    <row r="37" spans="1:10" x14ac:dyDescent="0.2">
      <c r="F37" s="69"/>
    </row>
    <row r="38" spans="1:10" x14ac:dyDescent="0.2">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1" tint="0.499984740745262"/>
    <pageSetUpPr fitToPage="1"/>
  </sheetPr>
  <dimension ref="A1:J38"/>
  <sheetViews>
    <sheetView tabSelected="1" view="pageBreakPreview" zoomScaleNormal="100" zoomScaleSheetLayoutView="100" workbookViewId="0">
      <selection activeCell="N25" sqref="N25"/>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101</v>
      </c>
      <c r="B1" s="192"/>
      <c r="C1" s="192"/>
      <c r="D1" s="192"/>
      <c r="E1" s="192"/>
      <c r="F1" s="192"/>
      <c r="G1" s="192"/>
      <c r="H1" s="192"/>
      <c r="I1" s="192"/>
      <c r="J1" s="193"/>
    </row>
    <row r="3" spans="1:10" x14ac:dyDescent="0.2">
      <c r="A3" s="13" t="s">
        <v>13</v>
      </c>
      <c r="B3" s="13" t="s">
        <v>11</v>
      </c>
    </row>
    <row r="4" spans="1:10" x14ac:dyDescent="0.2">
      <c r="A4" s="15" t="s">
        <v>62</v>
      </c>
      <c r="B4" s="79">
        <v>4000000</v>
      </c>
    </row>
    <row r="5" spans="1:10" x14ac:dyDescent="0.2">
      <c r="A5" s="15" t="s">
        <v>16</v>
      </c>
      <c r="B5" s="79">
        <v>10000</v>
      </c>
    </row>
    <row r="6" spans="1:10" x14ac:dyDescent="0.2">
      <c r="A6" s="15" t="s">
        <v>20</v>
      </c>
      <c r="B6" s="80">
        <f>VLOOKUP($B$3,'Data for Bill Impacts'!$A$3:$Y$15,2,0)</f>
        <v>1.034</v>
      </c>
    </row>
    <row r="7" spans="1:10" x14ac:dyDescent="0.2">
      <c r="A7" s="81" t="s">
        <v>48</v>
      </c>
      <c r="B7" s="82">
        <f>B4/(B5*730)</f>
        <v>0.54794520547945202</v>
      </c>
    </row>
    <row r="8" spans="1:10" x14ac:dyDescent="0.2">
      <c r="A8" s="15" t="s">
        <v>15</v>
      </c>
      <c r="B8" s="79">
        <f>VLOOKUP($B$3,'Data for Bill Impacts'!$A$3:$Y$15,4,0)</f>
        <v>0</v>
      </c>
    </row>
    <row r="9" spans="1:10" x14ac:dyDescent="0.2">
      <c r="A9" s="15" t="s">
        <v>82</v>
      </c>
      <c r="B9" s="79">
        <f>B4*B6</f>
        <v>4136000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4136000</v>
      </c>
      <c r="C13" s="103">
        <v>0.10299999999999999</v>
      </c>
      <c r="D13" s="104">
        <f>B13*C13</f>
        <v>426008</v>
      </c>
      <c r="E13" s="102">
        <f>B13</f>
        <v>4136000</v>
      </c>
      <c r="F13" s="103">
        <f>C13</f>
        <v>0.10299999999999999</v>
      </c>
      <c r="G13" s="104">
        <f>E13*F13</f>
        <v>426008</v>
      </c>
      <c r="H13" s="104">
        <f>G13-D13</f>
        <v>0</v>
      </c>
      <c r="I13" s="105">
        <f>IF(ISERROR(H13/D13),0,(H13/D13))</f>
        <v>0</v>
      </c>
      <c r="J13" s="124">
        <f t="shared" ref="J13:J27" si="0">G13/$G$36</f>
        <v>0.66376485743980373</v>
      </c>
    </row>
    <row r="14" spans="1:10" x14ac:dyDescent="0.2">
      <c r="A14" s="107" t="s">
        <v>32</v>
      </c>
      <c r="B14" s="73">
        <v>0</v>
      </c>
      <c r="C14" s="21">
        <v>0.121</v>
      </c>
      <c r="D14" s="22">
        <f>B14*C14</f>
        <v>0</v>
      </c>
      <c r="E14" s="73">
        <f t="shared" ref="E14" si="1">B14</f>
        <v>0</v>
      </c>
      <c r="F14" s="21">
        <f>C14</f>
        <v>0.121</v>
      </c>
      <c r="G14" s="22">
        <f>E14*F14</f>
        <v>0</v>
      </c>
      <c r="H14" s="22">
        <f t="shared" ref="H14:H36" si="2">G14-D14</f>
        <v>0</v>
      </c>
      <c r="I14" s="23">
        <f t="shared" ref="I14:I31" si="3">IF(ISERROR(H14/D14),0,(H14/D14))</f>
        <v>0</v>
      </c>
      <c r="J14" s="125">
        <f t="shared" si="0"/>
        <v>0</v>
      </c>
    </row>
    <row r="15" spans="1:10" s="1" customFormat="1" x14ac:dyDescent="0.2">
      <c r="A15" s="46" t="s">
        <v>33</v>
      </c>
      <c r="B15" s="24"/>
      <c r="C15" s="25"/>
      <c r="D15" s="25">
        <f>SUM(D13:D14)</f>
        <v>426008</v>
      </c>
      <c r="E15" s="76"/>
      <c r="F15" s="25"/>
      <c r="G15" s="25">
        <f>SUM(G13:G14)</f>
        <v>426008</v>
      </c>
      <c r="H15" s="25">
        <f t="shared" si="2"/>
        <v>0</v>
      </c>
      <c r="I15" s="27">
        <f t="shared" si="3"/>
        <v>0</v>
      </c>
      <c r="J15" s="47">
        <f t="shared" si="0"/>
        <v>0.66376485743980373</v>
      </c>
    </row>
    <row r="16" spans="1:10" s="1" customFormat="1" x14ac:dyDescent="0.2">
      <c r="A16" s="107" t="s">
        <v>38</v>
      </c>
      <c r="B16" s="73">
        <v>1</v>
      </c>
      <c r="C16" s="78">
        <f>VLOOKUP($B$3,'Data for Bill Impacts'!$A$3:$Y$15,7,0)</f>
        <v>1256.56</v>
      </c>
      <c r="D16" s="22">
        <f>B16*C16</f>
        <v>1256.56</v>
      </c>
      <c r="E16" s="73">
        <f t="shared" ref="E16:E31" si="4">B16</f>
        <v>1</v>
      </c>
      <c r="F16" s="78">
        <f>VLOOKUP($B$3,'Data for Bill Impacts'!$A$3:$Y$15,17,0)</f>
        <v>1204.08</v>
      </c>
      <c r="G16" s="22">
        <f>E16*F16</f>
        <v>1204.08</v>
      </c>
      <c r="H16" s="22">
        <f t="shared" si="2"/>
        <v>-52.480000000000018</v>
      </c>
      <c r="I16" s="23">
        <f t="shared" si="3"/>
        <v>-4.1764818233908464E-2</v>
      </c>
      <c r="J16" s="125">
        <f t="shared" si="0"/>
        <v>1.876082114763382E-3</v>
      </c>
    </row>
    <row r="17" spans="1:10" x14ac:dyDescent="0.2">
      <c r="A17" s="107" t="s">
        <v>85</v>
      </c>
      <c r="B17" s="73">
        <v>1</v>
      </c>
      <c r="C17" s="78">
        <f>VLOOKUP($B$3,'Data for Bill Impacts'!$A$3:$Y$15,13,0)</f>
        <v>11.86</v>
      </c>
      <c r="D17" s="22">
        <f t="shared" ref="D17" si="5">B17*C17</f>
        <v>11.86</v>
      </c>
      <c r="E17" s="73">
        <f t="shared" si="4"/>
        <v>1</v>
      </c>
      <c r="F17" s="78">
        <f>VLOOKUP($B$3,'Data for Bill Impacts'!$A$3:$Y$15,22,0)</f>
        <v>3.83</v>
      </c>
      <c r="G17" s="22">
        <f t="shared" ref="G17" si="6">E17*F17</f>
        <v>3.83</v>
      </c>
      <c r="H17" s="22">
        <f t="shared" si="2"/>
        <v>-8.0299999999999994</v>
      </c>
      <c r="I17" s="23">
        <f t="shared" si="3"/>
        <v>-0.67706576728499157</v>
      </c>
      <c r="J17" s="125">
        <f t="shared" si="0"/>
        <v>5.9675391166232757E-6</v>
      </c>
    </row>
    <row r="18" spans="1:10" x14ac:dyDescent="0.2">
      <c r="A18" s="107" t="s">
        <v>39</v>
      </c>
      <c r="B18" s="73">
        <f>IF($B$10="kWh",$B$4,$B$5)</f>
        <v>10000</v>
      </c>
      <c r="C18" s="78">
        <f>VLOOKUP($B$3,'Data for Bill Impacts'!$A$3:$Y$15,10,0)</f>
        <v>1.2052</v>
      </c>
      <c r="D18" s="22">
        <f>B18*C18</f>
        <v>12052</v>
      </c>
      <c r="E18" s="73">
        <f t="shared" si="4"/>
        <v>10000</v>
      </c>
      <c r="F18" s="78">
        <f>VLOOKUP($B$3,'Data for Bill Impacts'!$A$3:$Y$15,19,0)</f>
        <v>1.3153070071616677</v>
      </c>
      <c r="G18" s="22">
        <f>E18*F18</f>
        <v>13153.070071616678</v>
      </c>
      <c r="H18" s="22">
        <f t="shared" si="2"/>
        <v>1101.0700716166775</v>
      </c>
      <c r="I18" s="23">
        <f t="shared" si="3"/>
        <v>9.1359946201184664E-2</v>
      </c>
      <c r="J18" s="125">
        <f t="shared" si="0"/>
        <v>2.0493853826647371E-2</v>
      </c>
    </row>
    <row r="19" spans="1:10" s="1" customFormat="1" x14ac:dyDescent="0.2">
      <c r="A19" s="107" t="s">
        <v>124</v>
      </c>
      <c r="B19" s="73">
        <f>IF($B$10="kWh",$B$4,$B$5)</f>
        <v>10000</v>
      </c>
      <c r="C19" s="78">
        <f>VLOOKUP($B$3,'Data for Bill Impacts'!$A$3:$Y$15,14,0)</f>
        <v>0.31259999999999999</v>
      </c>
      <c r="D19" s="22">
        <f>B19*C19</f>
        <v>3126</v>
      </c>
      <c r="E19" s="73">
        <f>B19</f>
        <v>10000</v>
      </c>
      <c r="F19" s="126">
        <f>VLOOKUP($B$3,'Data for Bill Impacts'!$A$3:$Y$15,23,0)</f>
        <v>0.27289999999999998</v>
      </c>
      <c r="G19" s="22">
        <f>E19*F19</f>
        <v>2728.9999999999995</v>
      </c>
      <c r="H19" s="22">
        <f>G19-D19</f>
        <v>-397.00000000000045</v>
      </c>
      <c r="I19" s="23">
        <f>IF(ISERROR(H19/D19),0,(H19/D19))</f>
        <v>-0.12699936020473462</v>
      </c>
      <c r="J19" s="125">
        <f t="shared" si="0"/>
        <v>4.2520663836200824E-3</v>
      </c>
    </row>
    <row r="20" spans="1:10" s="1" customFormat="1" x14ac:dyDescent="0.2">
      <c r="A20" s="107" t="s">
        <v>112</v>
      </c>
      <c r="B20" s="73">
        <f>B9</f>
        <v>4136000</v>
      </c>
      <c r="C20" s="126">
        <f>VLOOKUP($B$3,'Data for Bill Impacts'!$A$3:$Y$15,20,0)</f>
        <v>-1E-3</v>
      </c>
      <c r="D20" s="22">
        <f>B20*C20</f>
        <v>-4136</v>
      </c>
      <c r="E20" s="73">
        <f t="shared" si="4"/>
        <v>4136000</v>
      </c>
      <c r="F20" s="78">
        <f>VLOOKUP($B$3,'Data for Bill Impacts'!$A$3:$Y$15,21,0)</f>
        <v>1.9E-3</v>
      </c>
      <c r="G20" s="22">
        <f>E20*F20</f>
        <v>7858.4</v>
      </c>
      <c r="H20" s="22">
        <f t="shared" si="2"/>
        <v>11994.4</v>
      </c>
      <c r="I20" s="23">
        <f>IF(ISERROR(H20/D20),0,(H20/D20))</f>
        <v>-2.9</v>
      </c>
      <c r="J20" s="125">
        <f t="shared" si="0"/>
        <v>1.2244206108112884E-2</v>
      </c>
    </row>
    <row r="21" spans="1:10" x14ac:dyDescent="0.2">
      <c r="A21" s="110" t="s">
        <v>93</v>
      </c>
      <c r="B21" s="74"/>
      <c r="C21" s="35"/>
      <c r="D21" s="35">
        <f>SUM(D16:D20)</f>
        <v>12310.419999999998</v>
      </c>
      <c r="E21" s="73"/>
      <c r="F21" s="35"/>
      <c r="G21" s="35">
        <f>SUM(G16:G20)</f>
        <v>24948.380071616673</v>
      </c>
      <c r="H21" s="35">
        <f t="shared" si="2"/>
        <v>12637.960071616675</v>
      </c>
      <c r="I21" s="36">
        <f t="shared" si="3"/>
        <v>1.0266067341014098</v>
      </c>
      <c r="J21" s="111">
        <f t="shared" si="0"/>
        <v>3.8872175972260337E-2</v>
      </c>
    </row>
    <row r="22" spans="1:10" x14ac:dyDescent="0.2">
      <c r="A22" s="107" t="s">
        <v>40</v>
      </c>
      <c r="B22" s="73">
        <f>B5</f>
        <v>10000</v>
      </c>
      <c r="C22" s="78">
        <f>VLOOKUP($B$3,'Data for Bill Impacts'!$A$3:$Y$15,15,0)</f>
        <v>3.3028</v>
      </c>
      <c r="D22" s="22">
        <f>B22*C22</f>
        <v>33028</v>
      </c>
      <c r="E22" s="73">
        <f t="shared" si="4"/>
        <v>10000</v>
      </c>
      <c r="F22" s="126">
        <f>VLOOKUP($B$3,'Data for Bill Impacts'!$A$3:$Y$15,24,0)</f>
        <v>3.4866480000000002</v>
      </c>
      <c r="G22" s="22">
        <f>E22*F22</f>
        <v>34866.480000000003</v>
      </c>
      <c r="H22" s="22">
        <f t="shared" si="2"/>
        <v>1838.4800000000032</v>
      </c>
      <c r="I22" s="23">
        <f t="shared" si="3"/>
        <v>5.566428484921894E-2</v>
      </c>
      <c r="J22" s="125">
        <f t="shared" si="0"/>
        <v>5.4325609205995593E-2</v>
      </c>
    </row>
    <row r="23" spans="1:10" s="1" customFormat="1" x14ac:dyDescent="0.2">
      <c r="A23" s="107" t="s">
        <v>41</v>
      </c>
      <c r="B23" s="73">
        <f>B5</f>
        <v>10000</v>
      </c>
      <c r="C23" s="126">
        <f>VLOOKUP($B$3,'Data for Bill Impacts'!$A$3:$Y$15,16,0)</f>
        <v>2.6059999999999999</v>
      </c>
      <c r="D23" s="22">
        <f>B23*C23</f>
        <v>26060</v>
      </c>
      <c r="E23" s="73">
        <f t="shared" si="4"/>
        <v>10000</v>
      </c>
      <c r="F23" s="126">
        <f>VLOOKUP($B$3,'Data for Bill Impacts'!$A$3:$Y$15,25,0)</f>
        <v>2.6021643999999999</v>
      </c>
      <c r="G23" s="22">
        <f>E23*F23</f>
        <v>26021.644</v>
      </c>
      <c r="H23" s="22">
        <f t="shared" si="2"/>
        <v>-38.355999999999767</v>
      </c>
      <c r="I23" s="23">
        <f t="shared" si="3"/>
        <v>-1.4718342287029841E-3</v>
      </c>
      <c r="J23" s="125">
        <f t="shared" si="0"/>
        <v>4.0544433015364326E-2</v>
      </c>
    </row>
    <row r="24" spans="1:10" x14ac:dyDescent="0.2">
      <c r="A24" s="110" t="s">
        <v>76</v>
      </c>
      <c r="B24" s="74"/>
      <c r="C24" s="35"/>
      <c r="D24" s="35">
        <f>SUM(D22:D23)</f>
        <v>59088</v>
      </c>
      <c r="E24" s="73"/>
      <c r="F24" s="35"/>
      <c r="G24" s="35">
        <f>SUM(G22:G23)</f>
        <v>60888.124000000003</v>
      </c>
      <c r="H24" s="35">
        <f t="shared" si="2"/>
        <v>1800.1240000000034</v>
      </c>
      <c r="I24" s="36">
        <f t="shared" si="3"/>
        <v>3.0465136745193667E-2</v>
      </c>
      <c r="J24" s="111">
        <f t="shared" si="0"/>
        <v>9.4870042221359918E-2</v>
      </c>
    </row>
    <row r="25" spans="1:10" s="1" customFormat="1" x14ac:dyDescent="0.2">
      <c r="A25" s="110" t="s">
        <v>80</v>
      </c>
      <c r="B25" s="74"/>
      <c r="C25" s="35"/>
      <c r="D25" s="35">
        <f>D21+D24</f>
        <v>71398.42</v>
      </c>
      <c r="E25" s="73"/>
      <c r="F25" s="35"/>
      <c r="G25" s="35">
        <f>G21+G24</f>
        <v>85836.504071616684</v>
      </c>
      <c r="H25" s="35">
        <f t="shared" si="2"/>
        <v>14438.084071616686</v>
      </c>
      <c r="I25" s="36">
        <f t="shared" si="3"/>
        <v>0.20221853749167959</v>
      </c>
      <c r="J25" s="111">
        <f t="shared" si="0"/>
        <v>0.13374221819362028</v>
      </c>
    </row>
    <row r="26" spans="1:10" x14ac:dyDescent="0.2">
      <c r="A26" s="107" t="s">
        <v>42</v>
      </c>
      <c r="B26" s="73">
        <f>B9</f>
        <v>4136000</v>
      </c>
      <c r="C26" s="34">
        <v>3.5999999999999999E-3</v>
      </c>
      <c r="D26" s="22">
        <f>B26*C26</f>
        <v>14889.6</v>
      </c>
      <c r="E26" s="73">
        <f t="shared" si="4"/>
        <v>4136000</v>
      </c>
      <c r="F26" s="34">
        <v>3.5999999999999999E-3</v>
      </c>
      <c r="G26" s="22">
        <f>E26*F26</f>
        <v>14889.6</v>
      </c>
      <c r="H26" s="22">
        <f t="shared" si="2"/>
        <v>0</v>
      </c>
      <c r="I26" s="23">
        <f t="shared" si="3"/>
        <v>0</v>
      </c>
      <c r="J26" s="125">
        <f t="shared" si="0"/>
        <v>2.3199548415371783E-2</v>
      </c>
    </row>
    <row r="27" spans="1:10" x14ac:dyDescent="0.2">
      <c r="A27" s="107" t="s">
        <v>43</v>
      </c>
      <c r="B27" s="73">
        <f>B9</f>
        <v>4136000</v>
      </c>
      <c r="C27" s="34">
        <v>2.0999999999999999E-3</v>
      </c>
      <c r="D27" s="22">
        <f>B27*C27</f>
        <v>8685.6</v>
      </c>
      <c r="E27" s="73">
        <f t="shared" si="4"/>
        <v>4136000</v>
      </c>
      <c r="F27" s="34">
        <v>2.0999999999999999E-3</v>
      </c>
      <c r="G27" s="22">
        <f>E27*F27</f>
        <v>8685.6</v>
      </c>
      <c r="H27" s="22">
        <f>G27-D27</f>
        <v>0</v>
      </c>
      <c r="I27" s="23">
        <f t="shared" si="3"/>
        <v>0</v>
      </c>
      <c r="J27" s="125">
        <f t="shared" si="0"/>
        <v>1.3533069908966874E-2</v>
      </c>
    </row>
    <row r="28" spans="1:10" x14ac:dyDescent="0.2">
      <c r="A28" s="107" t="s">
        <v>96</v>
      </c>
      <c r="B28" s="73">
        <f>B9</f>
        <v>4136000</v>
      </c>
      <c r="C28" s="34">
        <v>1.1000000000000001E-3</v>
      </c>
      <c r="D28" s="22">
        <f>B28*C28</f>
        <v>4549.6000000000004</v>
      </c>
      <c r="E28" s="73">
        <f t="shared" si="4"/>
        <v>4136000</v>
      </c>
      <c r="F28" s="34">
        <v>1.1000000000000001E-3</v>
      </c>
      <c r="G28" s="22">
        <f>E28*F28</f>
        <v>4549.6000000000004</v>
      </c>
      <c r="H28" s="22">
        <f>G28-D28</f>
        <v>0</v>
      </c>
      <c r="I28" s="23">
        <f t="shared" ref="I28" si="7">IF(ISERROR(H28/D28),0,(H28/D28))</f>
        <v>0</v>
      </c>
      <c r="J28" s="125">
        <f t="shared" ref="J28" si="8">G28/$G$36</f>
        <v>7.0887509046969341E-3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3.8952605199890833E-7</v>
      </c>
    </row>
    <row r="30" spans="1:10" x14ac:dyDescent="0.2">
      <c r="A30" s="110" t="s">
        <v>45</v>
      </c>
      <c r="B30" s="74"/>
      <c r="C30" s="35"/>
      <c r="D30" s="35">
        <f>SUM(D26:D29)</f>
        <v>28125.050000000003</v>
      </c>
      <c r="E30" s="73"/>
      <c r="F30" s="35"/>
      <c r="G30" s="35">
        <f>SUM(G26:G29)</f>
        <v>28125.050000000003</v>
      </c>
      <c r="H30" s="35">
        <f t="shared" si="2"/>
        <v>0</v>
      </c>
      <c r="I30" s="36">
        <f t="shared" si="3"/>
        <v>0</v>
      </c>
      <c r="J30" s="111">
        <f t="shared" si="9"/>
        <v>4.3821758755087592E-2</v>
      </c>
    </row>
    <row r="31" spans="1:10" ht="13.5" thickBot="1" x14ac:dyDescent="0.25">
      <c r="A31" s="112" t="s">
        <v>46</v>
      </c>
      <c r="B31" s="113">
        <f>B4</f>
        <v>4000000</v>
      </c>
      <c r="C31" s="114">
        <v>7.0000000000000001E-3</v>
      </c>
      <c r="D31" s="115">
        <f>B31*C31</f>
        <v>28000</v>
      </c>
      <c r="E31" s="116">
        <f t="shared" si="4"/>
        <v>4000000</v>
      </c>
      <c r="F31" s="114">
        <f>C31</f>
        <v>7.0000000000000001E-3</v>
      </c>
      <c r="G31" s="115">
        <f>E31*F31</f>
        <v>28000</v>
      </c>
      <c r="H31" s="115">
        <f t="shared" si="2"/>
        <v>0</v>
      </c>
      <c r="I31" s="117">
        <f t="shared" si="3"/>
        <v>0</v>
      </c>
      <c r="J31" s="118">
        <f t="shared" si="9"/>
        <v>4.3626917823877731E-2</v>
      </c>
    </row>
    <row r="32" spans="1:10" x14ac:dyDescent="0.2">
      <c r="A32" s="37" t="s">
        <v>115</v>
      </c>
      <c r="B32" s="38"/>
      <c r="C32" s="39"/>
      <c r="D32" s="39">
        <f>SUM(D15,D21,D24,D30,D31)</f>
        <v>553531.47</v>
      </c>
      <c r="E32" s="38"/>
      <c r="F32" s="39"/>
      <c r="G32" s="39">
        <f>SUM(G15,G21,G24,G30,G31)</f>
        <v>567969.55407161673</v>
      </c>
      <c r="H32" s="39">
        <f t="shared" si="2"/>
        <v>14438.084071616759</v>
      </c>
      <c r="I32" s="40">
        <f>IF(ISERROR(H32/D32),0,(H32/D32))</f>
        <v>2.6083583055570011E-2</v>
      </c>
      <c r="J32" s="41">
        <f t="shared" si="9"/>
        <v>0.88495575221238942</v>
      </c>
    </row>
    <row r="33" spans="1:10" x14ac:dyDescent="0.2">
      <c r="A33" s="46" t="s">
        <v>106</v>
      </c>
      <c r="B33" s="43"/>
      <c r="C33" s="26">
        <v>0.13</v>
      </c>
      <c r="D33" s="26">
        <f>D32*C33</f>
        <v>71959.091100000005</v>
      </c>
      <c r="E33" s="26"/>
      <c r="F33" s="26">
        <f>C33</f>
        <v>0.13</v>
      </c>
      <c r="G33" s="26">
        <f>G32*F33</f>
        <v>73836.042029310178</v>
      </c>
      <c r="H33" s="26">
        <f t="shared" si="2"/>
        <v>1876.9509293101728</v>
      </c>
      <c r="I33" s="44">
        <f t="shared" ref="I33:I36" si="10">IF(ISERROR(H33/D33),0,(H33/D33))</f>
        <v>2.6083583055569928E-2</v>
      </c>
      <c r="J33" s="45">
        <f t="shared" si="9"/>
        <v>0.11504424778761063</v>
      </c>
    </row>
    <row r="34" spans="1:10" x14ac:dyDescent="0.2">
      <c r="A34" s="46" t="s">
        <v>107</v>
      </c>
      <c r="B34" s="24"/>
      <c r="C34" s="25"/>
      <c r="D34" s="25">
        <f>SUM(D32:D33)</f>
        <v>625490.56109999993</v>
      </c>
      <c r="E34" s="25"/>
      <c r="F34" s="25"/>
      <c r="G34" s="25">
        <f>SUM(G32:G33)</f>
        <v>641805.59610092686</v>
      </c>
      <c r="H34" s="25">
        <f t="shared" si="2"/>
        <v>16315.035000926931</v>
      </c>
      <c r="I34" s="27">
        <f t="shared" si="10"/>
        <v>2.608358305557E-2</v>
      </c>
      <c r="J34" s="47">
        <f t="shared" si="9"/>
        <v>1</v>
      </c>
    </row>
    <row r="35" spans="1:10" x14ac:dyDescent="0.2">
      <c r="A35" s="46" t="s">
        <v>108</v>
      </c>
      <c r="B35" s="43"/>
      <c r="C35" s="26">
        <v>0</v>
      </c>
      <c r="D35" s="26">
        <f>D32*C35</f>
        <v>0</v>
      </c>
      <c r="E35" s="26"/>
      <c r="F35" s="26">
        <f>C35</f>
        <v>0</v>
      </c>
      <c r="G35" s="26">
        <f>G32*F35</f>
        <v>0</v>
      </c>
      <c r="H35" s="26">
        <f t="shared" si="2"/>
        <v>0</v>
      </c>
      <c r="I35" s="44">
        <f t="shared" si="10"/>
        <v>0</v>
      </c>
      <c r="J35" s="45">
        <f t="shared" si="9"/>
        <v>0</v>
      </c>
    </row>
    <row r="36" spans="1:10" ht="13.5" thickBot="1" x14ac:dyDescent="0.25">
      <c r="A36" s="46" t="s">
        <v>109</v>
      </c>
      <c r="B36" s="49"/>
      <c r="C36" s="50"/>
      <c r="D36" s="50">
        <f>SUM(D34:D35)</f>
        <v>625490.56109999993</v>
      </c>
      <c r="E36" s="50"/>
      <c r="F36" s="50"/>
      <c r="G36" s="50">
        <f>SUM(G34:G35)</f>
        <v>641805.59610092686</v>
      </c>
      <c r="H36" s="50">
        <f t="shared" si="2"/>
        <v>16315.035000926931</v>
      </c>
      <c r="I36" s="51">
        <f t="shared" si="10"/>
        <v>2.608358305557E-2</v>
      </c>
      <c r="J36" s="52">
        <f t="shared" si="9"/>
        <v>1</v>
      </c>
    </row>
    <row r="37" spans="1:10" x14ac:dyDescent="0.2">
      <c r="F37" s="69"/>
    </row>
    <row r="38" spans="1:10" x14ac:dyDescent="0.2">
      <c r="F38" s="69"/>
    </row>
  </sheetData>
  <mergeCells count="1">
    <mergeCell ref="A1:J1"/>
  </mergeCells>
  <dataValidations disablePrompts="1"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Impacts'!$A$12:$A$15</xm:f>
          </x14:formula1>
          <xm:sqref>B3</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1" tint="0.499984740745262"/>
    <pageSetUpPr fitToPage="1"/>
  </sheetPr>
  <dimension ref="A1:J47"/>
  <sheetViews>
    <sheetView tabSelected="1" view="pageBreakPreview"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98</v>
      </c>
      <c r="B1" s="192"/>
      <c r="C1" s="192"/>
      <c r="D1" s="192"/>
      <c r="E1" s="192"/>
      <c r="F1" s="192"/>
      <c r="G1" s="192"/>
      <c r="H1" s="192"/>
      <c r="I1" s="192"/>
      <c r="J1" s="193"/>
    </row>
    <row r="3" spans="1:10" x14ac:dyDescent="0.2">
      <c r="A3" s="13" t="s">
        <v>13</v>
      </c>
      <c r="B3" s="13" t="s">
        <v>12</v>
      </c>
    </row>
    <row r="4" spans="1:10" x14ac:dyDescent="0.2">
      <c r="A4" s="15" t="s">
        <v>62</v>
      </c>
      <c r="B4" s="15">
        <v>100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109.2</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100</v>
      </c>
      <c r="C12" s="103">
        <v>0.10299999999999999</v>
      </c>
      <c r="D12" s="104">
        <f>B12*C12</f>
        <v>10.299999999999999</v>
      </c>
      <c r="E12" s="102">
        <f>B12</f>
        <v>100</v>
      </c>
      <c r="F12" s="103">
        <f>C12</f>
        <v>0.10299999999999999</v>
      </c>
      <c r="G12" s="104">
        <f>E12*F12</f>
        <v>10.299999999999999</v>
      </c>
      <c r="H12" s="104">
        <f>G12-D12</f>
        <v>0</v>
      </c>
      <c r="I12" s="105">
        <f>IF(ISERROR(H12/D12),0,(H12/D12))</f>
        <v>0</v>
      </c>
      <c r="J12" s="124">
        <f t="shared" ref="J12:J27" si="0">G12/$G$36</f>
        <v>0.18917051720040362</v>
      </c>
    </row>
    <row r="13" spans="1:10" x14ac:dyDescent="0.2">
      <c r="A13" s="107" t="s">
        <v>32</v>
      </c>
      <c r="B13" s="73">
        <f>IF(B4&gt;B7,(B4)-B7,0)</f>
        <v>0</v>
      </c>
      <c r="C13" s="21">
        <v>0.121</v>
      </c>
      <c r="D13" s="22">
        <f>B13*C13</f>
        <v>0</v>
      </c>
      <c r="E13" s="73">
        <f t="shared" ref="E13" si="1">B13</f>
        <v>0</v>
      </c>
      <c r="F13" s="21">
        <f>C13</f>
        <v>0.121</v>
      </c>
      <c r="G13" s="22">
        <f>E13*F13</f>
        <v>0</v>
      </c>
      <c r="H13" s="22">
        <f t="shared" ref="H13:H36" si="2">G13-D13</f>
        <v>0</v>
      </c>
      <c r="I13" s="23">
        <f t="shared" ref="I13:I36" si="3">IF(ISERROR(H13/D13),0,(H13/D13))</f>
        <v>0</v>
      </c>
      <c r="J13" s="125">
        <f t="shared" si="0"/>
        <v>0</v>
      </c>
    </row>
    <row r="14" spans="1:10" s="1" customFormat="1" x14ac:dyDescent="0.2">
      <c r="A14" s="46" t="s">
        <v>33</v>
      </c>
      <c r="B14" s="24"/>
      <c r="C14" s="25"/>
      <c r="D14" s="25">
        <f>SUM(D12:D13)</f>
        <v>10.299999999999999</v>
      </c>
      <c r="E14" s="76"/>
      <c r="F14" s="25"/>
      <c r="G14" s="25">
        <f>SUM(G12:G13)</f>
        <v>10.299999999999999</v>
      </c>
      <c r="H14" s="25">
        <f t="shared" si="2"/>
        <v>0</v>
      </c>
      <c r="I14" s="27">
        <f t="shared" si="3"/>
        <v>0</v>
      </c>
      <c r="J14" s="47">
        <f t="shared" si="0"/>
        <v>0.18917051720040362</v>
      </c>
    </row>
    <row r="15" spans="1:10" x14ac:dyDescent="0.2">
      <c r="A15" s="107" t="s">
        <v>38</v>
      </c>
      <c r="B15" s="73">
        <v>1</v>
      </c>
      <c r="C15" s="78">
        <f>VLOOKUP($B$3,'Data for Bill Impacts'!$A$3:$Y$15,7,0)</f>
        <v>35.18</v>
      </c>
      <c r="D15" s="22">
        <f>B15*C15</f>
        <v>35.18</v>
      </c>
      <c r="E15" s="73">
        <f t="shared" ref="E15:E31" si="4">B15</f>
        <v>1</v>
      </c>
      <c r="F15" s="78">
        <f>VLOOKUP($B$3,'Data for Bill Impacts'!$A$3:$Y$15,17,0)</f>
        <v>35.1</v>
      </c>
      <c r="G15" s="22">
        <f>E15*F15</f>
        <v>35.1</v>
      </c>
      <c r="H15" s="22">
        <f t="shared" si="2"/>
        <v>-7.9999999999998295E-2</v>
      </c>
      <c r="I15" s="23">
        <f t="shared" si="3"/>
        <v>-2.2740193291642496E-3</v>
      </c>
      <c r="J15" s="125">
        <f t="shared" si="0"/>
        <v>0.64464904405186096</v>
      </c>
    </row>
    <row r="16" spans="1:10" x14ac:dyDescent="0.2">
      <c r="A16" s="107" t="s">
        <v>85</v>
      </c>
      <c r="B16" s="73">
        <v>1</v>
      </c>
      <c r="C16" s="78">
        <f>VLOOKUP($B$3,'Data for Bill Impacts'!$A$3:$Y$15,13,0)</f>
        <v>0.51</v>
      </c>
      <c r="D16" s="22">
        <f t="shared" ref="D16" si="5">B16*C16</f>
        <v>0.51</v>
      </c>
      <c r="E16" s="73">
        <f t="shared" si="4"/>
        <v>1</v>
      </c>
      <c r="F16" s="78">
        <f>VLOOKUP($B$3,'Data for Bill Impacts'!$A$3:$Y$15,22,0)</f>
        <v>-0.01</v>
      </c>
      <c r="G16" s="22">
        <f t="shared" ref="G16" si="6">E16*F16</f>
        <v>-0.01</v>
      </c>
      <c r="H16" s="22">
        <f t="shared" si="2"/>
        <v>-0.52</v>
      </c>
      <c r="I16" s="23">
        <f t="shared" si="3"/>
        <v>-1.0196078431372548</v>
      </c>
      <c r="J16" s="125">
        <f t="shared" si="0"/>
        <v>-1.8366069631107151E-4</v>
      </c>
    </row>
    <row r="17" spans="1:10" x14ac:dyDescent="0.2">
      <c r="A17" s="107" t="s">
        <v>39</v>
      </c>
      <c r="B17" s="73">
        <f>IF($B$9="kWh",$B$4,$B$5)</f>
        <v>100</v>
      </c>
      <c r="C17" s="78">
        <f>VLOOKUP($B$3,'Data for Bill Impacts'!$A$3:$Y$15,10,0)</f>
        <v>2.8500000000000001E-2</v>
      </c>
      <c r="D17" s="22">
        <f>B17*C17</f>
        <v>2.85</v>
      </c>
      <c r="E17" s="73">
        <f t="shared" si="4"/>
        <v>100</v>
      </c>
      <c r="F17" s="78">
        <f>VLOOKUP($B$3,'Data for Bill Impacts'!$A$3:$Y$15,19,0)</f>
        <v>2.87E-2</v>
      </c>
      <c r="G17" s="22">
        <f>E17*F17</f>
        <v>2.87</v>
      </c>
      <c r="H17" s="22">
        <f t="shared" si="2"/>
        <v>2.0000000000000018E-2</v>
      </c>
      <c r="I17" s="23">
        <f t="shared" si="3"/>
        <v>7.017543859649129E-3</v>
      </c>
      <c r="J17" s="125">
        <f t="shared" si="0"/>
        <v>5.271061984127752E-2</v>
      </c>
    </row>
    <row r="18" spans="1:10" s="1" customFormat="1" x14ac:dyDescent="0.2">
      <c r="A18" s="107" t="s">
        <v>124</v>
      </c>
      <c r="B18" s="73">
        <f>IF($B$9="kWh",$B$4,$B$5)</f>
        <v>100</v>
      </c>
      <c r="C18" s="126">
        <f>VLOOKUP($B$3,'Data for Bill Impacts'!$A$3:$Y$15,14,0)</f>
        <v>-1E-4</v>
      </c>
      <c r="D18" s="22">
        <f>B18*C18</f>
        <v>-0.01</v>
      </c>
      <c r="E18" s="73">
        <f>B18</f>
        <v>100</v>
      </c>
      <c r="F18" s="126">
        <f>VLOOKUP($B$3,'Data for Bill Impacts'!$A$3:$Y$15,23,0)</f>
        <v>2.0000000000000001E-4</v>
      </c>
      <c r="G18" s="22">
        <f>E18*F18</f>
        <v>0.02</v>
      </c>
      <c r="H18" s="22">
        <f>G18-D18</f>
        <v>0.03</v>
      </c>
      <c r="I18" s="23">
        <f>IF(ISERROR(H18/D18),0,(H18/D18))</f>
        <v>-3</v>
      </c>
      <c r="J18" s="125">
        <f t="shared" si="0"/>
        <v>3.6732139262214301E-4</v>
      </c>
    </row>
    <row r="19" spans="1:10" x14ac:dyDescent="0.2">
      <c r="A19" s="110" t="s">
        <v>72</v>
      </c>
      <c r="B19" s="74"/>
      <c r="C19" s="35"/>
      <c r="D19" s="35">
        <f>SUM(D15:D18)</f>
        <v>38.53</v>
      </c>
      <c r="E19" s="73"/>
      <c r="F19" s="35"/>
      <c r="G19" s="35">
        <f>SUM(G15:G18)</f>
        <v>37.980000000000004</v>
      </c>
      <c r="H19" s="35">
        <f t="shared" si="2"/>
        <v>-0.54999999999999716</v>
      </c>
      <c r="I19" s="36">
        <f t="shared" si="3"/>
        <v>-1.4274591227614772E-2</v>
      </c>
      <c r="J19" s="111">
        <f t="shared" si="0"/>
        <v>0.69754332458944956</v>
      </c>
    </row>
    <row r="20" spans="1:10" s="1" customFormat="1" x14ac:dyDescent="0.2">
      <c r="A20" s="119" t="s">
        <v>81</v>
      </c>
      <c r="B20" s="120">
        <f>B8-B4</f>
        <v>9.2000000000000028</v>
      </c>
      <c r="C20" s="121">
        <f>IF(B4&gt;B7,C13,C12)</f>
        <v>0.10299999999999999</v>
      </c>
      <c r="D20" s="22">
        <f>B20*C20</f>
        <v>0.94760000000000022</v>
      </c>
      <c r="E20" s="73">
        <f>B20</f>
        <v>9.2000000000000028</v>
      </c>
      <c r="F20" s="121">
        <f>C20</f>
        <v>0.10299999999999999</v>
      </c>
      <c r="G20" s="22">
        <f>E20*F20</f>
        <v>0.94760000000000022</v>
      </c>
      <c r="H20" s="22">
        <f t="shared" si="2"/>
        <v>0</v>
      </c>
      <c r="I20" s="23">
        <f>IF(ISERROR(H20/D20),0,(H20/D20))</f>
        <v>0</v>
      </c>
      <c r="J20" s="125">
        <f t="shared" si="0"/>
        <v>1.7403687582437138E-2</v>
      </c>
    </row>
    <row r="21" spans="1:10" x14ac:dyDescent="0.2">
      <c r="A21" s="110" t="s">
        <v>79</v>
      </c>
      <c r="B21" s="74"/>
      <c r="C21" s="35"/>
      <c r="D21" s="35">
        <f>SUM(D19,D20:D20)</f>
        <v>39.477600000000002</v>
      </c>
      <c r="E21" s="73"/>
      <c r="F21" s="35"/>
      <c r="G21" s="35">
        <f>SUM(G19,G20:G20)</f>
        <v>38.927600000000005</v>
      </c>
      <c r="H21" s="35">
        <f t="shared" si="2"/>
        <v>-0.54999999999999716</v>
      </c>
      <c r="I21" s="36">
        <f>IF(ISERROR(H21/D21),0,(H21/D21))</f>
        <v>-1.3931951283765912E-2</v>
      </c>
      <c r="J21" s="111">
        <f t="shared" si="0"/>
        <v>0.71494701217188672</v>
      </c>
    </row>
    <row r="22" spans="1:10" x14ac:dyDescent="0.2">
      <c r="A22" s="107" t="s">
        <v>40</v>
      </c>
      <c r="B22" s="73">
        <f>B8</f>
        <v>109.2</v>
      </c>
      <c r="C22" s="78">
        <f>VLOOKUP($B$3,'Data for Bill Impacts'!$A$3:$Y$15,15,0)</f>
        <v>4.7000000000000002E-3</v>
      </c>
      <c r="D22" s="22">
        <f>B22*C22</f>
        <v>0.51324000000000003</v>
      </c>
      <c r="E22" s="73">
        <f t="shared" si="4"/>
        <v>109.2</v>
      </c>
      <c r="F22" s="126">
        <f>VLOOKUP($B$3,'Data for Bill Impacts'!$A$3:$Y$15,24,0)</f>
        <v>4.7699999999999999E-3</v>
      </c>
      <c r="G22" s="22">
        <f>E22*F22</f>
        <v>0.52088400000000001</v>
      </c>
      <c r="H22" s="22">
        <f t="shared" si="2"/>
        <v>7.6439999999999841E-3</v>
      </c>
      <c r="I22" s="23">
        <f t="shared" si="3"/>
        <v>1.4893617021276563E-2</v>
      </c>
      <c r="J22" s="125">
        <f t="shared" si="0"/>
        <v>9.566591813729616E-3</v>
      </c>
    </row>
    <row r="23" spans="1:10" s="1" customFormat="1" x14ac:dyDescent="0.2">
      <c r="A23" s="107" t="s">
        <v>41</v>
      </c>
      <c r="B23" s="73">
        <f>B8</f>
        <v>109.2</v>
      </c>
      <c r="C23" s="78">
        <f>VLOOKUP($B$3,'Data for Bill Impacts'!$A$3:$Y$15,16,0)</f>
        <v>3.0999999999999999E-3</v>
      </c>
      <c r="D23" s="22">
        <f>B23*C23</f>
        <v>0.33851999999999999</v>
      </c>
      <c r="E23" s="73">
        <f t="shared" si="4"/>
        <v>109.2</v>
      </c>
      <c r="F23" s="126">
        <f>VLOOKUP($B$3,'Data for Bill Impacts'!$A$3:$Y$15,25,0)</f>
        <v>3.7950000000000002E-3</v>
      </c>
      <c r="G23" s="22">
        <f>E23*F23</f>
        <v>0.414414</v>
      </c>
      <c r="H23" s="22">
        <f t="shared" si="2"/>
        <v>7.5894000000000017E-2</v>
      </c>
      <c r="I23" s="23">
        <f t="shared" si="3"/>
        <v>0.22419354838709682</v>
      </c>
      <c r="J23" s="125">
        <f t="shared" si="0"/>
        <v>7.6111563801056379E-3</v>
      </c>
    </row>
    <row r="24" spans="1:10" s="1" customFormat="1" x14ac:dyDescent="0.2">
      <c r="A24" s="110" t="s">
        <v>76</v>
      </c>
      <c r="B24" s="74"/>
      <c r="C24" s="35"/>
      <c r="D24" s="35">
        <f>SUM(D22:D23)</f>
        <v>0.85176000000000007</v>
      </c>
      <c r="E24" s="73"/>
      <c r="F24" s="35"/>
      <c r="G24" s="35">
        <f>SUM(G22:G23)</f>
        <v>0.93529799999999996</v>
      </c>
      <c r="H24" s="35">
        <f t="shared" si="2"/>
        <v>8.353799999999989E-2</v>
      </c>
      <c r="I24" s="36">
        <f t="shared" si="3"/>
        <v>9.8076923076922937E-2</v>
      </c>
      <c r="J24" s="111">
        <f t="shared" si="0"/>
        <v>1.7177748193835253E-2</v>
      </c>
    </row>
    <row r="25" spans="1:10" s="1" customFormat="1" x14ac:dyDescent="0.2">
      <c r="A25" s="110" t="s">
        <v>80</v>
      </c>
      <c r="B25" s="74"/>
      <c r="C25" s="35"/>
      <c r="D25" s="35">
        <f>D21+D24</f>
        <v>40.329360000000001</v>
      </c>
      <c r="E25" s="73"/>
      <c r="F25" s="35"/>
      <c r="G25" s="35">
        <f>G21+G24</f>
        <v>39.862898000000008</v>
      </c>
      <c r="H25" s="35">
        <f t="shared" si="2"/>
        <v>-0.46646199999999283</v>
      </c>
      <c r="I25" s="36">
        <f t="shared" si="3"/>
        <v>-1.1566312978931299E-2</v>
      </c>
      <c r="J25" s="111">
        <f t="shared" si="0"/>
        <v>0.73212476036572205</v>
      </c>
    </row>
    <row r="26" spans="1:10" x14ac:dyDescent="0.2">
      <c r="A26" s="107" t="s">
        <v>42</v>
      </c>
      <c r="B26" s="73">
        <f>B8</f>
        <v>109.2</v>
      </c>
      <c r="C26" s="34">
        <v>3.5999999999999999E-3</v>
      </c>
      <c r="D26" s="22">
        <f>B26*C26</f>
        <v>0.39312000000000002</v>
      </c>
      <c r="E26" s="73">
        <f t="shared" si="4"/>
        <v>109.2</v>
      </c>
      <c r="F26" s="34">
        <v>3.5999999999999999E-3</v>
      </c>
      <c r="G26" s="22">
        <f>E26*F26</f>
        <v>0.39312000000000002</v>
      </c>
      <c r="H26" s="22">
        <f t="shared" si="2"/>
        <v>0</v>
      </c>
      <c r="I26" s="23">
        <f t="shared" si="3"/>
        <v>0</v>
      </c>
      <c r="J26" s="125">
        <f t="shared" si="0"/>
        <v>7.220069293380843E-3</v>
      </c>
    </row>
    <row r="27" spans="1:10" s="1" customFormat="1" x14ac:dyDescent="0.2">
      <c r="A27" s="107" t="s">
        <v>43</v>
      </c>
      <c r="B27" s="73">
        <f>B8</f>
        <v>109.2</v>
      </c>
      <c r="C27" s="34">
        <v>2.0999999999999999E-3</v>
      </c>
      <c r="D27" s="22">
        <f>B27*C27</f>
        <v>0.22932</v>
      </c>
      <c r="E27" s="73">
        <f t="shared" si="4"/>
        <v>109.2</v>
      </c>
      <c r="F27" s="34">
        <v>2.0999999999999999E-3</v>
      </c>
      <c r="G27" s="22">
        <f>E27*F27</f>
        <v>0.22932</v>
      </c>
      <c r="H27" s="22">
        <f>G27-D27</f>
        <v>0</v>
      </c>
      <c r="I27" s="23">
        <f t="shared" si="3"/>
        <v>0</v>
      </c>
      <c r="J27" s="125">
        <f t="shared" si="0"/>
        <v>4.2117070878054915E-3</v>
      </c>
    </row>
    <row r="28" spans="1:10" s="1" customFormat="1" x14ac:dyDescent="0.2">
      <c r="A28" s="107" t="s">
        <v>96</v>
      </c>
      <c r="B28" s="73">
        <f>B8</f>
        <v>109.2</v>
      </c>
      <c r="C28" s="34">
        <v>1.1000000000000001E-3</v>
      </c>
      <c r="D28" s="22">
        <f>B28*C28</f>
        <v>0.12012</v>
      </c>
      <c r="E28" s="73">
        <f t="shared" si="4"/>
        <v>109.2</v>
      </c>
      <c r="F28" s="34">
        <v>1.1000000000000001E-3</v>
      </c>
      <c r="G28" s="22">
        <f>E28*F28</f>
        <v>0.12012</v>
      </c>
      <c r="H28" s="22">
        <f>G28-D28</f>
        <v>0</v>
      </c>
      <c r="I28" s="23">
        <f t="shared" ref="I28" si="7">IF(ISERROR(H28/D28),0,(H28/D28))</f>
        <v>0</v>
      </c>
      <c r="J28" s="125">
        <f t="shared" ref="J28" si="8">G28/$G$36</f>
        <v>2.2061322840885907E-3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4.591517407776787E-3</v>
      </c>
    </row>
    <row r="30" spans="1:10" s="1" customFormat="1" x14ac:dyDescent="0.2">
      <c r="A30" s="110" t="s">
        <v>45</v>
      </c>
      <c r="B30" s="74"/>
      <c r="C30" s="35"/>
      <c r="D30" s="35">
        <f>SUM(D26:D29)</f>
        <v>0.99256</v>
      </c>
      <c r="E30" s="73"/>
      <c r="F30" s="35"/>
      <c r="G30" s="35">
        <f>SUM(G26:G29)</f>
        <v>0.99256</v>
      </c>
      <c r="H30" s="35">
        <f t="shared" si="2"/>
        <v>0</v>
      </c>
      <c r="I30" s="36">
        <f t="shared" si="3"/>
        <v>0</v>
      </c>
      <c r="J30" s="111">
        <f t="shared" si="9"/>
        <v>1.822942607305171E-2</v>
      </c>
    </row>
    <row r="31" spans="1:10" ht="13.5" thickBot="1" x14ac:dyDescent="0.25">
      <c r="A31" s="112" t="s">
        <v>46</v>
      </c>
      <c r="B31" s="113">
        <f>B4</f>
        <v>100</v>
      </c>
      <c r="C31" s="114">
        <v>7.0000000000000001E-3</v>
      </c>
      <c r="D31" s="115">
        <f>B31*C31</f>
        <v>0.70000000000000007</v>
      </c>
      <c r="E31" s="116">
        <f t="shared" si="4"/>
        <v>100</v>
      </c>
      <c r="F31" s="114">
        <f>C31</f>
        <v>7.0000000000000001E-3</v>
      </c>
      <c r="G31" s="115">
        <f>E31*F31</f>
        <v>0.70000000000000007</v>
      </c>
      <c r="H31" s="115">
        <f t="shared" si="2"/>
        <v>0</v>
      </c>
      <c r="I31" s="117">
        <f t="shared" si="3"/>
        <v>0</v>
      </c>
      <c r="J31" s="118">
        <f t="shared" si="9"/>
        <v>1.2856248741775007E-2</v>
      </c>
    </row>
    <row r="32" spans="1:10" x14ac:dyDescent="0.2">
      <c r="A32" s="37" t="s">
        <v>115</v>
      </c>
      <c r="B32" s="38"/>
      <c r="C32" s="39"/>
      <c r="D32" s="39">
        <f>SUM(D14,D21,D24,D30,D31)</f>
        <v>52.321919999999999</v>
      </c>
      <c r="E32" s="38"/>
      <c r="F32" s="39"/>
      <c r="G32" s="39">
        <f>SUM(G14,G21,G24,G30,G31)</f>
        <v>51.855458000000006</v>
      </c>
      <c r="H32" s="39">
        <f t="shared" si="2"/>
        <v>-0.46646199999999283</v>
      </c>
      <c r="I32" s="40">
        <f>IF(ISERROR(H32/D32),0,(H32/D32))</f>
        <v>-8.9152309395372498E-3</v>
      </c>
      <c r="J32" s="41">
        <f t="shared" si="9"/>
        <v>0.95238095238095244</v>
      </c>
    </row>
    <row r="33" spans="1:10" x14ac:dyDescent="0.2">
      <c r="A33" s="46" t="s">
        <v>106</v>
      </c>
      <c r="B33" s="43"/>
      <c r="C33" s="26">
        <v>0.13</v>
      </c>
      <c r="D33" s="26">
        <f>D32*C33</f>
        <v>6.8018495999999997</v>
      </c>
      <c r="E33" s="26"/>
      <c r="F33" s="26">
        <f>C33</f>
        <v>0.13</v>
      </c>
      <c r="G33" s="26">
        <f>G32*F33</f>
        <v>6.7412095400000007</v>
      </c>
      <c r="H33" s="26">
        <f t="shared" si="2"/>
        <v>-6.0640059999998996E-2</v>
      </c>
      <c r="I33" s="44">
        <f t="shared" si="3"/>
        <v>-8.9152309395372394E-3</v>
      </c>
      <c r="J33" s="45">
        <f t="shared" si="9"/>
        <v>0.12380952380952381</v>
      </c>
    </row>
    <row r="34" spans="1:10" x14ac:dyDescent="0.2">
      <c r="A34" s="46" t="s">
        <v>107</v>
      </c>
      <c r="B34" s="24"/>
      <c r="C34" s="25"/>
      <c r="D34" s="25">
        <f>SUM(D32:D33)</f>
        <v>59.123769599999996</v>
      </c>
      <c r="E34" s="25"/>
      <c r="F34" s="25"/>
      <c r="G34" s="25">
        <f>SUM(G32:G33)</f>
        <v>58.596667540000006</v>
      </c>
      <c r="H34" s="25">
        <f t="shared" si="2"/>
        <v>-0.52710205999999005</v>
      </c>
      <c r="I34" s="27">
        <f t="shared" si="3"/>
        <v>-8.9152309395372185E-3</v>
      </c>
      <c r="J34" s="47">
        <f t="shared" si="9"/>
        <v>1.0761904761904761</v>
      </c>
    </row>
    <row r="35" spans="1:10" x14ac:dyDescent="0.2">
      <c r="A35" s="46" t="s">
        <v>108</v>
      </c>
      <c r="B35" s="43"/>
      <c r="C35" s="26">
        <v>-0.08</v>
      </c>
      <c r="D35" s="26">
        <f>D32*C35</f>
        <v>-4.1857536</v>
      </c>
      <c r="E35" s="26"/>
      <c r="F35" s="26">
        <f>C35</f>
        <v>-0.08</v>
      </c>
      <c r="G35" s="26">
        <f>G32*F35</f>
        <v>-4.1484366400000008</v>
      </c>
      <c r="H35" s="26">
        <f t="shared" si="2"/>
        <v>3.7316959999999177E-2</v>
      </c>
      <c r="I35" s="44">
        <f t="shared" si="3"/>
        <v>-8.9152309395371908E-3</v>
      </c>
      <c r="J35" s="45">
        <f t="shared" si="9"/>
        <v>-7.6190476190476197E-2</v>
      </c>
    </row>
    <row r="36" spans="1:10" ht="13.5" thickBot="1" x14ac:dyDescent="0.25">
      <c r="A36" s="46" t="s">
        <v>109</v>
      </c>
      <c r="B36" s="49"/>
      <c r="C36" s="50"/>
      <c r="D36" s="50">
        <f>SUM(D34:D35)</f>
        <v>54.938015999999998</v>
      </c>
      <c r="E36" s="50"/>
      <c r="F36" s="50"/>
      <c r="G36" s="50">
        <f>SUM(G34:G35)</f>
        <v>54.448230900000006</v>
      </c>
      <c r="H36" s="50">
        <f t="shared" si="2"/>
        <v>-0.48978509999999176</v>
      </c>
      <c r="I36" s="51">
        <f t="shared" si="3"/>
        <v>-8.9152309395372376E-3</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1" tint="0.499984740745262"/>
    <pageSetUpPr fitToPage="1"/>
  </sheetPr>
  <dimension ref="A1:K68"/>
  <sheetViews>
    <sheetView tabSelected="1" zoomScaleNormal="100" zoomScaleSheetLayoutView="100" workbookViewId="0">
      <selection activeCell="N25" sqref="N25"/>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100</v>
      </c>
      <c r="B1" s="192"/>
      <c r="C1" s="192"/>
      <c r="D1" s="192"/>
      <c r="E1" s="192"/>
      <c r="F1" s="192"/>
      <c r="G1" s="192"/>
      <c r="H1" s="192"/>
      <c r="I1" s="192"/>
      <c r="J1" s="192"/>
      <c r="K1" s="193"/>
    </row>
    <row r="3" spans="1:11" x14ac:dyDescent="0.2">
      <c r="A3" s="13" t="s">
        <v>13</v>
      </c>
      <c r="B3" s="13" t="s">
        <v>0</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5">
        <f>B4*B6</f>
        <v>792.75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0.43053237343221695</v>
      </c>
      <c r="K12" s="106"/>
    </row>
    <row r="13" spans="1:11" x14ac:dyDescent="0.2">
      <c r="A13" s="107" t="s">
        <v>32</v>
      </c>
      <c r="B13" s="73">
        <f>IF(B4&gt;B7,(B4)-B7,0)</f>
        <v>150</v>
      </c>
      <c r="C13" s="21">
        <v>0.121</v>
      </c>
      <c r="D13" s="22">
        <f>B13*C13</f>
        <v>18.149999999999999</v>
      </c>
      <c r="E13" s="73">
        <f t="shared" ref="E13" si="0">B13</f>
        <v>150</v>
      </c>
      <c r="F13" s="21">
        <f>C13</f>
        <v>0.121</v>
      </c>
      <c r="G13" s="22">
        <f>E13*F13</f>
        <v>18.149999999999999</v>
      </c>
      <c r="H13" s="22">
        <f t="shared" ref="H13:H46" si="1">G13-D13</f>
        <v>0</v>
      </c>
      <c r="I13" s="23">
        <f t="shared" ref="I13:I46" si="2">IF(ISERROR(H13/D13),0,(H13/D13))</f>
        <v>0</v>
      </c>
      <c r="J13" s="23">
        <f>G13/$G$46</f>
        <v>0.1264427601584909</v>
      </c>
      <c r="K13" s="108"/>
    </row>
    <row r="14" spans="1:11" s="1" customFormat="1" x14ac:dyDescent="0.2">
      <c r="A14" s="46" t="s">
        <v>33</v>
      </c>
      <c r="B14" s="24"/>
      <c r="C14" s="25"/>
      <c r="D14" s="25">
        <f>SUM(D12:D13)</f>
        <v>79.949999999999989</v>
      </c>
      <c r="E14" s="76"/>
      <c r="F14" s="25"/>
      <c r="G14" s="25">
        <f>SUM(G12:G13)</f>
        <v>79.949999999999989</v>
      </c>
      <c r="H14" s="25">
        <f t="shared" si="1"/>
        <v>0</v>
      </c>
      <c r="I14" s="27">
        <f t="shared" si="2"/>
        <v>0</v>
      </c>
      <c r="J14" s="27">
        <f>G14/$G$46</f>
        <v>0.55697513359070783</v>
      </c>
      <c r="K14" s="108"/>
    </row>
    <row r="15" spans="1:11" s="1" customFormat="1" x14ac:dyDescent="0.2">
      <c r="A15" s="109" t="s">
        <v>34</v>
      </c>
      <c r="B15" s="75">
        <f>B4*0.65</f>
        <v>487.5</v>
      </c>
      <c r="C15" s="28">
        <v>8.6999999999999994E-2</v>
      </c>
      <c r="D15" s="22">
        <f>B15*C15</f>
        <v>42.412499999999994</v>
      </c>
      <c r="E15" s="73">
        <f t="shared" ref="E15:F17" si="3">B15</f>
        <v>487.5</v>
      </c>
      <c r="F15" s="28">
        <f t="shared" si="3"/>
        <v>8.6999999999999994E-2</v>
      </c>
      <c r="G15" s="22">
        <f>E15*F15</f>
        <v>42.412499999999994</v>
      </c>
      <c r="H15" s="22">
        <f t="shared" si="1"/>
        <v>0</v>
      </c>
      <c r="I15" s="23">
        <f t="shared" si="2"/>
        <v>0</v>
      </c>
      <c r="J15" s="23"/>
      <c r="K15" s="108">
        <f t="shared" ref="K15:K26" si="4">G15/$G$51</f>
        <v>0.28874832546650814</v>
      </c>
    </row>
    <row r="16" spans="1:11" s="1" customFormat="1" x14ac:dyDescent="0.2">
      <c r="A16" s="109" t="s">
        <v>35</v>
      </c>
      <c r="B16" s="75">
        <f>B4*0.17</f>
        <v>127.50000000000001</v>
      </c>
      <c r="C16" s="28">
        <v>0.13200000000000001</v>
      </c>
      <c r="D16" s="22">
        <f>B16*C16</f>
        <v>16.830000000000002</v>
      </c>
      <c r="E16" s="73">
        <f t="shared" si="3"/>
        <v>127.50000000000001</v>
      </c>
      <c r="F16" s="28">
        <f t="shared" si="3"/>
        <v>0.13200000000000001</v>
      </c>
      <c r="G16" s="22">
        <f>E16*F16</f>
        <v>16.830000000000002</v>
      </c>
      <c r="H16" s="22">
        <f t="shared" si="1"/>
        <v>0</v>
      </c>
      <c r="I16" s="23">
        <f t="shared" si="2"/>
        <v>0</v>
      </c>
      <c r="J16" s="23"/>
      <c r="K16" s="108">
        <f t="shared" si="4"/>
        <v>0.11458023737344729</v>
      </c>
    </row>
    <row r="17" spans="1:11" s="1" customFormat="1" x14ac:dyDescent="0.2">
      <c r="A17" s="109" t="s">
        <v>36</v>
      </c>
      <c r="B17" s="75">
        <f>B4*0.18</f>
        <v>135</v>
      </c>
      <c r="C17" s="28">
        <v>0.18</v>
      </c>
      <c r="D17" s="22">
        <f>B17*C17</f>
        <v>24.3</v>
      </c>
      <c r="E17" s="73">
        <f t="shared" si="3"/>
        <v>135</v>
      </c>
      <c r="F17" s="28">
        <f t="shared" si="3"/>
        <v>0.18</v>
      </c>
      <c r="G17" s="22">
        <f>E17*F17</f>
        <v>24.3</v>
      </c>
      <c r="H17" s="22">
        <f t="shared" si="1"/>
        <v>0</v>
      </c>
      <c r="I17" s="23">
        <f t="shared" si="2"/>
        <v>0</v>
      </c>
      <c r="J17" s="23"/>
      <c r="K17" s="108">
        <f t="shared" si="4"/>
        <v>0.16543670636807897</v>
      </c>
    </row>
    <row r="18" spans="1:11" s="1" customFormat="1" x14ac:dyDescent="0.2">
      <c r="A18" s="61" t="s">
        <v>37</v>
      </c>
      <c r="B18" s="29"/>
      <c r="C18" s="30"/>
      <c r="D18" s="30">
        <f>SUM(D15:D17)</f>
        <v>83.54249999999999</v>
      </c>
      <c r="E18" s="77"/>
      <c r="F18" s="30"/>
      <c r="G18" s="30">
        <f>SUM(G15:G17)</f>
        <v>83.54249999999999</v>
      </c>
      <c r="H18" s="31">
        <f t="shared" si="1"/>
        <v>0</v>
      </c>
      <c r="I18" s="32">
        <f t="shared" si="2"/>
        <v>0</v>
      </c>
      <c r="J18" s="33">
        <f t="shared" ref="J18:J26" si="5">G18/$G$46</f>
        <v>0.58200244025017778</v>
      </c>
      <c r="K18" s="62">
        <f t="shared" si="4"/>
        <v>0.56876526920803439</v>
      </c>
    </row>
    <row r="19" spans="1:11" x14ac:dyDescent="0.2">
      <c r="A19" s="107" t="s">
        <v>38</v>
      </c>
      <c r="B19" s="73">
        <v>1</v>
      </c>
      <c r="C19" s="78">
        <f>VLOOKUP($B$3,'Data for Bill Impacts'!$A$3:$Y$15,7,0)</f>
        <v>24.78</v>
      </c>
      <c r="D19" s="22">
        <f>B19*C19</f>
        <v>24.78</v>
      </c>
      <c r="E19" s="73">
        <f t="shared" ref="E19:E41" si="6">B19</f>
        <v>1</v>
      </c>
      <c r="F19" s="78">
        <f>VLOOKUP($B$3,'Data for Bill Impacts'!$A$3:$Y$15,17,0)</f>
        <v>27.76</v>
      </c>
      <c r="G19" s="22">
        <f>E19*F19</f>
        <v>27.76</v>
      </c>
      <c r="H19" s="22">
        <f t="shared" si="1"/>
        <v>2.9800000000000004</v>
      </c>
      <c r="I19" s="23">
        <f t="shared" si="2"/>
        <v>0.12025827280064569</v>
      </c>
      <c r="J19" s="23">
        <f t="shared" si="5"/>
        <v>0.19339124088152662</v>
      </c>
      <c r="K19" s="108">
        <f t="shared" si="4"/>
        <v>0.18899271476452148</v>
      </c>
    </row>
    <row r="20" spans="1:11" x14ac:dyDescent="0.2">
      <c r="A20" s="107" t="s">
        <v>113</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0.72</v>
      </c>
      <c r="D21" s="22">
        <f t="shared" si="7"/>
        <v>0.72</v>
      </c>
      <c r="E21" s="73">
        <f t="shared" si="6"/>
        <v>1</v>
      </c>
      <c r="F21" s="122">
        <f>VLOOKUP($B$3,'Data for Bill Impacts'!$A$3:$Y$15,22,0)</f>
        <v>0.01</v>
      </c>
      <c r="G21" s="22">
        <f t="shared" si="8"/>
        <v>0.01</v>
      </c>
      <c r="H21" s="22">
        <f t="shared" si="1"/>
        <v>-0.71</v>
      </c>
      <c r="I21" s="23">
        <f t="shared" si="2"/>
        <v>-0.98611111111111105</v>
      </c>
      <c r="J21" s="23">
        <f t="shared" si="5"/>
        <v>6.9665432594209875E-5</v>
      </c>
      <c r="K21" s="108">
        <f t="shared" si="4"/>
        <v>6.8080949122666242E-5</v>
      </c>
    </row>
    <row r="22" spans="1:11" hidden="1" x14ac:dyDescent="0.2">
      <c r="A22" s="107" t="s">
        <v>123</v>
      </c>
      <c r="B22" s="73">
        <f>B4</f>
        <v>750</v>
      </c>
      <c r="C22" s="78">
        <v>0</v>
      </c>
      <c r="D22" s="22">
        <f>B22*C22</f>
        <v>0</v>
      </c>
      <c r="E22" s="73">
        <f>B22</f>
        <v>750</v>
      </c>
      <c r="F22" s="78">
        <f>C22</f>
        <v>0</v>
      </c>
      <c r="G22" s="22">
        <f>E22*F22</f>
        <v>0</v>
      </c>
      <c r="H22" s="22">
        <f>G22-D22</f>
        <v>0</v>
      </c>
      <c r="I22" s="23">
        <f>IF(ISERROR(H22/D22),0,(H22/D22))</f>
        <v>0</v>
      </c>
      <c r="J22" s="23">
        <f t="shared" si="5"/>
        <v>0</v>
      </c>
      <c r="K22" s="108">
        <f t="shared" si="4"/>
        <v>0</v>
      </c>
    </row>
    <row r="23" spans="1:11" x14ac:dyDescent="0.2">
      <c r="A23" s="107" t="s">
        <v>39</v>
      </c>
      <c r="B23" s="73">
        <f>IF($B$9="kWh",$B$4,$B$5)</f>
        <v>750</v>
      </c>
      <c r="C23" s="78">
        <f>VLOOKUP($B$3,'Data for Bill Impacts'!$A$3:$Y$15,10,0)</f>
        <v>9.4000000000000004E-3</v>
      </c>
      <c r="D23" s="22">
        <f>B23*C23</f>
        <v>7.0500000000000007</v>
      </c>
      <c r="E23" s="73">
        <f t="shared" si="6"/>
        <v>750</v>
      </c>
      <c r="F23" s="78">
        <f>VLOOKUP($B$3,'Data for Bill Impacts'!$A$3:$Y$15,19,0)</f>
        <v>7.9000000000000008E-3</v>
      </c>
      <c r="G23" s="22">
        <f>E23*F23</f>
        <v>5.9250000000000007</v>
      </c>
      <c r="H23" s="22">
        <f t="shared" si="1"/>
        <v>-1.125</v>
      </c>
      <c r="I23" s="23">
        <f t="shared" si="2"/>
        <v>-0.15957446808510636</v>
      </c>
      <c r="J23" s="23">
        <f t="shared" si="5"/>
        <v>4.1276768812069355E-2</v>
      </c>
      <c r="K23" s="108">
        <f t="shared" si="4"/>
        <v>4.0337962355179752E-2</v>
      </c>
    </row>
    <row r="24" spans="1:11" x14ac:dyDescent="0.2">
      <c r="A24" s="107" t="s">
        <v>124</v>
      </c>
      <c r="B24" s="73">
        <f>IF($B$9="kWh",$B$4,$B$5)</f>
        <v>750</v>
      </c>
      <c r="C24" s="78">
        <f>VLOOKUP($B$3,'Data for Bill Impacts'!$A$3:$Y$15,14,0)</f>
        <v>-2.9999999999999997E-4</v>
      </c>
      <c r="D24" s="22">
        <f>B24*C24</f>
        <v>-0.22499999999999998</v>
      </c>
      <c r="E24" s="73">
        <f>B24</f>
        <v>750</v>
      </c>
      <c r="F24" s="126">
        <f>VLOOKUP($B$3,'Data for Bill Impacts'!$A$3:$Y$15,23,0)</f>
        <v>2.0000000000000001E-4</v>
      </c>
      <c r="G24" s="22">
        <f>E24*F24</f>
        <v>0.15</v>
      </c>
      <c r="H24" s="22">
        <f>G24-D24</f>
        <v>0.375</v>
      </c>
      <c r="I24" s="23">
        <f>IF(ISERROR(H24/D24),0,(H24/D24))</f>
        <v>-1.6666666666666667</v>
      </c>
      <c r="J24" s="23">
        <f t="shared" si="5"/>
        <v>1.044981488913148E-3</v>
      </c>
      <c r="K24" s="108">
        <f t="shared" si="4"/>
        <v>1.0212142368399935E-3</v>
      </c>
    </row>
    <row r="25" spans="1:11" s="1" customFormat="1" x14ac:dyDescent="0.2">
      <c r="A25" s="110" t="s">
        <v>72</v>
      </c>
      <c r="B25" s="74"/>
      <c r="C25" s="35"/>
      <c r="D25" s="35">
        <f>SUM(D19:D24)</f>
        <v>32.324999999999996</v>
      </c>
      <c r="E25" s="73"/>
      <c r="F25" s="35"/>
      <c r="G25" s="35">
        <f>SUM(G19:G24)</f>
        <v>33.845000000000006</v>
      </c>
      <c r="H25" s="35">
        <f t="shared" si="1"/>
        <v>1.5200000000000102</v>
      </c>
      <c r="I25" s="36">
        <f t="shared" si="2"/>
        <v>4.7022428460943864E-2</v>
      </c>
      <c r="J25" s="36">
        <f t="shared" si="5"/>
        <v>0.23578265661510334</v>
      </c>
      <c r="K25" s="111">
        <f t="shared" si="4"/>
        <v>0.23041997230566391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5.5035691749425802E-3</v>
      </c>
      <c r="K26" s="108">
        <f t="shared" si="4"/>
        <v>5.3783949806906328E-3</v>
      </c>
    </row>
    <row r="27" spans="1:11" s="1" customFormat="1" x14ac:dyDescent="0.2">
      <c r="A27" s="119" t="s">
        <v>75</v>
      </c>
      <c r="B27" s="120">
        <f>B8-B4</f>
        <v>42.75</v>
      </c>
      <c r="C27" s="121">
        <f>IF(B4&gt;B7,C13,C12)</f>
        <v>0.121</v>
      </c>
      <c r="D27" s="22">
        <f>B27*C27</f>
        <v>5.1727499999999997</v>
      </c>
      <c r="E27" s="73">
        <f>B27</f>
        <v>42.75</v>
      </c>
      <c r="F27" s="121">
        <f>C27</f>
        <v>0.121</v>
      </c>
      <c r="G27" s="22">
        <f>E27*F27</f>
        <v>5.1727499999999997</v>
      </c>
      <c r="H27" s="22">
        <f t="shared" si="1"/>
        <v>0</v>
      </c>
      <c r="I27" s="23">
        <f>IF(ISERROR(H27/D27),0,(H27/D27))</f>
        <v>0</v>
      </c>
      <c r="J27" s="23">
        <f t="shared" ref="J27:J46" si="9">G27/$G$46</f>
        <v>3.6036186645169908E-2</v>
      </c>
      <c r="K27" s="108">
        <f t="shared" ref="K27:K41" si="10">G27/$G$51</f>
        <v>3.5216572957427174E-2</v>
      </c>
    </row>
    <row r="28" spans="1:11" s="1" customFormat="1" x14ac:dyDescent="0.2">
      <c r="A28" s="119" t="s">
        <v>74</v>
      </c>
      <c r="B28" s="120">
        <f>B8-B4</f>
        <v>42.75</v>
      </c>
      <c r="C28" s="121">
        <f>0.65*C15+0.17*C16+0.18*C17</f>
        <v>0.11139</v>
      </c>
      <c r="D28" s="22">
        <f>B28*C28</f>
        <v>4.7619224999999998</v>
      </c>
      <c r="E28" s="73">
        <f>B28</f>
        <v>42.75</v>
      </c>
      <c r="F28" s="121">
        <f>C28</f>
        <v>0.11139</v>
      </c>
      <c r="G28" s="22">
        <f>E28*F28</f>
        <v>4.7619224999999998</v>
      </c>
      <c r="H28" s="22">
        <f t="shared" si="1"/>
        <v>0</v>
      </c>
      <c r="I28" s="23">
        <f>IF(ISERROR(H28/D28),0,(H28/D28))</f>
        <v>0</v>
      </c>
      <c r="J28" s="23">
        <f t="shared" si="9"/>
        <v>3.3174139094260133E-2</v>
      </c>
      <c r="K28" s="108">
        <f t="shared" si="10"/>
        <v>3.2419620344857958E-2</v>
      </c>
    </row>
    <row r="29" spans="1:11" s="1" customFormat="1" x14ac:dyDescent="0.2">
      <c r="A29" s="110" t="s">
        <v>78</v>
      </c>
      <c r="B29" s="74"/>
      <c r="C29" s="35"/>
      <c r="D29" s="35">
        <f>SUM(D25,D26:D27)</f>
        <v>38.287749999999996</v>
      </c>
      <c r="E29" s="73"/>
      <c r="F29" s="35"/>
      <c r="G29" s="35">
        <f>SUM(G25,G26:G27)</f>
        <v>39.807750000000006</v>
      </c>
      <c r="H29" s="35">
        <f t="shared" si="1"/>
        <v>1.5200000000000102</v>
      </c>
      <c r="I29" s="36">
        <f>IF(ISERROR(H29/D29),0,(H29/D29))</f>
        <v>3.9699381656012965E-2</v>
      </c>
      <c r="J29" s="36">
        <f t="shared" si="9"/>
        <v>0.27732241243521583</v>
      </c>
      <c r="K29" s="111">
        <f t="shared" si="10"/>
        <v>0.27101494024378175</v>
      </c>
    </row>
    <row r="30" spans="1:11" s="1" customFormat="1" x14ac:dyDescent="0.2">
      <c r="A30" s="110" t="s">
        <v>77</v>
      </c>
      <c r="B30" s="74"/>
      <c r="C30" s="35"/>
      <c r="D30" s="35">
        <f>SUM(D25,D26,D28)</f>
        <v>37.876922499999992</v>
      </c>
      <c r="E30" s="73"/>
      <c r="F30" s="35"/>
      <c r="G30" s="35">
        <f>SUM(G25,G26,G28)</f>
        <v>39.396922500000002</v>
      </c>
      <c r="H30" s="35">
        <f t="shared" si="1"/>
        <v>1.5200000000000102</v>
      </c>
      <c r="I30" s="36">
        <f>IF(ISERROR(H30/D30),0,(H30/D30))</f>
        <v>4.0129976240810231E-2</v>
      </c>
      <c r="J30" s="36">
        <f t="shared" si="9"/>
        <v>0.27446036488430603</v>
      </c>
      <c r="K30" s="111">
        <f t="shared" si="10"/>
        <v>0.26821798763121252</v>
      </c>
    </row>
    <row r="31" spans="1:11" x14ac:dyDescent="0.2">
      <c r="A31" s="107" t="s">
        <v>40</v>
      </c>
      <c r="B31" s="73">
        <f>B8</f>
        <v>792.75</v>
      </c>
      <c r="C31" s="78">
        <f>VLOOKUP($B$3,'Data for Bill Impacts'!$A$3:$Y$15,15,0)</f>
        <v>6.7000000000000002E-3</v>
      </c>
      <c r="D31" s="22">
        <f>B31*C31</f>
        <v>5.3114249999999998</v>
      </c>
      <c r="E31" s="73">
        <f t="shared" si="6"/>
        <v>792.75</v>
      </c>
      <c r="F31" s="126">
        <f>VLOOKUP($B$3,'Data for Bill Impacts'!$A$3:$Y$15,24,0)</f>
        <v>7.8279999999999999E-3</v>
      </c>
      <c r="G31" s="22">
        <f>E31*F31</f>
        <v>6.2056469999999999</v>
      </c>
      <c r="H31" s="22">
        <f t="shared" si="1"/>
        <v>0.89422200000000007</v>
      </c>
      <c r="I31" s="23">
        <f t="shared" si="2"/>
        <v>0.16835820895522391</v>
      </c>
      <c r="J31" s="23">
        <f t="shared" si="9"/>
        <v>4.323190827819607E-2</v>
      </c>
      <c r="K31" s="108">
        <f t="shared" si="10"/>
        <v>4.2248633768022639E-2</v>
      </c>
    </row>
    <row r="32" spans="1:11" x14ac:dyDescent="0.2">
      <c r="A32" s="107" t="s">
        <v>41</v>
      </c>
      <c r="B32" s="73">
        <f>B8</f>
        <v>792.75</v>
      </c>
      <c r="C32" s="78">
        <f>VLOOKUP($B$3,'Data for Bill Impacts'!$A$3:$Y$15,16,0)</f>
        <v>4.7000000000000002E-3</v>
      </c>
      <c r="D32" s="22">
        <f>B32*C32</f>
        <v>3.7259250000000002</v>
      </c>
      <c r="E32" s="73">
        <f t="shared" si="6"/>
        <v>792.75</v>
      </c>
      <c r="F32" s="126">
        <f>VLOOKUP($B$3,'Data for Bill Impacts'!$A$3:$Y$15,25,0)</f>
        <v>6.4380000000000001E-3</v>
      </c>
      <c r="G32" s="22">
        <f>E32*F32</f>
        <v>5.1037245000000002</v>
      </c>
      <c r="H32" s="22">
        <f t="shared" si="1"/>
        <v>1.3777995000000001</v>
      </c>
      <c r="I32" s="23">
        <f t="shared" si="2"/>
        <v>0.3697872340425532</v>
      </c>
      <c r="J32" s="23">
        <f t="shared" si="9"/>
        <v>3.555531751341675E-2</v>
      </c>
      <c r="K32" s="108">
        <f t="shared" si="10"/>
        <v>3.4746640802060517E-2</v>
      </c>
    </row>
    <row r="33" spans="1:11" s="1" customFormat="1" x14ac:dyDescent="0.2">
      <c r="A33" s="110" t="s">
        <v>76</v>
      </c>
      <c r="B33" s="74"/>
      <c r="C33" s="35"/>
      <c r="D33" s="35">
        <f>SUM(D31:D32)</f>
        <v>9.03735</v>
      </c>
      <c r="E33" s="73"/>
      <c r="F33" s="35"/>
      <c r="G33" s="35">
        <f>SUM(G31:G32)</f>
        <v>11.309371500000001</v>
      </c>
      <c r="H33" s="35">
        <f t="shared" si="1"/>
        <v>2.272021500000001</v>
      </c>
      <c r="I33" s="36">
        <f t="shared" si="2"/>
        <v>0.25140350877192996</v>
      </c>
      <c r="J33" s="36">
        <f t="shared" si="9"/>
        <v>7.8787225791612819E-2</v>
      </c>
      <c r="K33" s="111">
        <f t="shared" si="10"/>
        <v>7.6995274570083164E-2</v>
      </c>
    </row>
    <row r="34" spans="1:11" s="1" customFormat="1" x14ac:dyDescent="0.2">
      <c r="A34" s="110" t="s">
        <v>91</v>
      </c>
      <c r="B34" s="74"/>
      <c r="C34" s="35"/>
      <c r="D34" s="35">
        <f>D29+D33</f>
        <v>47.325099999999992</v>
      </c>
      <c r="E34" s="73"/>
      <c r="F34" s="35"/>
      <c r="G34" s="35">
        <f>G29+G33</f>
        <v>51.11712150000001</v>
      </c>
      <c r="H34" s="35">
        <f t="shared" si="1"/>
        <v>3.7920215000000184</v>
      </c>
      <c r="I34" s="36">
        <f t="shared" si="2"/>
        <v>8.0127067877300187E-2</v>
      </c>
      <c r="J34" s="36">
        <f t="shared" si="9"/>
        <v>0.35610963822682867</v>
      </c>
      <c r="K34" s="111">
        <f t="shared" si="10"/>
        <v>0.3480102148138649</v>
      </c>
    </row>
    <row r="35" spans="1:11" s="1" customFormat="1" x14ac:dyDescent="0.2">
      <c r="A35" s="110" t="s">
        <v>92</v>
      </c>
      <c r="B35" s="74"/>
      <c r="C35" s="35"/>
      <c r="D35" s="35">
        <f>D30+D33</f>
        <v>46.914272499999996</v>
      </c>
      <c r="E35" s="73"/>
      <c r="F35" s="35"/>
      <c r="G35" s="35">
        <f>G30+G33</f>
        <v>50.706294</v>
      </c>
      <c r="H35" s="35">
        <f t="shared" si="1"/>
        <v>3.7920215000000042</v>
      </c>
      <c r="I35" s="36">
        <f t="shared" si="2"/>
        <v>8.0828739271188832E-2</v>
      </c>
      <c r="J35" s="36">
        <f t="shared" si="9"/>
        <v>0.35324759067591882</v>
      </c>
      <c r="K35" s="111">
        <f t="shared" si="10"/>
        <v>0.34521326220129561</v>
      </c>
    </row>
    <row r="36" spans="1:11" x14ac:dyDescent="0.2">
      <c r="A36" s="107" t="s">
        <v>42</v>
      </c>
      <c r="B36" s="73">
        <f>B8</f>
        <v>792.75</v>
      </c>
      <c r="C36" s="34">
        <v>3.5999999999999999E-3</v>
      </c>
      <c r="D36" s="22">
        <f>B36*C36</f>
        <v>2.8538999999999999</v>
      </c>
      <c r="E36" s="73">
        <f t="shared" si="6"/>
        <v>792.75</v>
      </c>
      <c r="F36" s="34">
        <v>3.5999999999999999E-3</v>
      </c>
      <c r="G36" s="22">
        <f>E36*F36</f>
        <v>2.8538999999999999</v>
      </c>
      <c r="H36" s="22">
        <f t="shared" si="1"/>
        <v>0</v>
      </c>
      <c r="I36" s="23">
        <f t="shared" si="2"/>
        <v>0</v>
      </c>
      <c r="J36" s="23">
        <f t="shared" si="9"/>
        <v>1.9881817808061555E-2</v>
      </c>
      <c r="K36" s="108">
        <f t="shared" si="10"/>
        <v>1.9429622070117718E-2</v>
      </c>
    </row>
    <row r="37" spans="1:11" x14ac:dyDescent="0.2">
      <c r="A37" s="107" t="s">
        <v>43</v>
      </c>
      <c r="B37" s="73">
        <f>B8</f>
        <v>792.75</v>
      </c>
      <c r="C37" s="34">
        <v>2.0999999999999999E-3</v>
      </c>
      <c r="D37" s="22">
        <f>B37*C37</f>
        <v>1.6647749999999999</v>
      </c>
      <c r="E37" s="73">
        <f t="shared" si="6"/>
        <v>792.75</v>
      </c>
      <c r="F37" s="34">
        <v>2.0999999999999999E-3</v>
      </c>
      <c r="G37" s="22">
        <f>E37*F37</f>
        <v>1.6647749999999999</v>
      </c>
      <c r="H37" s="22">
        <f>G37-D37</f>
        <v>0</v>
      </c>
      <c r="I37" s="23">
        <f t="shared" si="2"/>
        <v>0</v>
      </c>
      <c r="J37" s="23">
        <f t="shared" si="9"/>
        <v>1.1597727054702573E-2</v>
      </c>
      <c r="K37" s="108">
        <f t="shared" si="10"/>
        <v>1.1333946207568668E-2</v>
      </c>
    </row>
    <row r="38" spans="1:11" x14ac:dyDescent="0.2">
      <c r="A38" s="107" t="s">
        <v>96</v>
      </c>
      <c r="B38" s="73">
        <f>B8</f>
        <v>792.75</v>
      </c>
      <c r="C38" s="34">
        <v>1.1000000000000001E-3</v>
      </c>
      <c r="D38" s="22">
        <f>B38*C38</f>
        <v>0.87202500000000005</v>
      </c>
      <c r="E38" s="73">
        <f t="shared" si="6"/>
        <v>792.75</v>
      </c>
      <c r="F38" s="34">
        <v>1.1000000000000001E-3</v>
      </c>
      <c r="G38" s="22">
        <f>E38*F38</f>
        <v>0.87202500000000005</v>
      </c>
      <c r="H38" s="22">
        <f>G38-D38</f>
        <v>0</v>
      </c>
      <c r="I38" s="23">
        <f t="shared" ref="I38" si="11">IF(ISERROR(H38/D38),0,(H38/D38))</f>
        <v>0</v>
      </c>
      <c r="J38" s="23">
        <f t="shared" ref="J38" si="12">G38/$G$46</f>
        <v>6.0749998857965865E-3</v>
      </c>
      <c r="K38" s="108">
        <f t="shared" ref="K38" si="13">G38/$G$51</f>
        <v>5.9368289658693028E-3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1.7416358148552467E-3</v>
      </c>
      <c r="K39" s="108">
        <f t="shared" si="10"/>
        <v>1.702023728066656E-3</v>
      </c>
    </row>
    <row r="40" spans="1:11" s="1" customFormat="1" x14ac:dyDescent="0.2">
      <c r="A40" s="110" t="s">
        <v>45</v>
      </c>
      <c r="B40" s="74"/>
      <c r="C40" s="35"/>
      <c r="D40" s="35">
        <f>SUM(D36:D39)</f>
        <v>5.6406999999999998</v>
      </c>
      <c r="E40" s="73"/>
      <c r="F40" s="35"/>
      <c r="G40" s="35">
        <f>SUM(G36:G39)</f>
        <v>5.6406999999999998</v>
      </c>
      <c r="H40" s="35">
        <f t="shared" si="1"/>
        <v>0</v>
      </c>
      <c r="I40" s="36">
        <f t="shared" si="2"/>
        <v>0</v>
      </c>
      <c r="J40" s="36">
        <f t="shared" si="9"/>
        <v>3.929618056341596E-2</v>
      </c>
      <c r="K40" s="111">
        <f t="shared" si="10"/>
        <v>3.8402420971622345E-2</v>
      </c>
    </row>
    <row r="41" spans="1:11" s="1" customFormat="1" ht="13.5" thickBot="1" x14ac:dyDescent="0.25">
      <c r="A41" s="112" t="s">
        <v>46</v>
      </c>
      <c r="B41" s="113">
        <f>B4</f>
        <v>750</v>
      </c>
      <c r="C41" s="114">
        <v>0</v>
      </c>
      <c r="D41" s="115">
        <f>B41*C41</f>
        <v>0</v>
      </c>
      <c r="E41" s="116">
        <f t="shared" si="6"/>
        <v>750</v>
      </c>
      <c r="F41" s="114">
        <f>C41</f>
        <v>0</v>
      </c>
      <c r="G41" s="115">
        <f>E41*F41</f>
        <v>0</v>
      </c>
      <c r="H41" s="115">
        <f t="shared" si="1"/>
        <v>0</v>
      </c>
      <c r="I41" s="117">
        <f t="shared" si="2"/>
        <v>0</v>
      </c>
      <c r="J41" s="117">
        <f t="shared" si="9"/>
        <v>0</v>
      </c>
      <c r="K41" s="118">
        <f t="shared" si="10"/>
        <v>0</v>
      </c>
    </row>
    <row r="42" spans="1:11" s="1" customFormat="1" x14ac:dyDescent="0.2">
      <c r="A42" s="37" t="s">
        <v>105</v>
      </c>
      <c r="B42" s="38"/>
      <c r="C42" s="39"/>
      <c r="D42" s="39">
        <f>SUM(D14,D25,D26,D27,D33,D40,D41)</f>
        <v>132.91579999999999</v>
      </c>
      <c r="E42" s="38"/>
      <c r="F42" s="39"/>
      <c r="G42" s="39">
        <f>SUM(G14,G25,G26,G27,G33,G40,G41)</f>
        <v>136.70782149999999</v>
      </c>
      <c r="H42" s="39">
        <f t="shared" si="1"/>
        <v>3.7920215000000042</v>
      </c>
      <c r="I42" s="40">
        <f>IF(ISERROR(H42/D42),0,(H42/D42))</f>
        <v>2.8529501383582723E-2</v>
      </c>
      <c r="J42" s="40">
        <f t="shared" si="9"/>
        <v>0.95238095238095244</v>
      </c>
      <c r="K42" s="41"/>
    </row>
    <row r="43" spans="1:11" x14ac:dyDescent="0.2">
      <c r="A43" s="154" t="s">
        <v>106</v>
      </c>
      <c r="B43" s="43"/>
      <c r="C43" s="26">
        <v>0.13</v>
      </c>
      <c r="D43" s="26">
        <f>D42*C43</f>
        <v>17.279053999999999</v>
      </c>
      <c r="E43" s="26"/>
      <c r="F43" s="26">
        <f>C43</f>
        <v>0.13</v>
      </c>
      <c r="G43" s="26">
        <f>G42*F43</f>
        <v>17.772016794999999</v>
      </c>
      <c r="H43" s="26">
        <f t="shared" si="1"/>
        <v>0.4929627950000004</v>
      </c>
      <c r="I43" s="44">
        <f t="shared" si="2"/>
        <v>2.8529501383582713E-2</v>
      </c>
      <c r="J43" s="44">
        <f t="shared" si="9"/>
        <v>0.12380952380952381</v>
      </c>
      <c r="K43" s="45"/>
    </row>
    <row r="44" spans="1:11" s="1" customFormat="1" x14ac:dyDescent="0.2">
      <c r="A44" s="46" t="s">
        <v>107</v>
      </c>
      <c r="B44" s="24"/>
      <c r="C44" s="25"/>
      <c r="D44" s="25">
        <f>SUM(D42:D43)</f>
        <v>150.19485399999999</v>
      </c>
      <c r="E44" s="25"/>
      <c r="F44" s="25"/>
      <c r="G44" s="25">
        <f>SUM(G42:G43)</f>
        <v>154.47983829499998</v>
      </c>
      <c r="H44" s="25">
        <f t="shared" si="1"/>
        <v>4.2849842949999868</v>
      </c>
      <c r="I44" s="27">
        <f t="shared" si="2"/>
        <v>2.8529501383582602E-2</v>
      </c>
      <c r="J44" s="27">
        <f t="shared" si="9"/>
        <v>1.0761904761904761</v>
      </c>
      <c r="K44" s="47"/>
    </row>
    <row r="45" spans="1:11" x14ac:dyDescent="0.2">
      <c r="A45" s="42" t="s">
        <v>108</v>
      </c>
      <c r="B45" s="43"/>
      <c r="C45" s="26">
        <v>-0.08</v>
      </c>
      <c r="D45" s="26">
        <f>D42*C45</f>
        <v>-10.633263999999999</v>
      </c>
      <c r="E45" s="26"/>
      <c r="F45" s="26">
        <f>C45</f>
        <v>-0.08</v>
      </c>
      <c r="G45" s="26">
        <f>G42*F45</f>
        <v>-10.93662572</v>
      </c>
      <c r="H45" s="26">
        <f t="shared" si="1"/>
        <v>-0.30336172000000161</v>
      </c>
      <c r="I45" s="44">
        <f t="shared" si="2"/>
        <v>2.8529501383582845E-2</v>
      </c>
      <c r="J45" s="44">
        <f t="shared" si="9"/>
        <v>-7.6190476190476197E-2</v>
      </c>
      <c r="K45" s="45"/>
    </row>
    <row r="46" spans="1:11" s="1" customFormat="1" ht="13.5" thickBot="1" x14ac:dyDescent="0.25">
      <c r="A46" s="48" t="s">
        <v>109</v>
      </c>
      <c r="B46" s="49"/>
      <c r="C46" s="50"/>
      <c r="D46" s="50">
        <f>SUM(D44:D45)</f>
        <v>139.56159</v>
      </c>
      <c r="E46" s="50"/>
      <c r="F46" s="50"/>
      <c r="G46" s="50">
        <f>SUM(G44:G45)</f>
        <v>143.54321257499998</v>
      </c>
      <c r="H46" s="50">
        <f t="shared" si="1"/>
        <v>3.9816225749999887</v>
      </c>
      <c r="I46" s="51">
        <f t="shared" si="2"/>
        <v>2.8529501383582609E-2</v>
      </c>
      <c r="J46" s="51">
        <f t="shared" si="9"/>
        <v>1</v>
      </c>
      <c r="K46" s="52"/>
    </row>
    <row r="47" spans="1:11" x14ac:dyDescent="0.2">
      <c r="A47" s="53" t="s">
        <v>110</v>
      </c>
      <c r="B47" s="54"/>
      <c r="C47" s="55"/>
      <c r="D47" s="55">
        <f>SUM(D18,D25,D26,D28,D33,D40,D41)</f>
        <v>136.09747249999998</v>
      </c>
      <c r="E47" s="55"/>
      <c r="F47" s="55"/>
      <c r="G47" s="55">
        <f>SUM(G18,G25,G26,G28,G33,G40,G41)</f>
        <v>139.88949400000001</v>
      </c>
      <c r="H47" s="55">
        <f>G47-D47</f>
        <v>3.7920215000000326</v>
      </c>
      <c r="I47" s="56">
        <f>IF(ISERROR(H47/D47),0,(H47/D47))</f>
        <v>2.7862541679457221E-2</v>
      </c>
      <c r="J47" s="56"/>
      <c r="K47" s="57">
        <f>G47/$G$51</f>
        <v>0.95238095238095244</v>
      </c>
    </row>
    <row r="48" spans="1:11" x14ac:dyDescent="0.2">
      <c r="A48" s="155" t="s">
        <v>106</v>
      </c>
      <c r="B48" s="59"/>
      <c r="C48" s="31">
        <v>0.13</v>
      </c>
      <c r="D48" s="31">
        <f>D47*C48</f>
        <v>17.692671424999997</v>
      </c>
      <c r="E48" s="31"/>
      <c r="F48" s="31">
        <f>C48</f>
        <v>0.13</v>
      </c>
      <c r="G48" s="31">
        <f>G47*F48</f>
        <v>18.185634220000001</v>
      </c>
      <c r="H48" s="31">
        <f>G48-D48</f>
        <v>0.49296279500000395</v>
      </c>
      <c r="I48" s="32">
        <f>IF(ISERROR(H48/D48),0,(H48/D48))</f>
        <v>2.7862541679457207E-2</v>
      </c>
      <c r="J48" s="32"/>
      <c r="K48" s="60">
        <f>G48/$G$51</f>
        <v>0.12380952380952381</v>
      </c>
    </row>
    <row r="49" spans="1:11" x14ac:dyDescent="0.2">
      <c r="A49" s="61" t="s">
        <v>111</v>
      </c>
      <c r="B49" s="29"/>
      <c r="C49" s="30"/>
      <c r="D49" s="30">
        <f>SUM(D47:D48)</f>
        <v>153.79014392499997</v>
      </c>
      <c r="E49" s="30"/>
      <c r="F49" s="30"/>
      <c r="G49" s="30">
        <f>SUM(G47:G48)</f>
        <v>158.07512822000001</v>
      </c>
      <c r="H49" s="30">
        <f>G49-D49</f>
        <v>4.2849842950000436</v>
      </c>
      <c r="I49" s="33">
        <f>IF(ISERROR(H49/D49),0,(H49/D49))</f>
        <v>2.7862541679457269E-2</v>
      </c>
      <c r="J49" s="33"/>
      <c r="K49" s="62">
        <f>G49/$G$51</f>
        <v>1.0761904761904764</v>
      </c>
    </row>
    <row r="50" spans="1:11" x14ac:dyDescent="0.2">
      <c r="A50" s="58" t="s">
        <v>108</v>
      </c>
      <c r="B50" s="59"/>
      <c r="C50" s="31">
        <v>-0.08</v>
      </c>
      <c r="D50" s="31">
        <f>D47*C50</f>
        <v>-10.8877978</v>
      </c>
      <c r="E50" s="31"/>
      <c r="F50" s="31">
        <f>C50</f>
        <v>-0.08</v>
      </c>
      <c r="G50" s="31">
        <f>G47*F50</f>
        <v>-11.191159520000001</v>
      </c>
      <c r="H50" s="31">
        <f>G50-D50</f>
        <v>-0.30336172000000161</v>
      </c>
      <c r="I50" s="32">
        <f>IF(ISERROR(H50/D50),0,(H50/D50))</f>
        <v>2.7862541679457127E-2</v>
      </c>
      <c r="J50" s="32"/>
      <c r="K50" s="60">
        <f>G50/$G$51</f>
        <v>-7.6190476190476197E-2</v>
      </c>
    </row>
    <row r="51" spans="1:11" ht="13.5" thickBot="1" x14ac:dyDescent="0.25">
      <c r="A51" s="63" t="s">
        <v>121</v>
      </c>
      <c r="B51" s="64"/>
      <c r="C51" s="65"/>
      <c r="D51" s="65">
        <f>SUM(D49:D50)</f>
        <v>142.90234612499998</v>
      </c>
      <c r="E51" s="65"/>
      <c r="F51" s="65"/>
      <c r="G51" s="65">
        <f>SUM(G49:G50)</f>
        <v>146.8839687</v>
      </c>
      <c r="H51" s="65">
        <f>G51-D51</f>
        <v>3.9816225750000172</v>
      </c>
      <c r="I51" s="66">
        <f>IF(ISERROR(H51/D51),0,(H51/D51))</f>
        <v>2.7862541679457103E-2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1" tint="0.499984740745262"/>
    <pageSetUpPr fitToPage="1"/>
  </sheetPr>
  <dimension ref="A1:J47"/>
  <sheetViews>
    <sheetView tabSelected="1" view="pageBreakPreview" topLeftCell="A16"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120</v>
      </c>
      <c r="B1" s="192"/>
      <c r="C1" s="192"/>
      <c r="D1" s="192"/>
      <c r="E1" s="192"/>
      <c r="F1" s="192"/>
      <c r="G1" s="192"/>
      <c r="H1" s="192"/>
      <c r="I1" s="192"/>
      <c r="J1" s="193"/>
    </row>
    <row r="3" spans="1:10" x14ac:dyDescent="0.2">
      <c r="A3" s="13" t="s">
        <v>13</v>
      </c>
      <c r="B3" s="13" t="s">
        <v>12</v>
      </c>
    </row>
    <row r="4" spans="1:10" x14ac:dyDescent="0.2">
      <c r="A4" s="15" t="s">
        <v>62</v>
      </c>
      <c r="B4" s="169">
        <f>VLOOKUP(B3,'Data for Bill Impacts'!A18:D31,3,FALSE)</f>
        <v>364</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9">
        <f>B4*B6</f>
        <v>397.48800000000006</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364</v>
      </c>
      <c r="C12" s="103">
        <v>0.10299999999999999</v>
      </c>
      <c r="D12" s="104">
        <f>B12*C12</f>
        <v>37.491999999999997</v>
      </c>
      <c r="E12" s="102">
        <f>B12</f>
        <v>364</v>
      </c>
      <c r="F12" s="103">
        <f>C12</f>
        <v>0.10299999999999999</v>
      </c>
      <c r="G12" s="104">
        <f>E12*F12</f>
        <v>37.491999999999997</v>
      </c>
      <c r="H12" s="104">
        <f>G12-D12</f>
        <v>0</v>
      </c>
      <c r="I12" s="105">
        <f>IF(ISERROR(H12/D12),0,(H12/D12))</f>
        <v>0</v>
      </c>
      <c r="J12" s="124">
        <f t="shared" ref="J12:J27" si="0">G12/$G$36</f>
        <v>0.37406309448261882</v>
      </c>
    </row>
    <row r="13" spans="1:10" x14ac:dyDescent="0.2">
      <c r="A13" s="107" t="s">
        <v>32</v>
      </c>
      <c r="B13" s="73">
        <f>IF(B4&gt;B7,(B4)-B7,0)</f>
        <v>0</v>
      </c>
      <c r="C13" s="21">
        <v>0.121</v>
      </c>
      <c r="D13" s="22">
        <f>B13*C13</f>
        <v>0</v>
      </c>
      <c r="E13" s="73">
        <f t="shared" ref="E13" si="1">B13</f>
        <v>0</v>
      </c>
      <c r="F13" s="21">
        <f>C13</f>
        <v>0.121</v>
      </c>
      <c r="G13" s="22">
        <f>E13*F13</f>
        <v>0</v>
      </c>
      <c r="H13" s="22">
        <f t="shared" ref="H13:H36" si="2">G13-D13</f>
        <v>0</v>
      </c>
      <c r="I13" s="23">
        <f t="shared" ref="I13:I36" si="3">IF(ISERROR(H13/D13),0,(H13/D13))</f>
        <v>0</v>
      </c>
      <c r="J13" s="125">
        <f t="shared" si="0"/>
        <v>0</v>
      </c>
    </row>
    <row r="14" spans="1:10" s="1" customFormat="1" x14ac:dyDescent="0.2">
      <c r="A14" s="46" t="s">
        <v>33</v>
      </c>
      <c r="B14" s="24"/>
      <c r="C14" s="25"/>
      <c r="D14" s="25">
        <f>SUM(D12:D13)</f>
        <v>37.491999999999997</v>
      </c>
      <c r="E14" s="76"/>
      <c r="F14" s="25"/>
      <c r="G14" s="25">
        <f>SUM(G12:G13)</f>
        <v>37.491999999999997</v>
      </c>
      <c r="H14" s="25">
        <f t="shared" si="2"/>
        <v>0</v>
      </c>
      <c r="I14" s="27">
        <f t="shared" si="3"/>
        <v>0</v>
      </c>
      <c r="J14" s="47">
        <f t="shared" si="0"/>
        <v>0.37406309448261882</v>
      </c>
    </row>
    <row r="15" spans="1:10" x14ac:dyDescent="0.2">
      <c r="A15" s="107" t="s">
        <v>38</v>
      </c>
      <c r="B15" s="73">
        <v>1</v>
      </c>
      <c r="C15" s="78">
        <f>VLOOKUP($B$3,'Data for Bill Impacts'!$A$3:$Y$15,7,0)</f>
        <v>35.18</v>
      </c>
      <c r="D15" s="22">
        <f>B15*C15</f>
        <v>35.18</v>
      </c>
      <c r="E15" s="73">
        <f t="shared" ref="E15:E31" si="4">B15</f>
        <v>1</v>
      </c>
      <c r="F15" s="78">
        <f>VLOOKUP($B$3,'Data for Bill Impacts'!$A$3:$Y$15,17,0)</f>
        <v>35.1</v>
      </c>
      <c r="G15" s="22">
        <f>E15*F15</f>
        <v>35.1</v>
      </c>
      <c r="H15" s="22">
        <f t="shared" si="2"/>
        <v>-7.9999999999998295E-2</v>
      </c>
      <c r="I15" s="23">
        <f t="shared" si="3"/>
        <v>-2.2740193291642496E-3</v>
      </c>
      <c r="J15" s="125">
        <f t="shared" si="0"/>
        <v>0.35019776529232699</v>
      </c>
    </row>
    <row r="16" spans="1:10" x14ac:dyDescent="0.2">
      <c r="A16" s="107" t="s">
        <v>85</v>
      </c>
      <c r="B16" s="73">
        <v>1</v>
      </c>
      <c r="C16" s="78">
        <f>VLOOKUP($B$3,'Data for Bill Impacts'!$A$3:$Y$15,13,0)</f>
        <v>0.51</v>
      </c>
      <c r="D16" s="22">
        <f t="shared" ref="D16" si="5">B16*C16</f>
        <v>0.51</v>
      </c>
      <c r="E16" s="73">
        <f t="shared" si="4"/>
        <v>1</v>
      </c>
      <c r="F16" s="78">
        <f>VLOOKUP($B$3,'Data for Bill Impacts'!$A$3:$Y$15,22,0)</f>
        <v>-0.01</v>
      </c>
      <c r="G16" s="22">
        <f t="shared" ref="G16" si="6">E16*F16</f>
        <v>-0.01</v>
      </c>
      <c r="H16" s="22">
        <f t="shared" si="2"/>
        <v>-0.52</v>
      </c>
      <c r="I16" s="23">
        <f t="shared" si="3"/>
        <v>-1.0196078431372548</v>
      </c>
      <c r="J16" s="125">
        <f t="shared" si="0"/>
        <v>-9.9771443103227047E-5</v>
      </c>
    </row>
    <row r="17" spans="1:10" x14ac:dyDescent="0.2">
      <c r="A17" s="107" t="s">
        <v>39</v>
      </c>
      <c r="B17" s="73">
        <f>IF($B$9="kWh",$B$4,$B$5)</f>
        <v>364</v>
      </c>
      <c r="C17" s="78">
        <f>VLOOKUP($B$3,'Data for Bill Impacts'!$A$3:$Y$15,10,0)</f>
        <v>2.8500000000000001E-2</v>
      </c>
      <c r="D17" s="22">
        <f>B17*C17</f>
        <v>10.374000000000001</v>
      </c>
      <c r="E17" s="73">
        <f t="shared" si="4"/>
        <v>364</v>
      </c>
      <c r="F17" s="78">
        <f>VLOOKUP($B$3,'Data for Bill Impacts'!$A$3:$Y$15,19,0)</f>
        <v>2.87E-2</v>
      </c>
      <c r="G17" s="22">
        <f>E17*F17</f>
        <v>10.4468</v>
      </c>
      <c r="H17" s="22">
        <f t="shared" si="2"/>
        <v>7.2799999999999088E-2</v>
      </c>
      <c r="I17" s="23">
        <f t="shared" si="3"/>
        <v>7.0175438596490345E-3</v>
      </c>
      <c r="J17" s="125">
        <f t="shared" si="0"/>
        <v>0.10422923118107923</v>
      </c>
    </row>
    <row r="18" spans="1:10" s="1" customFormat="1" x14ac:dyDescent="0.2">
      <c r="A18" s="107" t="s">
        <v>124</v>
      </c>
      <c r="B18" s="73">
        <f>IF($B$9="kWh",$B$4,$B$5)</f>
        <v>364</v>
      </c>
      <c r="C18" s="126">
        <f>VLOOKUP($B$3,'Data for Bill Impacts'!$A$3:$Y$15,14,0)</f>
        <v>-1E-4</v>
      </c>
      <c r="D18" s="22">
        <f>B18*C18</f>
        <v>-3.6400000000000002E-2</v>
      </c>
      <c r="E18" s="73">
        <f>B18</f>
        <v>364</v>
      </c>
      <c r="F18" s="126">
        <f>VLOOKUP($B$3,'Data for Bill Impacts'!$A$3:$Y$15,23,0)</f>
        <v>2.0000000000000001E-4</v>
      </c>
      <c r="G18" s="22">
        <f>E18*F18</f>
        <v>7.2800000000000004E-2</v>
      </c>
      <c r="H18" s="22">
        <f>G18-D18</f>
        <v>0.10920000000000001</v>
      </c>
      <c r="I18" s="23">
        <f>IF(ISERROR(H18/D18),0,(H18/D18))</f>
        <v>-3</v>
      </c>
      <c r="J18" s="125">
        <f t="shared" si="0"/>
        <v>7.2633610579149292E-4</v>
      </c>
    </row>
    <row r="19" spans="1:10" x14ac:dyDescent="0.2">
      <c r="A19" s="110" t="s">
        <v>72</v>
      </c>
      <c r="B19" s="74"/>
      <c r="C19" s="35"/>
      <c r="D19" s="35">
        <f>SUM(D15:D18)</f>
        <v>46.0276</v>
      </c>
      <c r="E19" s="73"/>
      <c r="F19" s="35"/>
      <c r="G19" s="35">
        <f>SUM(G15:G18)</f>
        <v>45.6096</v>
      </c>
      <c r="H19" s="35">
        <f t="shared" si="2"/>
        <v>-0.41799999999999926</v>
      </c>
      <c r="I19" s="36">
        <f t="shared" si="3"/>
        <v>-9.0815076171688134E-3</v>
      </c>
      <c r="J19" s="111">
        <f t="shared" si="0"/>
        <v>0.45505356113609446</v>
      </c>
    </row>
    <row r="20" spans="1:10" s="1" customFormat="1" x14ac:dyDescent="0.2">
      <c r="A20" s="119" t="s">
        <v>81</v>
      </c>
      <c r="B20" s="120">
        <f>B8-B4</f>
        <v>33.488000000000056</v>
      </c>
      <c r="C20" s="121">
        <f>IF(B4&gt;B7,C13,C12)</f>
        <v>0.10299999999999999</v>
      </c>
      <c r="D20" s="22">
        <f>B20*C20</f>
        <v>3.4492640000000057</v>
      </c>
      <c r="E20" s="73">
        <f>B20</f>
        <v>33.488000000000056</v>
      </c>
      <c r="F20" s="121">
        <f>C20</f>
        <v>0.10299999999999999</v>
      </c>
      <c r="G20" s="22">
        <f>E20*F20</f>
        <v>3.4492640000000057</v>
      </c>
      <c r="H20" s="22">
        <f t="shared" si="2"/>
        <v>0</v>
      </c>
      <c r="I20" s="23">
        <f>IF(ISERROR(H20/D20),0,(H20/D20))</f>
        <v>0</v>
      </c>
      <c r="J20" s="125">
        <f t="shared" si="0"/>
        <v>3.441380469240099E-2</v>
      </c>
    </row>
    <row r="21" spans="1:10" x14ac:dyDescent="0.2">
      <c r="A21" s="110" t="s">
        <v>79</v>
      </c>
      <c r="B21" s="74"/>
      <c r="C21" s="35"/>
      <c r="D21" s="35">
        <f>SUM(D19,D20:D20)</f>
        <v>49.476864000000006</v>
      </c>
      <c r="E21" s="73"/>
      <c r="F21" s="35"/>
      <c r="G21" s="35">
        <f>SUM(G19,G20:G20)</f>
        <v>49.058864000000007</v>
      </c>
      <c r="H21" s="35">
        <f t="shared" si="2"/>
        <v>-0.41799999999999926</v>
      </c>
      <c r="I21" s="36">
        <f>IF(ISERROR(H21/D21),0,(H21/D21))</f>
        <v>-8.4483931722107372E-3</v>
      </c>
      <c r="J21" s="111">
        <f t="shared" si="0"/>
        <v>0.48946736582849548</v>
      </c>
    </row>
    <row r="22" spans="1:10" x14ac:dyDescent="0.2">
      <c r="A22" s="107" t="s">
        <v>40</v>
      </c>
      <c r="B22" s="73">
        <f>B8</f>
        <v>397.48800000000006</v>
      </c>
      <c r="C22" s="78">
        <f>VLOOKUP($B$3,'Data for Bill Impacts'!$A$3:$Y$15,15,0)</f>
        <v>4.7000000000000002E-3</v>
      </c>
      <c r="D22" s="22">
        <f>B22*C22</f>
        <v>1.8681936000000003</v>
      </c>
      <c r="E22" s="73">
        <f t="shared" si="4"/>
        <v>397.48800000000006</v>
      </c>
      <c r="F22" s="126">
        <f>VLOOKUP($B$3,'Data for Bill Impacts'!$A$3:$Y$15,24,0)</f>
        <v>4.7699999999999999E-3</v>
      </c>
      <c r="G22" s="22">
        <f>E22*F22</f>
        <v>1.8960177600000003</v>
      </c>
      <c r="H22" s="22">
        <f t="shared" si="2"/>
        <v>2.7824159999999987E-2</v>
      </c>
      <c r="I22" s="23">
        <f t="shared" si="3"/>
        <v>1.4893617021276586E-2</v>
      </c>
      <c r="J22" s="125">
        <f t="shared" si="0"/>
        <v>1.8916842806454802E-2</v>
      </c>
    </row>
    <row r="23" spans="1:10" s="1" customFormat="1" x14ac:dyDescent="0.2">
      <c r="A23" s="107" t="s">
        <v>41</v>
      </c>
      <c r="B23" s="73">
        <f>B8</f>
        <v>397.48800000000006</v>
      </c>
      <c r="C23" s="78">
        <f>VLOOKUP($B$3,'Data for Bill Impacts'!$A$3:$Y$15,16,0)</f>
        <v>3.0999999999999999E-3</v>
      </c>
      <c r="D23" s="22">
        <f>B23*C23</f>
        <v>1.2322128000000001</v>
      </c>
      <c r="E23" s="73">
        <f t="shared" si="4"/>
        <v>397.48800000000006</v>
      </c>
      <c r="F23" s="126">
        <f>VLOOKUP($B$3,'Data for Bill Impacts'!$A$3:$Y$15,25,0)</f>
        <v>3.7950000000000002E-3</v>
      </c>
      <c r="G23" s="22">
        <f>E23*F23</f>
        <v>1.5084669600000002</v>
      </c>
      <c r="H23" s="22">
        <f t="shared" si="2"/>
        <v>0.27625416000000014</v>
      </c>
      <c r="I23" s="23">
        <f t="shared" si="3"/>
        <v>0.22419354838709687</v>
      </c>
      <c r="J23" s="125">
        <f t="shared" si="0"/>
        <v>1.5050192547273789E-2</v>
      </c>
    </row>
    <row r="24" spans="1:10" s="1" customFormat="1" x14ac:dyDescent="0.2">
      <c r="A24" s="110" t="s">
        <v>76</v>
      </c>
      <c r="B24" s="74"/>
      <c r="C24" s="35"/>
      <c r="D24" s="35">
        <f>SUM(D22:D23)</f>
        <v>3.1004064000000007</v>
      </c>
      <c r="E24" s="73"/>
      <c r="F24" s="35"/>
      <c r="G24" s="35">
        <f>SUM(G22:G23)</f>
        <v>3.4044847200000006</v>
      </c>
      <c r="H24" s="35">
        <f t="shared" si="2"/>
        <v>0.3040783199999999</v>
      </c>
      <c r="I24" s="36">
        <f t="shared" si="3"/>
        <v>9.807692307692302E-2</v>
      </c>
      <c r="J24" s="111">
        <f t="shared" si="0"/>
        <v>3.3967035353728595E-2</v>
      </c>
    </row>
    <row r="25" spans="1:10" s="1" customFormat="1" x14ac:dyDescent="0.2">
      <c r="A25" s="110" t="s">
        <v>80</v>
      </c>
      <c r="B25" s="74"/>
      <c r="C25" s="35"/>
      <c r="D25" s="35">
        <f>D21+D24</f>
        <v>52.577270400000003</v>
      </c>
      <c r="E25" s="73"/>
      <c r="F25" s="35"/>
      <c r="G25" s="35">
        <f>G21+G24</f>
        <v>52.463348720000006</v>
      </c>
      <c r="H25" s="35">
        <f t="shared" si="2"/>
        <v>-0.11392167999999714</v>
      </c>
      <c r="I25" s="36">
        <f t="shared" si="3"/>
        <v>-2.1667477054875244E-3</v>
      </c>
      <c r="J25" s="111">
        <f t="shared" si="0"/>
        <v>0.52343440118222406</v>
      </c>
    </row>
    <row r="26" spans="1:10" x14ac:dyDescent="0.2">
      <c r="A26" s="107" t="s">
        <v>42</v>
      </c>
      <c r="B26" s="73">
        <f>B8</f>
        <v>397.48800000000006</v>
      </c>
      <c r="C26" s="34">
        <v>3.5999999999999999E-3</v>
      </c>
      <c r="D26" s="22">
        <f>B26*C26</f>
        <v>1.4309568000000001</v>
      </c>
      <c r="E26" s="73">
        <f t="shared" si="4"/>
        <v>397.48800000000006</v>
      </c>
      <c r="F26" s="34">
        <v>3.5999999999999999E-3</v>
      </c>
      <c r="G26" s="22">
        <f>E26*F26</f>
        <v>1.4309568000000001</v>
      </c>
      <c r="H26" s="22">
        <f t="shared" si="2"/>
        <v>0</v>
      </c>
      <c r="I26" s="23">
        <f t="shared" si="3"/>
        <v>0</v>
      </c>
      <c r="J26" s="125">
        <f t="shared" si="0"/>
        <v>1.4276862495437586E-2</v>
      </c>
    </row>
    <row r="27" spans="1:10" s="1" customFormat="1" x14ac:dyDescent="0.2">
      <c r="A27" s="107" t="s">
        <v>43</v>
      </c>
      <c r="B27" s="73">
        <f>B8</f>
        <v>397.48800000000006</v>
      </c>
      <c r="C27" s="34">
        <v>2.0999999999999999E-3</v>
      </c>
      <c r="D27" s="22">
        <f>B27*C27</f>
        <v>0.83472480000000004</v>
      </c>
      <c r="E27" s="73">
        <f t="shared" si="4"/>
        <v>397.48800000000006</v>
      </c>
      <c r="F27" s="34">
        <v>2.0999999999999999E-3</v>
      </c>
      <c r="G27" s="22">
        <f>E27*F27</f>
        <v>0.83472480000000004</v>
      </c>
      <c r="H27" s="22">
        <f>G27-D27</f>
        <v>0</v>
      </c>
      <c r="I27" s="23">
        <f t="shared" si="3"/>
        <v>0</v>
      </c>
      <c r="J27" s="125">
        <f t="shared" si="0"/>
        <v>8.3281697890052585E-3</v>
      </c>
    </row>
    <row r="28" spans="1:10" s="1" customFormat="1" x14ac:dyDescent="0.2">
      <c r="A28" s="107" t="s">
        <v>96</v>
      </c>
      <c r="B28" s="73">
        <f>B8</f>
        <v>397.48800000000006</v>
      </c>
      <c r="C28" s="34">
        <v>1.1000000000000001E-3</v>
      </c>
      <c r="D28" s="22">
        <f>B28*C28</f>
        <v>0.43723680000000009</v>
      </c>
      <c r="E28" s="73">
        <f t="shared" si="4"/>
        <v>397.48800000000006</v>
      </c>
      <c r="F28" s="34">
        <v>1.1000000000000001E-3</v>
      </c>
      <c r="G28" s="22">
        <f>E28*F28</f>
        <v>0.43723680000000009</v>
      </c>
      <c r="H28" s="22">
        <f>G28-D28</f>
        <v>0</v>
      </c>
      <c r="I28" s="23">
        <f t="shared" ref="I28" si="7">IF(ISERROR(H28/D28),0,(H28/D28))</f>
        <v>0</v>
      </c>
      <c r="J28" s="125">
        <f t="shared" ref="J28" si="8">G28/$G$36</f>
        <v>4.3623746513837078E-3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2.4942860775806763E-3</v>
      </c>
    </row>
    <row r="30" spans="1:10" s="1" customFormat="1" x14ac:dyDescent="0.2">
      <c r="A30" s="110" t="s">
        <v>45</v>
      </c>
      <c r="B30" s="74"/>
      <c r="C30" s="35"/>
      <c r="D30" s="35">
        <f>SUM(D26:D29)</f>
        <v>2.9529184000000002</v>
      </c>
      <c r="E30" s="73"/>
      <c r="F30" s="35"/>
      <c r="G30" s="35">
        <f>SUM(G26:G29)</f>
        <v>2.9529184000000002</v>
      </c>
      <c r="H30" s="35">
        <f t="shared" si="2"/>
        <v>0</v>
      </c>
      <c r="I30" s="36">
        <f t="shared" si="3"/>
        <v>0</v>
      </c>
      <c r="J30" s="111">
        <f t="shared" si="9"/>
        <v>2.9461693013407227E-2</v>
      </c>
    </row>
    <row r="31" spans="1:10" ht="13.5" thickBot="1" x14ac:dyDescent="0.25">
      <c r="A31" s="112" t="s">
        <v>46</v>
      </c>
      <c r="B31" s="113">
        <f>B4</f>
        <v>364</v>
      </c>
      <c r="C31" s="114">
        <v>7.0000000000000001E-3</v>
      </c>
      <c r="D31" s="115">
        <f>B31*C31</f>
        <v>2.548</v>
      </c>
      <c r="E31" s="116">
        <f t="shared" si="4"/>
        <v>364</v>
      </c>
      <c r="F31" s="114">
        <f>C31</f>
        <v>7.0000000000000001E-3</v>
      </c>
      <c r="G31" s="115">
        <f>E31*F31</f>
        <v>2.548</v>
      </c>
      <c r="H31" s="115">
        <f t="shared" si="2"/>
        <v>0</v>
      </c>
      <c r="I31" s="117">
        <f t="shared" si="3"/>
        <v>0</v>
      </c>
      <c r="J31" s="118">
        <f t="shared" si="9"/>
        <v>2.5421763702702254E-2</v>
      </c>
    </row>
    <row r="32" spans="1:10" x14ac:dyDescent="0.2">
      <c r="A32" s="37" t="s">
        <v>115</v>
      </c>
      <c r="B32" s="38"/>
      <c r="C32" s="39"/>
      <c r="D32" s="39">
        <f>SUM(D14,D21,D24,D30,D31)</f>
        <v>95.570188799999997</v>
      </c>
      <c r="E32" s="38"/>
      <c r="F32" s="39"/>
      <c r="G32" s="39">
        <f>SUM(G14,G21,G24,G30,G31)</f>
        <v>95.456267120000007</v>
      </c>
      <c r="H32" s="39">
        <f t="shared" si="2"/>
        <v>-0.11392167999999003</v>
      </c>
      <c r="I32" s="40">
        <f>IF(ISERROR(H32/D32),0,(H32/D32))</f>
        <v>-1.1920210834614365E-3</v>
      </c>
      <c r="J32" s="41">
        <f t="shared" si="9"/>
        <v>0.95238095238095233</v>
      </c>
    </row>
    <row r="33" spans="1:10" x14ac:dyDescent="0.2">
      <c r="A33" s="46" t="s">
        <v>106</v>
      </c>
      <c r="B33" s="43"/>
      <c r="C33" s="26">
        <v>0.13</v>
      </c>
      <c r="D33" s="26">
        <f>D32*C33</f>
        <v>12.424124544</v>
      </c>
      <c r="E33" s="26"/>
      <c r="F33" s="26">
        <f>C33</f>
        <v>0.13</v>
      </c>
      <c r="G33" s="26">
        <f>G32*F33</f>
        <v>12.409314725600002</v>
      </c>
      <c r="H33" s="26">
        <f t="shared" si="2"/>
        <v>-1.4809818399998065E-2</v>
      </c>
      <c r="I33" s="44">
        <f t="shared" si="3"/>
        <v>-1.1920210834613849E-3</v>
      </c>
      <c r="J33" s="45">
        <f t="shared" si="9"/>
        <v>0.12380952380952381</v>
      </c>
    </row>
    <row r="34" spans="1:10" x14ac:dyDescent="0.2">
      <c r="A34" s="46" t="s">
        <v>107</v>
      </c>
      <c r="B34" s="24"/>
      <c r="C34" s="25"/>
      <c r="D34" s="25">
        <f>SUM(D32:D33)</f>
        <v>107.99431334399999</v>
      </c>
      <c r="E34" s="25"/>
      <c r="F34" s="25"/>
      <c r="G34" s="25">
        <f>SUM(G32:G33)</f>
        <v>107.8655818456</v>
      </c>
      <c r="H34" s="25">
        <f t="shared" si="2"/>
        <v>-0.12873149839998632</v>
      </c>
      <c r="I34" s="27">
        <f t="shared" si="3"/>
        <v>-1.1920210834614141E-3</v>
      </c>
      <c r="J34" s="47">
        <f t="shared" si="9"/>
        <v>1.0761904761904761</v>
      </c>
    </row>
    <row r="35" spans="1:10" x14ac:dyDescent="0.2">
      <c r="A35" s="46" t="s">
        <v>108</v>
      </c>
      <c r="B35" s="43"/>
      <c r="C35" s="26">
        <v>-0.08</v>
      </c>
      <c r="D35" s="26">
        <f>D32*C35</f>
        <v>-7.645615104</v>
      </c>
      <c r="E35" s="26"/>
      <c r="F35" s="26">
        <f>C35</f>
        <v>-0.08</v>
      </c>
      <c r="G35" s="26">
        <f>G32*F35</f>
        <v>-7.6365013696000004</v>
      </c>
      <c r="H35" s="26">
        <f t="shared" si="2"/>
        <v>9.113734399999629E-3</v>
      </c>
      <c r="I35" s="44">
        <f t="shared" si="3"/>
        <v>-1.1920210834614922E-3</v>
      </c>
      <c r="J35" s="45">
        <f t="shared" si="9"/>
        <v>-7.6190476190476183E-2</v>
      </c>
    </row>
    <row r="36" spans="1:10" ht="13.5" thickBot="1" x14ac:dyDescent="0.25">
      <c r="A36" s="46" t="s">
        <v>109</v>
      </c>
      <c r="B36" s="49"/>
      <c r="C36" s="50"/>
      <c r="D36" s="50">
        <f>SUM(D34:D35)</f>
        <v>100.34869823999999</v>
      </c>
      <c r="E36" s="50"/>
      <c r="F36" s="50"/>
      <c r="G36" s="50">
        <f>SUM(G34:G35)</f>
        <v>100.22908047600001</v>
      </c>
      <c r="H36" s="50">
        <f t="shared" si="2"/>
        <v>-0.11961776399998314</v>
      </c>
      <c r="I36" s="51">
        <f t="shared" si="3"/>
        <v>-1.1920210834613727E-3</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1" tint="0.499984740745262"/>
    <pageSetUpPr fitToPage="1"/>
  </sheetPr>
  <dimension ref="A1:J47"/>
  <sheetViews>
    <sheetView tabSelected="1" view="pageBreakPreview"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101</v>
      </c>
      <c r="B1" s="192"/>
      <c r="C1" s="192"/>
      <c r="D1" s="192"/>
      <c r="E1" s="192"/>
      <c r="F1" s="192"/>
      <c r="G1" s="192"/>
      <c r="H1" s="192"/>
      <c r="I1" s="192"/>
      <c r="J1" s="193"/>
    </row>
    <row r="3" spans="1:10" x14ac:dyDescent="0.2">
      <c r="A3" s="13" t="s">
        <v>13</v>
      </c>
      <c r="B3" s="13" t="s">
        <v>12</v>
      </c>
    </row>
    <row r="4" spans="1:10" x14ac:dyDescent="0.2">
      <c r="A4" s="15" t="s">
        <v>62</v>
      </c>
      <c r="B4" s="15">
        <v>1000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1092</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24">
        <f t="shared" ref="J12:J27" si="0">G12/$G$36</f>
        <v>0.35601849543044384</v>
      </c>
    </row>
    <row r="13" spans="1:10" x14ac:dyDescent="0.2">
      <c r="A13" s="107" t="s">
        <v>32</v>
      </c>
      <c r="B13" s="73">
        <f>IF(B4&gt;B7,(B4)-B7,0)</f>
        <v>250</v>
      </c>
      <c r="C13" s="21">
        <v>0.121</v>
      </c>
      <c r="D13" s="22">
        <f>B13*C13</f>
        <v>30.25</v>
      </c>
      <c r="E13" s="73">
        <f t="shared" ref="E13" si="1">B13</f>
        <v>250</v>
      </c>
      <c r="F13" s="21">
        <f>C13</f>
        <v>0.121</v>
      </c>
      <c r="G13" s="22">
        <f>E13*F13</f>
        <v>30.25</v>
      </c>
      <c r="H13" s="22">
        <f t="shared" ref="H13:H36" si="2">G13-D13</f>
        <v>0</v>
      </c>
      <c r="I13" s="23">
        <f t="shared" ref="I13:I36" si="3">IF(ISERROR(H13/D13),0,(H13/D13))</f>
        <v>0</v>
      </c>
      <c r="J13" s="125">
        <f t="shared" si="0"/>
        <v>0.13941177329153301</v>
      </c>
    </row>
    <row r="14" spans="1:10" s="1" customFormat="1" x14ac:dyDescent="0.2">
      <c r="A14" s="46" t="s">
        <v>33</v>
      </c>
      <c r="B14" s="24"/>
      <c r="C14" s="25"/>
      <c r="D14" s="25">
        <f>SUM(D12:D13)</f>
        <v>107.5</v>
      </c>
      <c r="E14" s="76"/>
      <c r="F14" s="25"/>
      <c r="G14" s="25">
        <f>SUM(G12:G13)</f>
        <v>107.5</v>
      </c>
      <c r="H14" s="25">
        <f t="shared" si="2"/>
        <v>0</v>
      </c>
      <c r="I14" s="27">
        <f t="shared" si="3"/>
        <v>0</v>
      </c>
      <c r="J14" s="47">
        <f t="shared" si="0"/>
        <v>0.49543026872197687</v>
      </c>
    </row>
    <row r="15" spans="1:10" x14ac:dyDescent="0.2">
      <c r="A15" s="107" t="s">
        <v>38</v>
      </c>
      <c r="B15" s="73">
        <v>1</v>
      </c>
      <c r="C15" s="78">
        <f>VLOOKUP($B$3,'Data for Bill Impacts'!$A$3:$Y$15,7,0)</f>
        <v>35.18</v>
      </c>
      <c r="D15" s="22">
        <f>B15*C15</f>
        <v>35.18</v>
      </c>
      <c r="E15" s="73">
        <f t="shared" ref="E15:E31" si="4">B15</f>
        <v>1</v>
      </c>
      <c r="F15" s="78">
        <f>VLOOKUP($B$3,'Data for Bill Impacts'!$A$3:$Y$15,17,0)</f>
        <v>35.1</v>
      </c>
      <c r="G15" s="22">
        <f>E15*F15</f>
        <v>35.1</v>
      </c>
      <c r="H15" s="22">
        <f t="shared" si="2"/>
        <v>-7.9999999999998295E-2</v>
      </c>
      <c r="I15" s="23">
        <f t="shared" si="3"/>
        <v>-2.2740193291642496E-3</v>
      </c>
      <c r="J15" s="125">
        <f t="shared" si="0"/>
        <v>0.16176374355480361</v>
      </c>
    </row>
    <row r="16" spans="1:10" x14ac:dyDescent="0.2">
      <c r="A16" s="107" t="s">
        <v>85</v>
      </c>
      <c r="B16" s="73">
        <v>1</v>
      </c>
      <c r="C16" s="78">
        <f>VLOOKUP($B$3,'Data for Bill Impacts'!$A$3:$Y$15,13,0)</f>
        <v>0.51</v>
      </c>
      <c r="D16" s="22">
        <f t="shared" ref="D16" si="5">B16*C16</f>
        <v>0.51</v>
      </c>
      <c r="E16" s="73">
        <f t="shared" si="4"/>
        <v>1</v>
      </c>
      <c r="F16" s="78">
        <f>VLOOKUP($B$3,'Data for Bill Impacts'!$A$3:$Y$15,22,0)</f>
        <v>-0.01</v>
      </c>
      <c r="G16" s="22">
        <f t="shared" ref="G16" si="6">E16*F16</f>
        <v>-0.01</v>
      </c>
      <c r="H16" s="22">
        <f t="shared" si="2"/>
        <v>-0.52</v>
      </c>
      <c r="I16" s="23">
        <f t="shared" si="3"/>
        <v>-1.0196078431372548</v>
      </c>
      <c r="J16" s="125">
        <f t="shared" si="0"/>
        <v>-4.6086536625300171E-5</v>
      </c>
    </row>
    <row r="17" spans="1:10" x14ac:dyDescent="0.2">
      <c r="A17" s="107" t="s">
        <v>39</v>
      </c>
      <c r="B17" s="73">
        <f>IF($B$9="kWh",$B$4,$B$5)</f>
        <v>1000</v>
      </c>
      <c r="C17" s="78">
        <f>VLOOKUP($B$3,'Data for Bill Impacts'!$A$3:$Y$15,10,0)</f>
        <v>2.8500000000000001E-2</v>
      </c>
      <c r="D17" s="22">
        <f>B17*C17</f>
        <v>28.5</v>
      </c>
      <c r="E17" s="73">
        <f t="shared" si="4"/>
        <v>1000</v>
      </c>
      <c r="F17" s="78">
        <f>VLOOKUP($B$3,'Data for Bill Impacts'!$A$3:$Y$15,19,0)</f>
        <v>2.87E-2</v>
      </c>
      <c r="G17" s="22">
        <f>E17*F17</f>
        <v>28.7</v>
      </c>
      <c r="H17" s="22">
        <f t="shared" si="2"/>
        <v>0.19999999999999929</v>
      </c>
      <c r="I17" s="23">
        <f t="shared" si="3"/>
        <v>7.0175438596490978E-3</v>
      </c>
      <c r="J17" s="125">
        <f t="shared" si="0"/>
        <v>0.13226836011461149</v>
      </c>
    </row>
    <row r="18" spans="1:10" s="1" customFormat="1" x14ac:dyDescent="0.2">
      <c r="A18" s="107" t="s">
        <v>124</v>
      </c>
      <c r="B18" s="73">
        <f>IF($B$9="kWh",$B$4,$B$5)</f>
        <v>1000</v>
      </c>
      <c r="C18" s="126">
        <f>VLOOKUP($B$3,'Data for Bill Impacts'!$A$3:$Y$15,14,0)</f>
        <v>-1E-4</v>
      </c>
      <c r="D18" s="22">
        <f>B18*C18</f>
        <v>-0.1</v>
      </c>
      <c r="E18" s="73">
        <f>B18</f>
        <v>1000</v>
      </c>
      <c r="F18" s="126">
        <f>VLOOKUP($B$3,'Data for Bill Impacts'!$A$3:$Y$15,23,0)</f>
        <v>2.0000000000000001E-4</v>
      </c>
      <c r="G18" s="22">
        <f>E18*F18</f>
        <v>0.2</v>
      </c>
      <c r="H18" s="22">
        <f>G18-D18</f>
        <v>0.30000000000000004</v>
      </c>
      <c r="I18" s="23">
        <f>IF(ISERROR(H18/D18),0,(H18/D18))</f>
        <v>-3.0000000000000004</v>
      </c>
      <c r="J18" s="125">
        <f t="shared" si="0"/>
        <v>9.217307325060035E-4</v>
      </c>
    </row>
    <row r="19" spans="1:10" x14ac:dyDescent="0.2">
      <c r="A19" s="110" t="s">
        <v>72</v>
      </c>
      <c r="B19" s="74"/>
      <c r="C19" s="35"/>
      <c r="D19" s="35">
        <f>SUM(D15:D18)</f>
        <v>64.09</v>
      </c>
      <c r="E19" s="73"/>
      <c r="F19" s="35"/>
      <c r="G19" s="35">
        <f>SUM(G15:G18)</f>
        <v>63.990000000000009</v>
      </c>
      <c r="H19" s="35">
        <f t="shared" si="2"/>
        <v>-9.9999999999994316E-2</v>
      </c>
      <c r="I19" s="36">
        <f t="shared" si="3"/>
        <v>-1.5603058199406196E-3</v>
      </c>
      <c r="J19" s="111">
        <f t="shared" si="0"/>
        <v>0.29490774786529583</v>
      </c>
    </row>
    <row r="20" spans="1:10" s="1" customFormat="1" x14ac:dyDescent="0.2">
      <c r="A20" s="119" t="s">
        <v>81</v>
      </c>
      <c r="B20" s="120">
        <f>B8-B4</f>
        <v>92</v>
      </c>
      <c r="C20" s="121">
        <f>IF(B4&gt;B7,C13,C12)</f>
        <v>0.121</v>
      </c>
      <c r="D20" s="22">
        <f>B20*C20</f>
        <v>11.132</v>
      </c>
      <c r="E20" s="73">
        <f>B20</f>
        <v>92</v>
      </c>
      <c r="F20" s="121">
        <f>C20</f>
        <v>0.121</v>
      </c>
      <c r="G20" s="22">
        <f>E20*F20</f>
        <v>11.132</v>
      </c>
      <c r="H20" s="22">
        <f t="shared" si="2"/>
        <v>0</v>
      </c>
      <c r="I20" s="23">
        <f>IF(ISERROR(H20/D20),0,(H20/D20))</f>
        <v>0</v>
      </c>
      <c r="J20" s="125">
        <f t="shared" si="0"/>
        <v>5.1303532571284151E-2</v>
      </c>
    </row>
    <row r="21" spans="1:10" x14ac:dyDescent="0.2">
      <c r="A21" s="110" t="s">
        <v>79</v>
      </c>
      <c r="B21" s="74"/>
      <c r="C21" s="35"/>
      <c r="D21" s="35">
        <f>SUM(D19,D20:D20)</f>
        <v>75.222000000000008</v>
      </c>
      <c r="E21" s="73"/>
      <c r="F21" s="35"/>
      <c r="G21" s="35">
        <f>SUM(G19,G20:G20)</f>
        <v>75.122000000000014</v>
      </c>
      <c r="H21" s="35">
        <f t="shared" si="2"/>
        <v>-9.9999999999994316E-2</v>
      </c>
      <c r="I21" s="36">
        <f>IF(ISERROR(H21/D21),0,(H21/D21))</f>
        <v>-1.3293983143228617E-3</v>
      </c>
      <c r="J21" s="111">
        <f t="shared" si="0"/>
        <v>0.34621128043658</v>
      </c>
    </row>
    <row r="22" spans="1:10" x14ac:dyDescent="0.2">
      <c r="A22" s="107" t="s">
        <v>40</v>
      </c>
      <c r="B22" s="73">
        <f>B8</f>
        <v>1092</v>
      </c>
      <c r="C22" s="78">
        <f>VLOOKUP($B$3,'Data for Bill Impacts'!$A$3:$Y$15,15,0)</f>
        <v>4.7000000000000002E-3</v>
      </c>
      <c r="D22" s="22">
        <f>B22*C22</f>
        <v>5.1324000000000005</v>
      </c>
      <c r="E22" s="73">
        <f t="shared" si="4"/>
        <v>1092</v>
      </c>
      <c r="F22" s="126">
        <f>VLOOKUP($B$3,'Data for Bill Impacts'!$A$3:$Y$15,24,0)</f>
        <v>4.7699999999999999E-3</v>
      </c>
      <c r="G22" s="22">
        <f>E22*F22</f>
        <v>5.2088400000000004</v>
      </c>
      <c r="H22" s="22">
        <f t="shared" si="2"/>
        <v>7.6439999999999841E-2</v>
      </c>
      <c r="I22" s="23">
        <f t="shared" si="3"/>
        <v>1.4893617021276563E-2</v>
      </c>
      <c r="J22" s="125">
        <f t="shared" si="0"/>
        <v>2.4005739543532856E-2</v>
      </c>
    </row>
    <row r="23" spans="1:10" s="1" customFormat="1" x14ac:dyDescent="0.2">
      <c r="A23" s="107" t="s">
        <v>41</v>
      </c>
      <c r="B23" s="73">
        <f>B8</f>
        <v>1092</v>
      </c>
      <c r="C23" s="78">
        <f>VLOOKUP($B$3,'Data for Bill Impacts'!$A$3:$Y$15,16,0)</f>
        <v>3.0999999999999999E-3</v>
      </c>
      <c r="D23" s="22">
        <f>B23*C23</f>
        <v>3.3851999999999998</v>
      </c>
      <c r="E23" s="73">
        <f t="shared" si="4"/>
        <v>1092</v>
      </c>
      <c r="F23" s="126">
        <f>VLOOKUP($B$3,'Data for Bill Impacts'!$A$3:$Y$15,25,0)</f>
        <v>3.7950000000000002E-3</v>
      </c>
      <c r="G23" s="22">
        <f>E23*F23</f>
        <v>4.1441400000000002</v>
      </c>
      <c r="H23" s="22">
        <f t="shared" si="2"/>
        <v>0.75894000000000039</v>
      </c>
      <c r="I23" s="23">
        <f t="shared" si="3"/>
        <v>0.2241935483870969</v>
      </c>
      <c r="J23" s="125">
        <f t="shared" si="0"/>
        <v>1.9098905989037147E-2</v>
      </c>
    </row>
    <row r="24" spans="1:10" s="1" customFormat="1" x14ac:dyDescent="0.2">
      <c r="A24" s="110" t="s">
        <v>76</v>
      </c>
      <c r="B24" s="74"/>
      <c r="C24" s="35"/>
      <c r="D24" s="35">
        <f>SUM(D22:D23)</f>
        <v>8.5175999999999998</v>
      </c>
      <c r="E24" s="73"/>
      <c r="F24" s="35"/>
      <c r="G24" s="35">
        <f>SUM(G22:G23)</f>
        <v>9.3529800000000005</v>
      </c>
      <c r="H24" s="35">
        <f t="shared" si="2"/>
        <v>0.83538000000000068</v>
      </c>
      <c r="I24" s="36">
        <f t="shared" si="3"/>
        <v>9.8076923076923159E-2</v>
      </c>
      <c r="J24" s="111">
        <f t="shared" si="0"/>
        <v>4.3104645532570006E-2</v>
      </c>
    </row>
    <row r="25" spans="1:10" s="1" customFormat="1" x14ac:dyDescent="0.2">
      <c r="A25" s="110" t="s">
        <v>80</v>
      </c>
      <c r="B25" s="74"/>
      <c r="C25" s="35"/>
      <c r="D25" s="35">
        <f>D21+D24</f>
        <v>83.73960000000001</v>
      </c>
      <c r="E25" s="73"/>
      <c r="F25" s="35"/>
      <c r="G25" s="35">
        <f>G21+G24</f>
        <v>84.474980000000016</v>
      </c>
      <c r="H25" s="35">
        <f t="shared" si="2"/>
        <v>0.73538000000000636</v>
      </c>
      <c r="I25" s="36">
        <f t="shared" si="3"/>
        <v>8.7817472259242493E-3</v>
      </c>
      <c r="J25" s="111">
        <f t="shared" si="0"/>
        <v>0.38931592596915005</v>
      </c>
    </row>
    <row r="26" spans="1:10" x14ac:dyDescent="0.2">
      <c r="A26" s="107" t="s">
        <v>42</v>
      </c>
      <c r="B26" s="73">
        <f>B8</f>
        <v>1092</v>
      </c>
      <c r="C26" s="34">
        <v>3.5999999999999999E-3</v>
      </c>
      <c r="D26" s="22">
        <f>B26*C26</f>
        <v>3.9312</v>
      </c>
      <c r="E26" s="73">
        <f t="shared" si="4"/>
        <v>1092</v>
      </c>
      <c r="F26" s="34">
        <v>3.5999999999999999E-3</v>
      </c>
      <c r="G26" s="22">
        <f>E26*F26</f>
        <v>3.9312</v>
      </c>
      <c r="H26" s="22">
        <f t="shared" si="2"/>
        <v>0</v>
      </c>
      <c r="I26" s="23">
        <f t="shared" si="3"/>
        <v>0</v>
      </c>
      <c r="J26" s="125">
        <f t="shared" si="0"/>
        <v>1.8117539278138004E-2</v>
      </c>
    </row>
    <row r="27" spans="1:10" s="1" customFormat="1" x14ac:dyDescent="0.2">
      <c r="A27" s="107" t="s">
        <v>43</v>
      </c>
      <c r="B27" s="73">
        <f>B8</f>
        <v>1092</v>
      </c>
      <c r="C27" s="34">
        <v>2.0999999999999999E-3</v>
      </c>
      <c r="D27" s="22">
        <f>B27*C27</f>
        <v>2.2931999999999997</v>
      </c>
      <c r="E27" s="73">
        <f t="shared" si="4"/>
        <v>1092</v>
      </c>
      <c r="F27" s="34">
        <v>2.0999999999999999E-3</v>
      </c>
      <c r="G27" s="22">
        <f>E27*F27</f>
        <v>2.2931999999999997</v>
      </c>
      <c r="H27" s="22">
        <f>G27-D27</f>
        <v>0</v>
      </c>
      <c r="I27" s="23">
        <f t="shared" si="3"/>
        <v>0</v>
      </c>
      <c r="J27" s="125">
        <f t="shared" si="0"/>
        <v>1.0568564578913834E-2</v>
      </c>
    </row>
    <row r="28" spans="1:10" s="1" customFormat="1" x14ac:dyDescent="0.2">
      <c r="A28" s="107" t="s">
        <v>96</v>
      </c>
      <c r="B28" s="73">
        <f>B8</f>
        <v>1092</v>
      </c>
      <c r="C28" s="34">
        <v>1.1000000000000001E-3</v>
      </c>
      <c r="D28" s="22">
        <f>B28*C28</f>
        <v>1.2012</v>
      </c>
      <c r="E28" s="73">
        <f t="shared" si="4"/>
        <v>1092</v>
      </c>
      <c r="F28" s="34">
        <v>1.1000000000000001E-3</v>
      </c>
      <c r="G28" s="22">
        <f>E28*F28</f>
        <v>1.2012</v>
      </c>
      <c r="H28" s="22">
        <f>G28-D28</f>
        <v>0</v>
      </c>
      <c r="I28" s="23">
        <f t="shared" ref="I28" si="7">IF(ISERROR(H28/D28),0,(H28/D28))</f>
        <v>0</v>
      </c>
      <c r="J28" s="125">
        <f t="shared" ref="J28" si="8">G28/$G$36</f>
        <v>5.5359147794310573E-3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1.1521634156325042E-3</v>
      </c>
    </row>
    <row r="30" spans="1:10" s="1" customFormat="1" x14ac:dyDescent="0.2">
      <c r="A30" s="110" t="s">
        <v>45</v>
      </c>
      <c r="B30" s="74"/>
      <c r="C30" s="35"/>
      <c r="D30" s="35">
        <f>SUM(D26:D29)</f>
        <v>7.6755999999999993</v>
      </c>
      <c r="E30" s="73"/>
      <c r="F30" s="35"/>
      <c r="G30" s="35">
        <f>SUM(G26:G29)</f>
        <v>7.6755999999999993</v>
      </c>
      <c r="H30" s="35">
        <f t="shared" si="2"/>
        <v>0</v>
      </c>
      <c r="I30" s="36">
        <f t="shared" si="3"/>
        <v>0</v>
      </c>
      <c r="J30" s="111">
        <f t="shared" si="9"/>
        <v>3.5374182052115399E-2</v>
      </c>
    </row>
    <row r="31" spans="1:10" ht="13.5" thickBot="1" x14ac:dyDescent="0.25">
      <c r="A31" s="112" t="s">
        <v>46</v>
      </c>
      <c r="B31" s="113">
        <f>B4</f>
        <v>1000</v>
      </c>
      <c r="C31" s="114">
        <v>7.0000000000000001E-3</v>
      </c>
      <c r="D31" s="115">
        <f>B31*C31</f>
        <v>7</v>
      </c>
      <c r="E31" s="116">
        <f t="shared" si="4"/>
        <v>1000</v>
      </c>
      <c r="F31" s="114">
        <f>C31</f>
        <v>7.0000000000000001E-3</v>
      </c>
      <c r="G31" s="115">
        <f>E31*F31</f>
        <v>7</v>
      </c>
      <c r="H31" s="115">
        <f t="shared" si="2"/>
        <v>0</v>
      </c>
      <c r="I31" s="117">
        <f t="shared" si="3"/>
        <v>0</v>
      </c>
      <c r="J31" s="118">
        <f t="shared" si="9"/>
        <v>3.226057563771012E-2</v>
      </c>
    </row>
    <row r="32" spans="1:10" x14ac:dyDescent="0.2">
      <c r="A32" s="37" t="s">
        <v>115</v>
      </c>
      <c r="B32" s="38"/>
      <c r="C32" s="39"/>
      <c r="D32" s="39">
        <f>SUM(D14,D21,D24,D30,D31)</f>
        <v>205.9152</v>
      </c>
      <c r="E32" s="38"/>
      <c r="F32" s="39"/>
      <c r="G32" s="39">
        <f>SUM(G14,G21,G24,G30,G31)</f>
        <v>206.65058000000002</v>
      </c>
      <c r="H32" s="39">
        <f t="shared" si="2"/>
        <v>0.73538000000002057</v>
      </c>
      <c r="I32" s="40">
        <f>IF(ISERROR(H32/D32),0,(H32/D32))</f>
        <v>3.5712759427182672E-3</v>
      </c>
      <c r="J32" s="41">
        <f t="shared" si="9"/>
        <v>0.95238095238095244</v>
      </c>
    </row>
    <row r="33" spans="1:10" x14ac:dyDescent="0.2">
      <c r="A33" s="46" t="s">
        <v>106</v>
      </c>
      <c r="B33" s="43"/>
      <c r="C33" s="26">
        <v>0.13</v>
      </c>
      <c r="D33" s="26">
        <f>D32*C33</f>
        <v>26.768976000000002</v>
      </c>
      <c r="E33" s="26"/>
      <c r="F33" s="26">
        <f>C33</f>
        <v>0.13</v>
      </c>
      <c r="G33" s="26">
        <f>G32*F33</f>
        <v>26.864575400000003</v>
      </c>
      <c r="H33" s="26">
        <f t="shared" si="2"/>
        <v>9.5599400000001111E-2</v>
      </c>
      <c r="I33" s="44">
        <f t="shared" si="3"/>
        <v>3.5712759427182087E-3</v>
      </c>
      <c r="J33" s="45">
        <f t="shared" si="9"/>
        <v>0.12380952380952381</v>
      </c>
    </row>
    <row r="34" spans="1:10" x14ac:dyDescent="0.2">
      <c r="A34" s="46" t="s">
        <v>107</v>
      </c>
      <c r="B34" s="24"/>
      <c r="C34" s="25"/>
      <c r="D34" s="25">
        <f>SUM(D32:D33)</f>
        <v>232.68417600000001</v>
      </c>
      <c r="E34" s="25"/>
      <c r="F34" s="25"/>
      <c r="G34" s="25">
        <f>SUM(G32:G33)</f>
        <v>233.51515540000003</v>
      </c>
      <c r="H34" s="25">
        <f t="shared" si="2"/>
        <v>0.83097940000001813</v>
      </c>
      <c r="I34" s="27">
        <f t="shared" si="3"/>
        <v>3.5712759427182451E-3</v>
      </c>
      <c r="J34" s="47">
        <f t="shared" si="9"/>
        <v>1.0761904761904761</v>
      </c>
    </row>
    <row r="35" spans="1:10" x14ac:dyDescent="0.2">
      <c r="A35" s="46" t="s">
        <v>108</v>
      </c>
      <c r="B35" s="43"/>
      <c r="C35" s="26">
        <v>-0.08</v>
      </c>
      <c r="D35" s="26">
        <f>D32*C35</f>
        <v>-16.473216000000001</v>
      </c>
      <c r="E35" s="26"/>
      <c r="F35" s="26">
        <f>C35</f>
        <v>-0.08</v>
      </c>
      <c r="G35" s="26">
        <f>G32*F35</f>
        <v>-16.532046400000002</v>
      </c>
      <c r="H35" s="26">
        <f t="shared" si="2"/>
        <v>-5.8830400000001504E-2</v>
      </c>
      <c r="I35" s="44">
        <f t="shared" si="3"/>
        <v>3.5712759427182585E-3</v>
      </c>
      <c r="J35" s="45">
        <f t="shared" si="9"/>
        <v>-7.6190476190476197E-2</v>
      </c>
    </row>
    <row r="36" spans="1:10" ht="13.5" thickBot="1" x14ac:dyDescent="0.25">
      <c r="A36" s="46" t="s">
        <v>109</v>
      </c>
      <c r="B36" s="49"/>
      <c r="C36" s="50"/>
      <c r="D36" s="50">
        <f>SUM(D34:D35)</f>
        <v>216.21096</v>
      </c>
      <c r="E36" s="50"/>
      <c r="F36" s="50"/>
      <c r="G36" s="50">
        <f>SUM(G34:G35)</f>
        <v>216.98310900000001</v>
      </c>
      <c r="H36" s="50">
        <f t="shared" si="2"/>
        <v>0.77214900000001307</v>
      </c>
      <c r="I36" s="51">
        <f t="shared" si="3"/>
        <v>3.5712759427182278E-3</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1" tint="0.499984740745262"/>
    <pageSetUpPr fitToPage="1"/>
  </sheetPr>
  <dimension ref="A1:J47"/>
  <sheetViews>
    <sheetView tabSelected="1" view="pageBreakPreview" topLeftCell="A13"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98</v>
      </c>
      <c r="B1" s="192"/>
      <c r="C1" s="192"/>
      <c r="D1" s="192"/>
      <c r="E1" s="192"/>
      <c r="F1" s="192"/>
      <c r="G1" s="192"/>
      <c r="H1" s="192"/>
      <c r="I1" s="192"/>
      <c r="J1" s="193"/>
    </row>
    <row r="3" spans="1:10" x14ac:dyDescent="0.2">
      <c r="A3" s="13" t="s">
        <v>13</v>
      </c>
      <c r="B3" s="13" t="s">
        <v>9</v>
      </c>
    </row>
    <row r="4" spans="1:10" x14ac:dyDescent="0.2">
      <c r="A4" s="15" t="s">
        <v>62</v>
      </c>
      <c r="B4" s="15">
        <v>20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21.840000000000003</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20</v>
      </c>
      <c r="C12" s="103">
        <v>0.10299999999999999</v>
      </c>
      <c r="D12" s="104">
        <f>B12*C12</f>
        <v>2.06</v>
      </c>
      <c r="E12" s="102">
        <f>B12</f>
        <v>20</v>
      </c>
      <c r="F12" s="103">
        <f>C12</f>
        <v>0.10299999999999999</v>
      </c>
      <c r="G12" s="104">
        <f>E12*F12</f>
        <v>2.06</v>
      </c>
      <c r="H12" s="104">
        <f>G12-D12</f>
        <v>0</v>
      </c>
      <c r="I12" s="105">
        <f>IF(ISERROR(H12/D12),0,(H12/D12))</f>
        <v>0</v>
      </c>
      <c r="J12" s="124">
        <f t="shared" ref="J12:J27" si="0">G12/$G$36</f>
        <v>0.23227896382062735</v>
      </c>
    </row>
    <row r="13" spans="1:10" x14ac:dyDescent="0.2">
      <c r="A13" s="107" t="s">
        <v>32</v>
      </c>
      <c r="B13" s="73">
        <f>IF(B4&gt;B7,(B4)-B7,0)</f>
        <v>0</v>
      </c>
      <c r="C13" s="21">
        <v>0.121</v>
      </c>
      <c r="D13" s="22">
        <f>B13*C13</f>
        <v>0</v>
      </c>
      <c r="E13" s="73">
        <f t="shared" ref="E13" si="1">B13</f>
        <v>0</v>
      </c>
      <c r="F13" s="21">
        <f>C13</f>
        <v>0.121</v>
      </c>
      <c r="G13" s="22">
        <f>E13*F13</f>
        <v>0</v>
      </c>
      <c r="H13" s="22">
        <f t="shared" ref="H13:H36" si="2">G13-D13</f>
        <v>0</v>
      </c>
      <c r="I13" s="23">
        <f t="shared" ref="I13:I36" si="3">IF(ISERROR(H13/D13),0,(H13/D13))</f>
        <v>0</v>
      </c>
      <c r="J13" s="125">
        <f t="shared" si="0"/>
        <v>0</v>
      </c>
    </row>
    <row r="14" spans="1:10" s="1" customFormat="1" x14ac:dyDescent="0.2">
      <c r="A14" s="46" t="s">
        <v>33</v>
      </c>
      <c r="B14" s="24"/>
      <c r="C14" s="25"/>
      <c r="D14" s="25">
        <f>SUM(D12:D13)</f>
        <v>2.06</v>
      </c>
      <c r="E14" s="76"/>
      <c r="F14" s="25"/>
      <c r="G14" s="25">
        <f>SUM(G12:G13)</f>
        <v>2.06</v>
      </c>
      <c r="H14" s="25">
        <f t="shared" si="2"/>
        <v>0</v>
      </c>
      <c r="I14" s="27">
        <f t="shared" si="3"/>
        <v>0</v>
      </c>
      <c r="J14" s="47">
        <f t="shared" si="0"/>
        <v>0.23227896382062735</v>
      </c>
    </row>
    <row r="15" spans="1:10" x14ac:dyDescent="0.2">
      <c r="A15" s="107" t="s">
        <v>38</v>
      </c>
      <c r="B15" s="73">
        <v>1</v>
      </c>
      <c r="C15" s="78">
        <f>VLOOKUP($B$3,'Data for Bill Impacts'!$A$3:$Y$15,7,0)</f>
        <v>2.71</v>
      </c>
      <c r="D15" s="22">
        <f>B15*C15</f>
        <v>2.71</v>
      </c>
      <c r="E15" s="73">
        <f t="shared" ref="E15:E31" si="4">B15</f>
        <v>1</v>
      </c>
      <c r="F15" s="78">
        <f>VLOOKUP($B$3,'Data for Bill Impacts'!$A$3:$Y$15,17,0)</f>
        <v>3.1</v>
      </c>
      <c r="G15" s="22">
        <f>E15*F15</f>
        <v>3.1</v>
      </c>
      <c r="H15" s="22">
        <f t="shared" si="2"/>
        <v>0.39000000000000012</v>
      </c>
      <c r="I15" s="23">
        <f t="shared" si="3"/>
        <v>0.14391143911439119</v>
      </c>
      <c r="J15" s="125">
        <f t="shared" si="0"/>
        <v>0.34954601351647802</v>
      </c>
    </row>
    <row r="16" spans="1:10" x14ac:dyDescent="0.2">
      <c r="A16" s="107" t="s">
        <v>85</v>
      </c>
      <c r="B16" s="73">
        <v>1</v>
      </c>
      <c r="C16" s="78">
        <f>VLOOKUP($B$3,'Data for Bill Impacts'!$A$3:$Y$15,13,0)</f>
        <v>0.05</v>
      </c>
      <c r="D16" s="22">
        <f t="shared" ref="D16" si="5">B16*C16</f>
        <v>0.05</v>
      </c>
      <c r="E16" s="73">
        <f t="shared" si="4"/>
        <v>1</v>
      </c>
      <c r="F16" s="78">
        <f>VLOOKUP($B$3,'Data for Bill Impacts'!$A$3:$Y$15,22,0)</f>
        <v>0</v>
      </c>
      <c r="G16" s="22">
        <f t="shared" ref="G16" si="6">E16*F16</f>
        <v>0</v>
      </c>
      <c r="H16" s="22">
        <f t="shared" si="2"/>
        <v>-0.05</v>
      </c>
      <c r="I16" s="23">
        <f t="shared" si="3"/>
        <v>-1</v>
      </c>
      <c r="J16" s="125">
        <f t="shared" si="0"/>
        <v>0</v>
      </c>
    </row>
    <row r="17" spans="1:10" x14ac:dyDescent="0.2">
      <c r="A17" s="107" t="s">
        <v>39</v>
      </c>
      <c r="B17" s="73">
        <f>IF($B$9="kWh",$B$4,$B$5)</f>
        <v>20</v>
      </c>
      <c r="C17" s="78">
        <f>VLOOKUP($B$3,'Data for Bill Impacts'!$A$3:$Y$15,10,0)</f>
        <v>0.1178</v>
      </c>
      <c r="D17" s="22">
        <f>B17*C17</f>
        <v>2.3559999999999999</v>
      </c>
      <c r="E17" s="73">
        <f t="shared" si="4"/>
        <v>20</v>
      </c>
      <c r="F17" s="126">
        <f>VLOOKUP($B$3,'Data for Bill Impacts'!$A$3:$Y$15,19,0)</f>
        <v>0.11799999999999999</v>
      </c>
      <c r="G17" s="22">
        <f>E17*F17</f>
        <v>2.36</v>
      </c>
      <c r="H17" s="22">
        <f t="shared" si="2"/>
        <v>4.0000000000000036E-3</v>
      </c>
      <c r="I17" s="23">
        <f t="shared" si="3"/>
        <v>1.6977928692699506E-3</v>
      </c>
      <c r="J17" s="125">
        <f t="shared" si="0"/>
        <v>0.26610599738673807</v>
      </c>
    </row>
    <row r="18" spans="1:10" s="1" customFormat="1" x14ac:dyDescent="0.2">
      <c r="A18" s="107" t="s">
        <v>124</v>
      </c>
      <c r="B18" s="73">
        <f>IF($B$9="kWh",$B$4,$B$5)</f>
        <v>20</v>
      </c>
      <c r="C18" s="78">
        <f>VLOOKUP($B$3,'Data for Bill Impacts'!$A$3:$Y$15,14,0)</f>
        <v>8.9999999999999998E-4</v>
      </c>
      <c r="D18" s="22">
        <f>B18*C18</f>
        <v>1.7999999999999999E-2</v>
      </c>
      <c r="E18" s="73">
        <f>B18</f>
        <v>20</v>
      </c>
      <c r="F18" s="126">
        <f>VLOOKUP($B$3,'Data for Bill Impacts'!$A$3:$Y$15,23,0)</f>
        <v>1E-4</v>
      </c>
      <c r="G18" s="22">
        <f>E18*F18</f>
        <v>2E-3</v>
      </c>
      <c r="H18" s="22">
        <f>G18-D18</f>
        <v>-1.6E-2</v>
      </c>
      <c r="I18" s="23">
        <f>IF(ISERROR(H18/D18),0,(H18/D18))</f>
        <v>-0.88888888888888895</v>
      </c>
      <c r="J18" s="125">
        <f t="shared" si="0"/>
        <v>2.2551355710740518E-4</v>
      </c>
    </row>
    <row r="19" spans="1:10" x14ac:dyDescent="0.2">
      <c r="A19" s="110" t="s">
        <v>72</v>
      </c>
      <c r="B19" s="74"/>
      <c r="C19" s="35"/>
      <c r="D19" s="35">
        <f>SUM(D15:D18)</f>
        <v>5.1339999999999995</v>
      </c>
      <c r="E19" s="73"/>
      <c r="F19" s="35"/>
      <c r="G19" s="35">
        <f>SUM(G15:G18)</f>
        <v>5.4619999999999997</v>
      </c>
      <c r="H19" s="35">
        <f t="shared" si="2"/>
        <v>0.32800000000000029</v>
      </c>
      <c r="I19" s="36">
        <f t="shared" si="3"/>
        <v>6.3887806778340536E-2</v>
      </c>
      <c r="J19" s="111">
        <f t="shared" si="0"/>
        <v>0.61587752446032351</v>
      </c>
    </row>
    <row r="20" spans="1:10" s="1" customFormat="1" x14ac:dyDescent="0.2">
      <c r="A20" s="119" t="s">
        <v>81</v>
      </c>
      <c r="B20" s="120">
        <f>B8-B4</f>
        <v>1.8400000000000034</v>
      </c>
      <c r="C20" s="121">
        <f>IF(B4&gt;B7,C13,C12)</f>
        <v>0.10299999999999999</v>
      </c>
      <c r="D20" s="22">
        <f>B20*C20</f>
        <v>0.18952000000000033</v>
      </c>
      <c r="E20" s="73">
        <f>B20</f>
        <v>1.8400000000000034</v>
      </c>
      <c r="F20" s="121">
        <f>C20</f>
        <v>0.10299999999999999</v>
      </c>
      <c r="G20" s="22">
        <f>E20*F20</f>
        <v>0.18952000000000033</v>
      </c>
      <c r="H20" s="22">
        <f t="shared" si="2"/>
        <v>0</v>
      </c>
      <c r="I20" s="23">
        <f>IF(ISERROR(H20/D20),0,(H20/D20))</f>
        <v>0</v>
      </c>
      <c r="J20" s="125">
        <f t="shared" si="0"/>
        <v>2.136966467149775E-2</v>
      </c>
    </row>
    <row r="21" spans="1:10" x14ac:dyDescent="0.2">
      <c r="A21" s="110" t="s">
        <v>79</v>
      </c>
      <c r="B21" s="74"/>
      <c r="C21" s="35"/>
      <c r="D21" s="35">
        <f>SUM(D19,D20:D20)</f>
        <v>5.3235199999999994</v>
      </c>
      <c r="E21" s="73"/>
      <c r="F21" s="35"/>
      <c r="G21" s="35">
        <f>SUM(G19,G20:G20)</f>
        <v>5.6515199999999997</v>
      </c>
      <c r="H21" s="35">
        <f t="shared" si="2"/>
        <v>0.32800000000000029</v>
      </c>
      <c r="I21" s="36">
        <f>IF(ISERROR(H21/D21),0,(H21/D21))</f>
        <v>6.1613368598220787E-2</v>
      </c>
      <c r="J21" s="111">
        <f t="shared" si="0"/>
        <v>0.63724718913182121</v>
      </c>
    </row>
    <row r="22" spans="1:10" x14ac:dyDescent="0.2">
      <c r="A22" s="107" t="s">
        <v>40</v>
      </c>
      <c r="B22" s="73">
        <f>B8</f>
        <v>21.840000000000003</v>
      </c>
      <c r="C22" s="78">
        <f>VLOOKUP($B$3,'Data for Bill Impacts'!$A$3:$Y$15,15,0)</f>
        <v>4.4999999999999997E-3</v>
      </c>
      <c r="D22" s="22">
        <f>B22*C22</f>
        <v>9.8280000000000006E-2</v>
      </c>
      <c r="E22" s="73">
        <f t="shared" si="4"/>
        <v>21.840000000000003</v>
      </c>
      <c r="F22" s="126">
        <f>VLOOKUP($B$3,'Data for Bill Impacts'!$A$3:$Y$15,24,0)</f>
        <v>4.6979999999999999E-3</v>
      </c>
      <c r="G22" s="22">
        <f>E22*F22</f>
        <v>0.10260432000000001</v>
      </c>
      <c r="H22" s="22">
        <f t="shared" si="2"/>
        <v>4.3243200000000065E-3</v>
      </c>
      <c r="I22" s="23">
        <f t="shared" si="3"/>
        <v>4.400000000000006E-2</v>
      </c>
      <c r="J22" s="125">
        <f t="shared" si="0"/>
        <v>1.156933258889324E-2</v>
      </c>
    </row>
    <row r="23" spans="1:10" s="1" customFormat="1" x14ac:dyDescent="0.2">
      <c r="A23" s="107" t="s">
        <v>41</v>
      </c>
      <c r="B23" s="73">
        <f>B8</f>
        <v>21.840000000000003</v>
      </c>
      <c r="C23" s="78">
        <f>VLOOKUP($B$3,'Data for Bill Impacts'!$A$3:$Y$15,16,0)</f>
        <v>2.7000000000000001E-3</v>
      </c>
      <c r="D23" s="22">
        <f>B23*C23</f>
        <v>5.8968000000000013E-2</v>
      </c>
      <c r="E23" s="73">
        <f t="shared" si="4"/>
        <v>21.840000000000003</v>
      </c>
      <c r="F23" s="126">
        <f>VLOOKUP($B$3,'Data for Bill Impacts'!$A$3:$Y$15,25,0)</f>
        <v>4.2899999999999995E-3</v>
      </c>
      <c r="G23" s="22">
        <f>E23*F23</f>
        <v>9.3693600000000002E-2</v>
      </c>
      <c r="H23" s="22">
        <f t="shared" si="2"/>
        <v>3.4725599999999988E-2</v>
      </c>
      <c r="I23" s="23">
        <f t="shared" si="3"/>
        <v>0.58888888888888857</v>
      </c>
      <c r="J23" s="125">
        <f t="shared" si="0"/>
        <v>1.0564588507099189E-2</v>
      </c>
    </row>
    <row r="24" spans="1:10" s="1" customFormat="1" x14ac:dyDescent="0.2">
      <c r="A24" s="110" t="s">
        <v>76</v>
      </c>
      <c r="B24" s="74"/>
      <c r="C24" s="35"/>
      <c r="D24" s="35">
        <f>SUM(D22:D23)</f>
        <v>0.15724800000000003</v>
      </c>
      <c r="E24" s="73"/>
      <c r="F24" s="35"/>
      <c r="G24" s="35">
        <f>SUM(G22:G23)</f>
        <v>0.19629792000000001</v>
      </c>
      <c r="H24" s="35">
        <f t="shared" si="2"/>
        <v>3.9049919999999988E-2</v>
      </c>
      <c r="I24" s="36">
        <f t="shared" si="3"/>
        <v>0.24833333333333321</v>
      </c>
      <c r="J24" s="111">
        <f t="shared" si="0"/>
        <v>2.2133921095992427E-2</v>
      </c>
    </row>
    <row r="25" spans="1:10" s="1" customFormat="1" x14ac:dyDescent="0.2">
      <c r="A25" s="110" t="s">
        <v>80</v>
      </c>
      <c r="B25" s="74"/>
      <c r="C25" s="35"/>
      <c r="D25" s="35">
        <f>D21+D24</f>
        <v>5.4807679999999994</v>
      </c>
      <c r="E25" s="73"/>
      <c r="F25" s="35"/>
      <c r="G25" s="35">
        <f>G21+G24</f>
        <v>5.8478179199999998</v>
      </c>
      <c r="H25" s="35">
        <f t="shared" si="2"/>
        <v>0.36704992000000036</v>
      </c>
      <c r="I25" s="36">
        <f t="shared" si="3"/>
        <v>6.6970526758293805E-2</v>
      </c>
      <c r="J25" s="111">
        <f t="shared" si="0"/>
        <v>0.65938111022781365</v>
      </c>
    </row>
    <row r="26" spans="1:10" x14ac:dyDescent="0.2">
      <c r="A26" s="107" t="s">
        <v>42</v>
      </c>
      <c r="B26" s="73">
        <f>B8</f>
        <v>21.840000000000003</v>
      </c>
      <c r="C26" s="34">
        <v>3.5999999999999999E-3</v>
      </c>
      <c r="D26" s="22">
        <f>B26*C26</f>
        <v>7.8624000000000013E-2</v>
      </c>
      <c r="E26" s="73">
        <f t="shared" si="4"/>
        <v>21.840000000000003</v>
      </c>
      <c r="F26" s="34">
        <v>3.5999999999999999E-3</v>
      </c>
      <c r="G26" s="22">
        <f>E26*F26</f>
        <v>7.8624000000000013E-2</v>
      </c>
      <c r="H26" s="22">
        <f t="shared" si="2"/>
        <v>0</v>
      </c>
      <c r="I26" s="23">
        <f t="shared" si="3"/>
        <v>0</v>
      </c>
      <c r="J26" s="125">
        <f t="shared" si="0"/>
        <v>8.8653889570063146E-3</v>
      </c>
    </row>
    <row r="27" spans="1:10" s="1" customFormat="1" x14ac:dyDescent="0.2">
      <c r="A27" s="107" t="s">
        <v>43</v>
      </c>
      <c r="B27" s="73">
        <f>B8</f>
        <v>21.840000000000003</v>
      </c>
      <c r="C27" s="34">
        <v>2.0999999999999999E-3</v>
      </c>
      <c r="D27" s="22">
        <f>B27*C27</f>
        <v>4.5864000000000002E-2</v>
      </c>
      <c r="E27" s="73">
        <f t="shared" si="4"/>
        <v>21.840000000000003</v>
      </c>
      <c r="F27" s="34">
        <v>2.0999999999999999E-3</v>
      </c>
      <c r="G27" s="22">
        <f>E27*F27</f>
        <v>4.5864000000000002E-2</v>
      </c>
      <c r="H27" s="22">
        <f>G27-D27</f>
        <v>0</v>
      </c>
      <c r="I27" s="23">
        <f t="shared" si="3"/>
        <v>0</v>
      </c>
      <c r="J27" s="125">
        <f t="shared" si="0"/>
        <v>5.1714768915870155E-3</v>
      </c>
    </row>
    <row r="28" spans="1:10" s="1" customFormat="1" x14ac:dyDescent="0.2">
      <c r="A28" s="107" t="s">
        <v>96</v>
      </c>
      <c r="B28" s="73">
        <f>B8</f>
        <v>21.840000000000003</v>
      </c>
      <c r="C28" s="34">
        <v>1.1000000000000001E-3</v>
      </c>
      <c r="D28" s="22">
        <f>B28*C28</f>
        <v>2.4024000000000004E-2</v>
      </c>
      <c r="E28" s="73">
        <f t="shared" si="4"/>
        <v>21.840000000000003</v>
      </c>
      <c r="F28" s="34">
        <v>1.1000000000000001E-3</v>
      </c>
      <c r="G28" s="22">
        <f>E28*F28</f>
        <v>2.4024000000000004E-2</v>
      </c>
      <c r="H28" s="22">
        <f>G28-D28</f>
        <v>0</v>
      </c>
      <c r="I28" s="23">
        <f t="shared" ref="I28" si="7">IF(ISERROR(H28/D28),0,(H28/D28))</f>
        <v>0</v>
      </c>
      <c r="J28" s="125">
        <f t="shared" ref="J28" si="8">G28/$G$36</f>
        <v>2.7088688479741515E-3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2.8189194638425646E-2</v>
      </c>
    </row>
    <row r="30" spans="1:10" s="1" customFormat="1" x14ac:dyDescent="0.2">
      <c r="A30" s="110" t="s">
        <v>45</v>
      </c>
      <c r="B30" s="74"/>
      <c r="C30" s="35"/>
      <c r="D30" s="35">
        <f>SUM(D26:D29)</f>
        <v>0.39851200000000003</v>
      </c>
      <c r="E30" s="73"/>
      <c r="F30" s="35"/>
      <c r="G30" s="35">
        <f>SUM(G26:G29)</f>
        <v>0.39851200000000003</v>
      </c>
      <c r="H30" s="35">
        <f t="shared" si="2"/>
        <v>0</v>
      </c>
      <c r="I30" s="36">
        <f t="shared" si="3"/>
        <v>0</v>
      </c>
      <c r="J30" s="111">
        <f t="shared" si="9"/>
        <v>4.4934929334993129E-2</v>
      </c>
    </row>
    <row r="31" spans="1:10" ht="13.5" thickBot="1" x14ac:dyDescent="0.25">
      <c r="A31" s="112" t="s">
        <v>46</v>
      </c>
      <c r="B31" s="113">
        <f>B4</f>
        <v>20</v>
      </c>
      <c r="C31" s="114">
        <v>7.0000000000000001E-3</v>
      </c>
      <c r="D31" s="115">
        <f>B31*C31</f>
        <v>0.14000000000000001</v>
      </c>
      <c r="E31" s="116">
        <f t="shared" si="4"/>
        <v>20</v>
      </c>
      <c r="F31" s="114">
        <f>C31</f>
        <v>7.0000000000000001E-3</v>
      </c>
      <c r="G31" s="115">
        <f>E31*F31</f>
        <v>0.14000000000000001</v>
      </c>
      <c r="H31" s="115">
        <f t="shared" si="2"/>
        <v>0</v>
      </c>
      <c r="I31" s="117">
        <f t="shared" si="3"/>
        <v>0</v>
      </c>
      <c r="J31" s="118">
        <f t="shared" si="9"/>
        <v>1.5785948997518364E-2</v>
      </c>
    </row>
    <row r="32" spans="1:10" x14ac:dyDescent="0.2">
      <c r="A32" s="37" t="s">
        <v>115</v>
      </c>
      <c r="B32" s="38"/>
      <c r="C32" s="39"/>
      <c r="D32" s="39">
        <f>SUM(D14,D21,D24,D30,D31)</f>
        <v>8.0792799999999989</v>
      </c>
      <c r="E32" s="38"/>
      <c r="F32" s="39"/>
      <c r="G32" s="39">
        <f>SUM(G14,G21,G24,G30,G31)</f>
        <v>8.4463299200000002</v>
      </c>
      <c r="H32" s="39">
        <f t="shared" si="2"/>
        <v>0.36704992000000125</v>
      </c>
      <c r="I32" s="40">
        <f>IF(ISERROR(H32/D32),0,(H32/D32))</f>
        <v>4.5431018605618483E-2</v>
      </c>
      <c r="J32" s="41">
        <f t="shared" si="9"/>
        <v>0.95238095238095255</v>
      </c>
    </row>
    <row r="33" spans="1:10" x14ac:dyDescent="0.2">
      <c r="A33" s="46" t="s">
        <v>106</v>
      </c>
      <c r="B33" s="43"/>
      <c r="C33" s="26">
        <v>0.13</v>
      </c>
      <c r="D33" s="26">
        <f>D32*C33</f>
        <v>1.0503064</v>
      </c>
      <c r="E33" s="26"/>
      <c r="F33" s="26">
        <f>C33</f>
        <v>0.13</v>
      </c>
      <c r="G33" s="26">
        <f>G32*F33</f>
        <v>1.0980228896000002</v>
      </c>
      <c r="H33" s="26">
        <f t="shared" si="2"/>
        <v>4.7716489600000189E-2</v>
      </c>
      <c r="I33" s="44">
        <f t="shared" si="3"/>
        <v>4.5431018605618503E-2</v>
      </c>
      <c r="J33" s="45">
        <f t="shared" si="9"/>
        <v>0.12380952380952384</v>
      </c>
    </row>
    <row r="34" spans="1:10" x14ac:dyDescent="0.2">
      <c r="A34" s="46" t="s">
        <v>107</v>
      </c>
      <c r="B34" s="24"/>
      <c r="C34" s="25"/>
      <c r="D34" s="25">
        <f>SUM(D32:D33)</f>
        <v>9.1295863999999991</v>
      </c>
      <c r="E34" s="25"/>
      <c r="F34" s="25"/>
      <c r="G34" s="25">
        <f>SUM(G32:G33)</f>
        <v>9.5443528095999994</v>
      </c>
      <c r="H34" s="25">
        <f t="shared" si="2"/>
        <v>0.41476640960000033</v>
      </c>
      <c r="I34" s="27">
        <f t="shared" si="3"/>
        <v>4.5431018605618365E-2</v>
      </c>
      <c r="J34" s="47">
        <f t="shared" si="9"/>
        <v>1.0761904761904764</v>
      </c>
    </row>
    <row r="35" spans="1:10" x14ac:dyDescent="0.2">
      <c r="A35" s="46" t="s">
        <v>108</v>
      </c>
      <c r="B35" s="43"/>
      <c r="C35" s="26">
        <v>-0.08</v>
      </c>
      <c r="D35" s="26">
        <f>D32*C35</f>
        <v>-0.64634239999999987</v>
      </c>
      <c r="E35" s="26"/>
      <c r="F35" s="26">
        <f>C35</f>
        <v>-0.08</v>
      </c>
      <c r="G35" s="26">
        <f>G32*F35</f>
        <v>-0.67570639360000007</v>
      </c>
      <c r="H35" s="26">
        <f t="shared" si="2"/>
        <v>-2.9363993600000193E-2</v>
      </c>
      <c r="I35" s="44">
        <f t="shared" si="3"/>
        <v>4.5431018605618628E-2</v>
      </c>
      <c r="J35" s="45">
        <f t="shared" si="9"/>
        <v>-7.6190476190476211E-2</v>
      </c>
    </row>
    <row r="36" spans="1:10" ht="13.5" thickBot="1" x14ac:dyDescent="0.25">
      <c r="A36" s="46" t="s">
        <v>109</v>
      </c>
      <c r="B36" s="49"/>
      <c r="C36" s="50"/>
      <c r="D36" s="50">
        <f>SUM(D34:D35)</f>
        <v>8.4832439999999991</v>
      </c>
      <c r="E36" s="50"/>
      <c r="F36" s="50"/>
      <c r="G36" s="50">
        <f>SUM(G34:G35)</f>
        <v>8.8686464159999989</v>
      </c>
      <c r="H36" s="50">
        <f t="shared" si="2"/>
        <v>0.3854024159999998</v>
      </c>
      <c r="I36" s="51">
        <f t="shared" si="3"/>
        <v>4.5431018605618302E-2</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1" tint="0.499984740745262"/>
    <pageSetUpPr fitToPage="1"/>
  </sheetPr>
  <dimension ref="A1:J47"/>
  <sheetViews>
    <sheetView tabSelected="1" view="pageBreakPreview" topLeftCell="A11"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120</v>
      </c>
      <c r="B1" s="192"/>
      <c r="C1" s="192"/>
      <c r="D1" s="192"/>
      <c r="E1" s="192"/>
      <c r="F1" s="192"/>
      <c r="G1" s="192"/>
      <c r="H1" s="192"/>
      <c r="I1" s="192"/>
      <c r="J1" s="193"/>
    </row>
    <row r="3" spans="1:10" x14ac:dyDescent="0.2">
      <c r="A3" s="13" t="s">
        <v>13</v>
      </c>
      <c r="B3" s="13" t="s">
        <v>9</v>
      </c>
    </row>
    <row r="4" spans="1:10" x14ac:dyDescent="0.2">
      <c r="A4" s="15" t="s">
        <v>62</v>
      </c>
      <c r="B4" s="169">
        <f>VLOOKUP(B3,'Data for Bill Impacts'!A18:D31,3,FALSE)</f>
        <v>71</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9">
        <f>B4*B6</f>
        <v>77.532000000000011</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71</v>
      </c>
      <c r="C12" s="103">
        <v>0.10299999999999999</v>
      </c>
      <c r="D12" s="104">
        <f>B12*C12</f>
        <v>7.3129999999999997</v>
      </c>
      <c r="E12" s="102">
        <f>B12</f>
        <v>71</v>
      </c>
      <c r="F12" s="103">
        <f>C12</f>
        <v>0.10299999999999999</v>
      </c>
      <c r="G12" s="104">
        <f>E12*F12</f>
        <v>7.3129999999999997</v>
      </c>
      <c r="H12" s="104">
        <f>G12-D12</f>
        <v>0</v>
      </c>
      <c r="I12" s="105">
        <f>IF(ISERROR(H12/D12),0,(H12/D12))</f>
        <v>0</v>
      </c>
      <c r="J12" s="124">
        <f t="shared" ref="J12:J27" si="0">G12/$G$36</f>
        <v>0.32481910523062352</v>
      </c>
    </row>
    <row r="13" spans="1:10" x14ac:dyDescent="0.2">
      <c r="A13" s="107" t="s">
        <v>32</v>
      </c>
      <c r="B13" s="73">
        <f>IF(B4&gt;B7,(B4)-B7,0)</f>
        <v>0</v>
      </c>
      <c r="C13" s="21">
        <v>0.121</v>
      </c>
      <c r="D13" s="22">
        <f>B13*C13</f>
        <v>0</v>
      </c>
      <c r="E13" s="73">
        <f t="shared" ref="E13" si="1">B13</f>
        <v>0</v>
      </c>
      <c r="F13" s="21">
        <f>C13</f>
        <v>0.121</v>
      </c>
      <c r="G13" s="22">
        <f>E13*F13</f>
        <v>0</v>
      </c>
      <c r="H13" s="22">
        <f t="shared" ref="H13:H36" si="2">G13-D13</f>
        <v>0</v>
      </c>
      <c r="I13" s="23">
        <f t="shared" ref="I13:I36" si="3">IF(ISERROR(H13/D13),0,(H13/D13))</f>
        <v>0</v>
      </c>
      <c r="J13" s="125">
        <f t="shared" si="0"/>
        <v>0</v>
      </c>
    </row>
    <row r="14" spans="1:10" s="1" customFormat="1" x14ac:dyDescent="0.2">
      <c r="A14" s="46" t="s">
        <v>33</v>
      </c>
      <c r="B14" s="24"/>
      <c r="C14" s="25"/>
      <c r="D14" s="25">
        <f>SUM(D12:D13)</f>
        <v>7.3129999999999997</v>
      </c>
      <c r="E14" s="76"/>
      <c r="F14" s="25"/>
      <c r="G14" s="25">
        <f>SUM(G12:G13)</f>
        <v>7.3129999999999997</v>
      </c>
      <c r="H14" s="25">
        <f t="shared" si="2"/>
        <v>0</v>
      </c>
      <c r="I14" s="27">
        <f t="shared" si="3"/>
        <v>0</v>
      </c>
      <c r="J14" s="47">
        <f t="shared" si="0"/>
        <v>0.32481910523062352</v>
      </c>
    </row>
    <row r="15" spans="1:10" x14ac:dyDescent="0.2">
      <c r="A15" s="107" t="s">
        <v>38</v>
      </c>
      <c r="B15" s="73">
        <v>1</v>
      </c>
      <c r="C15" s="78">
        <f>VLOOKUP($B$3,'Data for Bill Impacts'!$A$3:$Y$15,7,0)</f>
        <v>2.71</v>
      </c>
      <c r="D15" s="22">
        <f>B15*C15</f>
        <v>2.71</v>
      </c>
      <c r="E15" s="73">
        <f t="shared" ref="E15:E31" si="4">B15</f>
        <v>1</v>
      </c>
      <c r="F15" s="78">
        <f>VLOOKUP($B$3,'Data for Bill Impacts'!$A$3:$Y$15,17,0)</f>
        <v>3.1</v>
      </c>
      <c r="G15" s="22">
        <f>E15*F15</f>
        <v>3.1</v>
      </c>
      <c r="H15" s="22">
        <f t="shared" si="2"/>
        <v>0.39000000000000012</v>
      </c>
      <c r="I15" s="23">
        <f t="shared" si="3"/>
        <v>0.14391143911439119</v>
      </c>
      <c r="J15" s="125">
        <f t="shared" si="0"/>
        <v>0.13769167594898576</v>
      </c>
    </row>
    <row r="16" spans="1:10" x14ac:dyDescent="0.2">
      <c r="A16" s="107" t="s">
        <v>85</v>
      </c>
      <c r="B16" s="73">
        <v>1</v>
      </c>
      <c r="C16" s="78">
        <f>VLOOKUP($B$3,'Data for Bill Impacts'!$A$3:$Y$15,13,0)</f>
        <v>0.05</v>
      </c>
      <c r="D16" s="22">
        <f t="shared" ref="D16" si="5">B16*C16</f>
        <v>0.05</v>
      </c>
      <c r="E16" s="73">
        <f t="shared" si="4"/>
        <v>1</v>
      </c>
      <c r="F16" s="78">
        <f>VLOOKUP($B$3,'Data for Bill Impacts'!$A$3:$Y$15,22,0)</f>
        <v>0</v>
      </c>
      <c r="G16" s="22">
        <f t="shared" ref="G16" si="6">E16*F16</f>
        <v>0</v>
      </c>
      <c r="H16" s="22">
        <f t="shared" si="2"/>
        <v>-0.05</v>
      </c>
      <c r="I16" s="23">
        <f t="shared" si="3"/>
        <v>-1</v>
      </c>
      <c r="J16" s="125">
        <f t="shared" si="0"/>
        <v>0</v>
      </c>
    </row>
    <row r="17" spans="1:10" x14ac:dyDescent="0.2">
      <c r="A17" s="107" t="s">
        <v>39</v>
      </c>
      <c r="B17" s="73">
        <f>IF($B$9="kWh",$B$4,$B$5)</f>
        <v>71</v>
      </c>
      <c r="C17" s="78">
        <f>VLOOKUP($B$3,'Data for Bill Impacts'!$A$3:$Y$15,10,0)</f>
        <v>0.1178</v>
      </c>
      <c r="D17" s="22">
        <f>B17*C17</f>
        <v>8.3637999999999995</v>
      </c>
      <c r="E17" s="73">
        <f t="shared" si="4"/>
        <v>71</v>
      </c>
      <c r="F17" s="126">
        <f>VLOOKUP($B$3,'Data for Bill Impacts'!$A$3:$Y$15,19,0)</f>
        <v>0.11799999999999999</v>
      </c>
      <c r="G17" s="22">
        <f>E17*F17</f>
        <v>8.3780000000000001</v>
      </c>
      <c r="H17" s="22">
        <f t="shared" si="2"/>
        <v>1.4200000000000657E-2</v>
      </c>
      <c r="I17" s="23">
        <f t="shared" si="3"/>
        <v>1.6977928692700278E-3</v>
      </c>
      <c r="J17" s="125">
        <f t="shared" si="0"/>
        <v>0.37212285841954929</v>
      </c>
    </row>
    <row r="18" spans="1:10" s="1" customFormat="1" x14ac:dyDescent="0.2">
      <c r="A18" s="107" t="s">
        <v>124</v>
      </c>
      <c r="B18" s="73">
        <f>IF($B$9="kWh",$B$4,$B$5)</f>
        <v>71</v>
      </c>
      <c r="C18" s="78">
        <f>VLOOKUP($B$3,'Data for Bill Impacts'!$A$3:$Y$15,14,0)</f>
        <v>8.9999999999999998E-4</v>
      </c>
      <c r="D18" s="22">
        <f>B18*C18</f>
        <v>6.3899999999999998E-2</v>
      </c>
      <c r="E18" s="73">
        <f>B18</f>
        <v>71</v>
      </c>
      <c r="F18" s="126">
        <f>VLOOKUP($B$3,'Data for Bill Impacts'!$A$3:$Y$15,23,0)</f>
        <v>1E-4</v>
      </c>
      <c r="G18" s="22">
        <f>E18*F18</f>
        <v>7.1000000000000004E-3</v>
      </c>
      <c r="H18" s="22">
        <f>G18-D18</f>
        <v>-5.6799999999999996E-2</v>
      </c>
      <c r="I18" s="23">
        <f>IF(ISERROR(H18/D18),0,(H18/D18))</f>
        <v>-0.88888888888888884</v>
      </c>
      <c r="J18" s="125">
        <f t="shared" si="0"/>
        <v>3.1535835459283839E-4</v>
      </c>
    </row>
    <row r="19" spans="1:10" x14ac:dyDescent="0.2">
      <c r="A19" s="110" t="s">
        <v>72</v>
      </c>
      <c r="B19" s="74"/>
      <c r="C19" s="35"/>
      <c r="D19" s="35">
        <f>SUM(D15:D18)</f>
        <v>11.1877</v>
      </c>
      <c r="E19" s="73"/>
      <c r="F19" s="35"/>
      <c r="G19" s="35">
        <f>SUM(G15:G18)</f>
        <v>11.485099999999999</v>
      </c>
      <c r="H19" s="35">
        <f t="shared" si="2"/>
        <v>0.29739999999999966</v>
      </c>
      <c r="I19" s="36">
        <f t="shared" si="3"/>
        <v>2.6582765000849117E-2</v>
      </c>
      <c r="J19" s="111">
        <f t="shared" si="0"/>
        <v>0.51012989272312792</v>
      </c>
    </row>
    <row r="20" spans="1:10" s="1" customFormat="1" x14ac:dyDescent="0.2">
      <c r="A20" s="119" t="s">
        <v>81</v>
      </c>
      <c r="B20" s="120">
        <f>B8-B4</f>
        <v>6.5320000000000107</v>
      </c>
      <c r="C20" s="121">
        <f>IF(B4&gt;B7,C13,C12)</f>
        <v>0.10299999999999999</v>
      </c>
      <c r="D20" s="22">
        <f>B20*C20</f>
        <v>0.67279600000000106</v>
      </c>
      <c r="E20" s="73">
        <f>B20</f>
        <v>6.5320000000000107</v>
      </c>
      <c r="F20" s="121">
        <f>C20</f>
        <v>0.10299999999999999</v>
      </c>
      <c r="G20" s="22">
        <f>E20*F20</f>
        <v>0.67279600000000106</v>
      </c>
      <c r="H20" s="22">
        <f t="shared" si="2"/>
        <v>0</v>
      </c>
      <c r="I20" s="23">
        <f>IF(ISERROR(H20/D20),0,(H20/D20))</f>
        <v>0</v>
      </c>
      <c r="J20" s="125">
        <f t="shared" si="0"/>
        <v>2.9883357681217412E-2</v>
      </c>
    </row>
    <row r="21" spans="1:10" x14ac:dyDescent="0.2">
      <c r="A21" s="110" t="s">
        <v>79</v>
      </c>
      <c r="B21" s="74"/>
      <c r="C21" s="35"/>
      <c r="D21" s="35">
        <f>SUM(D19,D20:D20)</f>
        <v>11.860496000000001</v>
      </c>
      <c r="E21" s="73"/>
      <c r="F21" s="35"/>
      <c r="G21" s="35">
        <f>SUM(G19,G20:G20)</f>
        <v>12.157896000000001</v>
      </c>
      <c r="H21" s="35">
        <f t="shared" si="2"/>
        <v>0.29739999999999966</v>
      </c>
      <c r="I21" s="36">
        <f>IF(ISERROR(H21/D21),0,(H21/D21))</f>
        <v>2.5074836667876254E-2</v>
      </c>
      <c r="J21" s="111">
        <f t="shared" si="0"/>
        <v>0.54001325040434534</v>
      </c>
    </row>
    <row r="22" spans="1:10" x14ac:dyDescent="0.2">
      <c r="A22" s="107" t="s">
        <v>40</v>
      </c>
      <c r="B22" s="73">
        <f>B8</f>
        <v>77.532000000000011</v>
      </c>
      <c r="C22" s="78">
        <f>VLOOKUP($B$3,'Data for Bill Impacts'!$A$3:$Y$15,15,0)</f>
        <v>4.4999999999999997E-3</v>
      </c>
      <c r="D22" s="22">
        <f>B22*C22</f>
        <v>0.34889400000000004</v>
      </c>
      <c r="E22" s="73">
        <f t="shared" si="4"/>
        <v>77.532000000000011</v>
      </c>
      <c r="F22" s="126">
        <f>VLOOKUP($B$3,'Data for Bill Impacts'!$A$3:$Y$15,24,0)</f>
        <v>4.6979999999999999E-3</v>
      </c>
      <c r="G22" s="22">
        <f>E22*F22</f>
        <v>0.36424533600000003</v>
      </c>
      <c r="H22" s="22">
        <f t="shared" si="2"/>
        <v>1.5351335999999993E-2</v>
      </c>
      <c r="I22" s="23">
        <f t="shared" si="3"/>
        <v>4.3999999999999977E-2</v>
      </c>
      <c r="J22" s="125">
        <f t="shared" si="0"/>
        <v>1.617856476465853E-2</v>
      </c>
    </row>
    <row r="23" spans="1:10" s="1" customFormat="1" x14ac:dyDescent="0.2">
      <c r="A23" s="107" t="s">
        <v>41</v>
      </c>
      <c r="B23" s="73">
        <f>B8</f>
        <v>77.532000000000011</v>
      </c>
      <c r="C23" s="78">
        <f>VLOOKUP($B$3,'Data for Bill Impacts'!$A$3:$Y$15,16,0)</f>
        <v>2.7000000000000001E-3</v>
      </c>
      <c r="D23" s="22">
        <f>B23*C23</f>
        <v>0.20933640000000003</v>
      </c>
      <c r="E23" s="73">
        <f t="shared" si="4"/>
        <v>77.532000000000011</v>
      </c>
      <c r="F23" s="126">
        <f>VLOOKUP($B$3,'Data for Bill Impacts'!$A$3:$Y$15,25,0)</f>
        <v>4.2899999999999995E-3</v>
      </c>
      <c r="G23" s="22">
        <f>E23*F23</f>
        <v>0.33261228000000004</v>
      </c>
      <c r="H23" s="22">
        <f t="shared" si="2"/>
        <v>0.12327588</v>
      </c>
      <c r="I23" s="23">
        <f t="shared" si="3"/>
        <v>0.5888888888888888</v>
      </c>
      <c r="J23" s="125">
        <f t="shared" si="0"/>
        <v>1.4773529765939783E-2</v>
      </c>
    </row>
    <row r="24" spans="1:10" s="1" customFormat="1" x14ac:dyDescent="0.2">
      <c r="A24" s="110" t="s">
        <v>76</v>
      </c>
      <c r="B24" s="74"/>
      <c r="C24" s="35"/>
      <c r="D24" s="35">
        <f>SUM(D22:D23)</f>
        <v>0.55823040000000002</v>
      </c>
      <c r="E24" s="73"/>
      <c r="F24" s="35"/>
      <c r="G24" s="35">
        <f>SUM(G22:G23)</f>
        <v>0.69685761600000007</v>
      </c>
      <c r="H24" s="35">
        <f t="shared" si="2"/>
        <v>0.13862721600000005</v>
      </c>
      <c r="I24" s="36">
        <f t="shared" si="3"/>
        <v>0.24833333333333343</v>
      </c>
      <c r="J24" s="111">
        <f t="shared" si="0"/>
        <v>3.0952094530598315E-2</v>
      </c>
    </row>
    <row r="25" spans="1:10" s="1" customFormat="1" x14ac:dyDescent="0.2">
      <c r="A25" s="110" t="s">
        <v>80</v>
      </c>
      <c r="B25" s="74"/>
      <c r="C25" s="35"/>
      <c r="D25" s="35">
        <f>D21+D24</f>
        <v>12.418726400000001</v>
      </c>
      <c r="E25" s="73"/>
      <c r="F25" s="35"/>
      <c r="G25" s="35">
        <f>G21+G24</f>
        <v>12.854753616000002</v>
      </c>
      <c r="H25" s="35">
        <f t="shared" si="2"/>
        <v>0.43602721600000116</v>
      </c>
      <c r="I25" s="36">
        <f t="shared" si="3"/>
        <v>3.5110461568748398E-2</v>
      </c>
      <c r="J25" s="111">
        <f t="shared" si="0"/>
        <v>0.57096534493494366</v>
      </c>
    </row>
    <row r="26" spans="1:10" x14ac:dyDescent="0.2">
      <c r="A26" s="107" t="s">
        <v>42</v>
      </c>
      <c r="B26" s="73">
        <f>B8</f>
        <v>77.532000000000011</v>
      </c>
      <c r="C26" s="34">
        <v>3.5999999999999999E-3</v>
      </c>
      <c r="D26" s="22">
        <f>B26*C26</f>
        <v>0.27911520000000001</v>
      </c>
      <c r="E26" s="73">
        <f t="shared" si="4"/>
        <v>77.532000000000011</v>
      </c>
      <c r="F26" s="34">
        <v>3.5999999999999999E-3</v>
      </c>
      <c r="G26" s="22">
        <f>E26*F26</f>
        <v>0.27911520000000001</v>
      </c>
      <c r="H26" s="22">
        <f t="shared" si="2"/>
        <v>0</v>
      </c>
      <c r="I26" s="23">
        <f t="shared" si="3"/>
        <v>0</v>
      </c>
      <c r="J26" s="125">
        <f t="shared" si="0"/>
        <v>1.2397367635753663E-2</v>
      </c>
    </row>
    <row r="27" spans="1:10" s="1" customFormat="1" x14ac:dyDescent="0.2">
      <c r="A27" s="107" t="s">
        <v>43</v>
      </c>
      <c r="B27" s="73">
        <f>B8</f>
        <v>77.532000000000011</v>
      </c>
      <c r="C27" s="34">
        <v>2.0999999999999999E-3</v>
      </c>
      <c r="D27" s="22">
        <f>B27*C27</f>
        <v>0.16281720000000002</v>
      </c>
      <c r="E27" s="73">
        <f t="shared" si="4"/>
        <v>77.532000000000011</v>
      </c>
      <c r="F27" s="34">
        <v>2.0999999999999999E-3</v>
      </c>
      <c r="G27" s="22">
        <f>E27*F27</f>
        <v>0.16281720000000002</v>
      </c>
      <c r="H27" s="22">
        <f>G27-D27</f>
        <v>0</v>
      </c>
      <c r="I27" s="23">
        <f t="shared" si="3"/>
        <v>0</v>
      </c>
      <c r="J27" s="125">
        <f t="shared" si="0"/>
        <v>7.2317977875229712E-3</v>
      </c>
    </row>
    <row r="28" spans="1:10" s="1" customFormat="1" x14ac:dyDescent="0.2">
      <c r="A28" s="107" t="s">
        <v>96</v>
      </c>
      <c r="B28" s="73">
        <f>B8</f>
        <v>77.532000000000011</v>
      </c>
      <c r="C28" s="34">
        <v>1.1000000000000001E-3</v>
      </c>
      <c r="D28" s="22">
        <f>B28*C28</f>
        <v>8.5285200000000019E-2</v>
      </c>
      <c r="E28" s="73">
        <f t="shared" si="4"/>
        <v>77.532000000000011</v>
      </c>
      <c r="F28" s="34">
        <v>1.1000000000000001E-3</v>
      </c>
      <c r="G28" s="22">
        <f>E28*F28</f>
        <v>8.5285200000000019E-2</v>
      </c>
      <c r="H28" s="22">
        <f>G28-D28</f>
        <v>0</v>
      </c>
      <c r="I28" s="23">
        <f t="shared" ref="I28" si="7">IF(ISERROR(H28/D28),0,(H28/D28))</f>
        <v>0</v>
      </c>
      <c r="J28" s="125">
        <f t="shared" ref="J28" si="8">G28/$G$36</f>
        <v>3.7880845553691757E-3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1.1104167415240788E-2</v>
      </c>
    </row>
    <row r="30" spans="1:10" s="1" customFormat="1" x14ac:dyDescent="0.2">
      <c r="A30" s="110" t="s">
        <v>45</v>
      </c>
      <c r="B30" s="74"/>
      <c r="C30" s="35"/>
      <c r="D30" s="35">
        <f>SUM(D26:D29)</f>
        <v>0.77721760000000006</v>
      </c>
      <c r="E30" s="73"/>
      <c r="F30" s="35"/>
      <c r="G30" s="35">
        <f>SUM(G26:G29)</f>
        <v>0.77721760000000006</v>
      </c>
      <c r="H30" s="35">
        <f t="shared" si="2"/>
        <v>0</v>
      </c>
      <c r="I30" s="36">
        <f t="shared" si="3"/>
        <v>0</v>
      </c>
      <c r="J30" s="111">
        <f t="shared" si="9"/>
        <v>3.4521417393886596E-2</v>
      </c>
    </row>
    <row r="31" spans="1:10" ht="13.5" thickBot="1" x14ac:dyDescent="0.25">
      <c r="A31" s="112" t="s">
        <v>46</v>
      </c>
      <c r="B31" s="113">
        <f>B4</f>
        <v>71</v>
      </c>
      <c r="C31" s="114">
        <v>7.0000000000000001E-3</v>
      </c>
      <c r="D31" s="115">
        <f>B31*C31</f>
        <v>0.497</v>
      </c>
      <c r="E31" s="116">
        <f t="shared" si="4"/>
        <v>71</v>
      </c>
      <c r="F31" s="114">
        <f>C31</f>
        <v>7.0000000000000001E-3</v>
      </c>
      <c r="G31" s="115">
        <f>E31*F31</f>
        <v>0.497</v>
      </c>
      <c r="H31" s="115">
        <f t="shared" si="2"/>
        <v>0</v>
      </c>
      <c r="I31" s="117">
        <f t="shared" si="3"/>
        <v>0</v>
      </c>
      <c r="J31" s="118">
        <f t="shared" si="9"/>
        <v>2.2075084821498687E-2</v>
      </c>
    </row>
    <row r="32" spans="1:10" x14ac:dyDescent="0.2">
      <c r="A32" s="37" t="s">
        <v>115</v>
      </c>
      <c r="B32" s="38"/>
      <c r="C32" s="39"/>
      <c r="D32" s="39">
        <f>SUM(D14,D21,D24,D30,D31)</f>
        <v>21.005944</v>
      </c>
      <c r="E32" s="38"/>
      <c r="F32" s="39"/>
      <c r="G32" s="39">
        <f>SUM(G14,G21,G24,G30,G31)</f>
        <v>21.441971215999999</v>
      </c>
      <c r="H32" s="39">
        <f t="shared" si="2"/>
        <v>0.43602721599999938</v>
      </c>
      <c r="I32" s="40">
        <f>IF(ISERROR(H32/D32),0,(H32/D32))</f>
        <v>2.0757325450358213E-2</v>
      </c>
      <c r="J32" s="41">
        <f t="shared" si="9"/>
        <v>0.95238095238095233</v>
      </c>
    </row>
    <row r="33" spans="1:10" x14ac:dyDescent="0.2">
      <c r="A33" s="46" t="s">
        <v>106</v>
      </c>
      <c r="B33" s="43"/>
      <c r="C33" s="26">
        <v>0.13</v>
      </c>
      <c r="D33" s="26">
        <f>D32*C33</f>
        <v>2.73077272</v>
      </c>
      <c r="E33" s="26"/>
      <c r="F33" s="26">
        <f>C33</f>
        <v>0.13</v>
      </c>
      <c r="G33" s="26">
        <f>G32*F33</f>
        <v>2.7874562580799997</v>
      </c>
      <c r="H33" s="26">
        <f t="shared" si="2"/>
        <v>5.6683538079999707E-2</v>
      </c>
      <c r="I33" s="44">
        <f t="shared" si="3"/>
        <v>2.0757325450358133E-2</v>
      </c>
      <c r="J33" s="45">
        <f t="shared" si="9"/>
        <v>0.1238095238095238</v>
      </c>
    </row>
    <row r="34" spans="1:10" x14ac:dyDescent="0.2">
      <c r="A34" s="46" t="s">
        <v>107</v>
      </c>
      <c r="B34" s="24"/>
      <c r="C34" s="25"/>
      <c r="D34" s="25">
        <f>SUM(D32:D33)</f>
        <v>23.73671672</v>
      </c>
      <c r="E34" s="25"/>
      <c r="F34" s="25"/>
      <c r="G34" s="25">
        <f>SUM(G32:G33)</f>
        <v>24.229427474079998</v>
      </c>
      <c r="H34" s="25">
        <f t="shared" si="2"/>
        <v>0.49271075407999732</v>
      </c>
      <c r="I34" s="27">
        <f t="shared" si="3"/>
        <v>2.0757325450358129E-2</v>
      </c>
      <c r="J34" s="47">
        <f t="shared" si="9"/>
        <v>1.0761904761904761</v>
      </c>
    </row>
    <row r="35" spans="1:10" x14ac:dyDescent="0.2">
      <c r="A35" s="46" t="s">
        <v>108</v>
      </c>
      <c r="B35" s="43"/>
      <c r="C35" s="26">
        <v>-0.08</v>
      </c>
      <c r="D35" s="26">
        <f>D32*C35</f>
        <v>-1.6804755199999999</v>
      </c>
      <c r="E35" s="26"/>
      <c r="F35" s="26">
        <f>C35</f>
        <v>-0.08</v>
      </c>
      <c r="G35" s="26">
        <f>G32*F35</f>
        <v>-1.71535769728</v>
      </c>
      <c r="H35" s="26">
        <f t="shared" si="2"/>
        <v>-3.4882177280000093E-2</v>
      </c>
      <c r="I35" s="44">
        <f t="shared" si="3"/>
        <v>2.0757325450358299E-2</v>
      </c>
      <c r="J35" s="45">
        <f t="shared" si="9"/>
        <v>-7.6190476190476197E-2</v>
      </c>
    </row>
    <row r="36" spans="1:10" ht="13.5" thickBot="1" x14ac:dyDescent="0.25">
      <c r="A36" s="46" t="s">
        <v>109</v>
      </c>
      <c r="B36" s="49"/>
      <c r="C36" s="50"/>
      <c r="D36" s="50">
        <f>SUM(D34:D35)</f>
        <v>22.056241200000002</v>
      </c>
      <c r="E36" s="50"/>
      <c r="F36" s="50"/>
      <c r="G36" s="50">
        <f>SUM(G34:G35)</f>
        <v>22.5140697768</v>
      </c>
      <c r="H36" s="50">
        <f t="shared" si="2"/>
        <v>0.45782857679999722</v>
      </c>
      <c r="I36" s="51">
        <f t="shared" si="3"/>
        <v>2.0757325450358112E-2</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theme="1" tint="0.499984740745262"/>
    <pageSetUpPr fitToPage="1"/>
  </sheetPr>
  <dimension ref="A1:J47"/>
  <sheetViews>
    <sheetView tabSelected="1" view="pageBreakPreview" topLeftCell="A19"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101</v>
      </c>
      <c r="B1" s="192"/>
      <c r="C1" s="192"/>
      <c r="D1" s="192"/>
      <c r="E1" s="192"/>
      <c r="F1" s="192"/>
      <c r="G1" s="192"/>
      <c r="H1" s="192"/>
      <c r="I1" s="192"/>
      <c r="J1" s="193"/>
    </row>
    <row r="3" spans="1:10" x14ac:dyDescent="0.2">
      <c r="A3" s="13" t="s">
        <v>13</v>
      </c>
      <c r="B3" s="13" t="s">
        <v>9</v>
      </c>
    </row>
    <row r="4" spans="1:10" x14ac:dyDescent="0.2">
      <c r="A4" s="15" t="s">
        <v>62</v>
      </c>
      <c r="B4" s="15">
        <v>200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218.4</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200</v>
      </c>
      <c r="C12" s="103">
        <v>0.10299999999999999</v>
      </c>
      <c r="D12" s="104">
        <f>B12*C12</f>
        <v>20.599999999999998</v>
      </c>
      <c r="E12" s="102">
        <f>B12</f>
        <v>200</v>
      </c>
      <c r="F12" s="103">
        <f>C12</f>
        <v>0.10299999999999999</v>
      </c>
      <c r="G12" s="104">
        <f>E12*F12</f>
        <v>20.599999999999998</v>
      </c>
      <c r="H12" s="104">
        <f>G12-D12</f>
        <v>0</v>
      </c>
      <c r="I12" s="105">
        <f>IF(ISERROR(H12/D12),0,(H12/D12))</f>
        <v>0</v>
      </c>
      <c r="J12" s="124">
        <f t="shared" ref="J12:J27" si="0">G12/$G$36</f>
        <v>0.36121995732212159</v>
      </c>
    </row>
    <row r="13" spans="1:10" x14ac:dyDescent="0.2">
      <c r="A13" s="107" t="s">
        <v>32</v>
      </c>
      <c r="B13" s="73">
        <f>IF(B4&gt;B7,(B4)-B7,0)</f>
        <v>0</v>
      </c>
      <c r="C13" s="21">
        <v>0.121</v>
      </c>
      <c r="D13" s="22">
        <f>B13*C13</f>
        <v>0</v>
      </c>
      <c r="E13" s="73">
        <f t="shared" ref="E13" si="1">B13</f>
        <v>0</v>
      </c>
      <c r="F13" s="21">
        <f>C13</f>
        <v>0.121</v>
      </c>
      <c r="G13" s="22">
        <f>E13*F13</f>
        <v>0</v>
      </c>
      <c r="H13" s="22">
        <f t="shared" ref="H13:H36" si="2">G13-D13</f>
        <v>0</v>
      </c>
      <c r="I13" s="23">
        <f t="shared" ref="I13:I36" si="3">IF(ISERROR(H13/D13),0,(H13/D13))</f>
        <v>0</v>
      </c>
      <c r="J13" s="125">
        <f t="shared" si="0"/>
        <v>0</v>
      </c>
    </row>
    <row r="14" spans="1:10" s="1" customFormat="1" x14ac:dyDescent="0.2">
      <c r="A14" s="46" t="s">
        <v>33</v>
      </c>
      <c r="B14" s="24"/>
      <c r="C14" s="25"/>
      <c r="D14" s="25">
        <f>SUM(D12:D13)</f>
        <v>20.599999999999998</v>
      </c>
      <c r="E14" s="76"/>
      <c r="F14" s="25"/>
      <c r="G14" s="25">
        <f>SUM(G12:G13)</f>
        <v>20.599999999999998</v>
      </c>
      <c r="H14" s="25">
        <f t="shared" si="2"/>
        <v>0</v>
      </c>
      <c r="I14" s="27">
        <f t="shared" si="3"/>
        <v>0</v>
      </c>
      <c r="J14" s="47">
        <f t="shared" si="0"/>
        <v>0.36121995732212159</v>
      </c>
    </row>
    <row r="15" spans="1:10" x14ac:dyDescent="0.2">
      <c r="A15" s="107" t="s">
        <v>38</v>
      </c>
      <c r="B15" s="73">
        <v>1</v>
      </c>
      <c r="C15" s="78">
        <f>VLOOKUP($B$3,'Data for Bill Impacts'!$A$3:$Y$15,7,0)</f>
        <v>2.71</v>
      </c>
      <c r="D15" s="22">
        <f>B15*C15</f>
        <v>2.71</v>
      </c>
      <c r="E15" s="73">
        <f t="shared" ref="E15:E31" si="4">B15</f>
        <v>1</v>
      </c>
      <c r="F15" s="78">
        <f>VLOOKUP($B$3,'Data for Bill Impacts'!$A$3:$Y$15,17,0)</f>
        <v>3.1</v>
      </c>
      <c r="G15" s="22">
        <f>E15*F15</f>
        <v>3.1</v>
      </c>
      <c r="H15" s="22">
        <f t="shared" si="2"/>
        <v>0.39000000000000012</v>
      </c>
      <c r="I15" s="23">
        <f t="shared" si="3"/>
        <v>0.14391143911439119</v>
      </c>
      <c r="J15" s="125">
        <f t="shared" si="0"/>
        <v>5.4358343092163933E-2</v>
      </c>
    </row>
    <row r="16" spans="1:10" x14ac:dyDescent="0.2">
      <c r="A16" s="107" t="s">
        <v>85</v>
      </c>
      <c r="B16" s="73">
        <v>1</v>
      </c>
      <c r="C16" s="78">
        <f>VLOOKUP($B$3,'Data for Bill Impacts'!$A$3:$Y$15,13,0)</f>
        <v>0.05</v>
      </c>
      <c r="D16" s="22">
        <f t="shared" ref="D16" si="5">B16*C16</f>
        <v>0.05</v>
      </c>
      <c r="E16" s="73">
        <f t="shared" si="4"/>
        <v>1</v>
      </c>
      <c r="F16" s="78">
        <f>VLOOKUP($B$3,'Data for Bill Impacts'!$A$3:$Y$15,22,0)</f>
        <v>0</v>
      </c>
      <c r="G16" s="22">
        <f t="shared" ref="G16" si="6">E16*F16</f>
        <v>0</v>
      </c>
      <c r="H16" s="22">
        <f t="shared" si="2"/>
        <v>-0.05</v>
      </c>
      <c r="I16" s="23">
        <f t="shared" si="3"/>
        <v>-1</v>
      </c>
      <c r="J16" s="125">
        <f t="shared" si="0"/>
        <v>0</v>
      </c>
    </row>
    <row r="17" spans="1:10" x14ac:dyDescent="0.2">
      <c r="A17" s="107" t="s">
        <v>39</v>
      </c>
      <c r="B17" s="73">
        <f>IF($B$9="kWh",$B$4,$B$5)</f>
        <v>200</v>
      </c>
      <c r="C17" s="78">
        <f>VLOOKUP($B$3,'Data for Bill Impacts'!$A$3:$Y$15,10,0)</f>
        <v>0.1178</v>
      </c>
      <c r="D17" s="22">
        <f>B17*C17</f>
        <v>23.56</v>
      </c>
      <c r="E17" s="73">
        <f t="shared" si="4"/>
        <v>200</v>
      </c>
      <c r="F17" s="126">
        <f>VLOOKUP($B$3,'Data for Bill Impacts'!$A$3:$Y$15,19,0)</f>
        <v>0.11799999999999999</v>
      </c>
      <c r="G17" s="22">
        <f>E17*F17</f>
        <v>23.599999999999998</v>
      </c>
      <c r="H17" s="22">
        <f t="shared" si="2"/>
        <v>3.9999999999999147E-2</v>
      </c>
      <c r="I17" s="23">
        <f t="shared" si="3"/>
        <v>1.697792869269913E-3</v>
      </c>
      <c r="J17" s="125">
        <f t="shared" si="0"/>
        <v>0.41382480547582862</v>
      </c>
    </row>
    <row r="18" spans="1:10" s="1" customFormat="1" x14ac:dyDescent="0.2">
      <c r="A18" s="107" t="s">
        <v>124</v>
      </c>
      <c r="B18" s="73">
        <f>IF($B$9="kWh",$B$4,$B$5)</f>
        <v>200</v>
      </c>
      <c r="C18" s="78">
        <f>VLOOKUP($B$3,'Data for Bill Impacts'!$A$3:$Y$15,14,0)</f>
        <v>8.9999999999999998E-4</v>
      </c>
      <c r="D18" s="22">
        <f>B18*C18</f>
        <v>0.18</v>
      </c>
      <c r="E18" s="73">
        <f>B18</f>
        <v>200</v>
      </c>
      <c r="F18" s="126">
        <f>VLOOKUP($B$3,'Data for Bill Impacts'!$A$3:$Y$15,23,0)</f>
        <v>1E-4</v>
      </c>
      <c r="G18" s="22">
        <f>E18*F18</f>
        <v>0.02</v>
      </c>
      <c r="H18" s="22">
        <f>G18-D18</f>
        <v>-0.16</v>
      </c>
      <c r="I18" s="23">
        <f>IF(ISERROR(H18/D18),0,(H18/D18))</f>
        <v>-0.88888888888888895</v>
      </c>
      <c r="J18" s="125">
        <f t="shared" si="0"/>
        <v>3.5069898769138022E-4</v>
      </c>
    </row>
    <row r="19" spans="1:10" x14ac:dyDescent="0.2">
      <c r="A19" s="110" t="s">
        <v>72</v>
      </c>
      <c r="B19" s="74"/>
      <c r="C19" s="35"/>
      <c r="D19" s="35">
        <f>SUM(D15:D18)</f>
        <v>26.5</v>
      </c>
      <c r="E19" s="73"/>
      <c r="F19" s="35"/>
      <c r="G19" s="35">
        <f>SUM(G15:G18)</f>
        <v>26.72</v>
      </c>
      <c r="H19" s="35">
        <f t="shared" si="2"/>
        <v>0.21999999999999886</v>
      </c>
      <c r="I19" s="36">
        <f t="shared" si="3"/>
        <v>8.3018867924527871E-3</v>
      </c>
      <c r="J19" s="111">
        <f t="shared" si="0"/>
        <v>0.46853384755568389</v>
      </c>
    </row>
    <row r="20" spans="1:10" s="1" customFormat="1" x14ac:dyDescent="0.2">
      <c r="A20" s="119" t="s">
        <v>81</v>
      </c>
      <c r="B20" s="120">
        <f>B8-B4</f>
        <v>18.400000000000006</v>
      </c>
      <c r="C20" s="121">
        <f>IF(B4&gt;B7,C13,C12)</f>
        <v>0.10299999999999999</v>
      </c>
      <c r="D20" s="22">
        <f>B20*C20</f>
        <v>1.8952000000000004</v>
      </c>
      <c r="E20" s="73">
        <f>B20</f>
        <v>18.400000000000006</v>
      </c>
      <c r="F20" s="121">
        <f>C20</f>
        <v>0.10299999999999999</v>
      </c>
      <c r="G20" s="22">
        <f>E20*F20</f>
        <v>1.8952000000000004</v>
      </c>
      <c r="H20" s="22">
        <f t="shared" si="2"/>
        <v>0</v>
      </c>
      <c r="I20" s="23">
        <f>IF(ISERROR(H20/D20),0,(H20/D20))</f>
        <v>0</v>
      </c>
      <c r="J20" s="125">
        <f t="shared" si="0"/>
        <v>3.3232236073635193E-2</v>
      </c>
    </row>
    <row r="21" spans="1:10" x14ac:dyDescent="0.2">
      <c r="A21" s="110" t="s">
        <v>79</v>
      </c>
      <c r="B21" s="74"/>
      <c r="C21" s="35"/>
      <c r="D21" s="35">
        <f>SUM(D19,D20:D20)</f>
        <v>28.395199999999999</v>
      </c>
      <c r="E21" s="73"/>
      <c r="F21" s="35"/>
      <c r="G21" s="35">
        <f>SUM(G19,G20:G20)</f>
        <v>28.615199999999998</v>
      </c>
      <c r="H21" s="35">
        <f t="shared" si="2"/>
        <v>0.21999999999999886</v>
      </c>
      <c r="I21" s="36">
        <f>IF(ISERROR(H21/D21),0,(H21/D21))</f>
        <v>7.7477883585957792E-3</v>
      </c>
      <c r="J21" s="111">
        <f t="shared" si="0"/>
        <v>0.50176608362931907</v>
      </c>
    </row>
    <row r="22" spans="1:10" x14ac:dyDescent="0.2">
      <c r="A22" s="107" t="s">
        <v>40</v>
      </c>
      <c r="B22" s="73">
        <f>B8</f>
        <v>218.4</v>
      </c>
      <c r="C22" s="78">
        <f>VLOOKUP($B$3,'Data for Bill Impacts'!$A$3:$Y$15,15,0)</f>
        <v>4.4999999999999997E-3</v>
      </c>
      <c r="D22" s="22">
        <f>B22*C22</f>
        <v>0.9827999999999999</v>
      </c>
      <c r="E22" s="73">
        <f t="shared" si="4"/>
        <v>218.4</v>
      </c>
      <c r="F22" s="126">
        <f>VLOOKUP($B$3,'Data for Bill Impacts'!$A$3:$Y$15,24,0)</f>
        <v>4.6979999999999999E-3</v>
      </c>
      <c r="G22" s="22">
        <f>E22*F22</f>
        <v>1.0260431999999999</v>
      </c>
      <c r="H22" s="22">
        <f t="shared" si="2"/>
        <v>4.3243200000000037E-2</v>
      </c>
      <c r="I22" s="23">
        <f t="shared" si="3"/>
        <v>4.4000000000000039E-2</v>
      </c>
      <c r="J22" s="125">
        <f t="shared" si="0"/>
        <v>1.7991615578381217E-2</v>
      </c>
    </row>
    <row r="23" spans="1:10" s="1" customFormat="1" x14ac:dyDescent="0.2">
      <c r="A23" s="107" t="s">
        <v>41</v>
      </c>
      <c r="B23" s="73">
        <f>B8</f>
        <v>218.4</v>
      </c>
      <c r="C23" s="78">
        <f>VLOOKUP($B$3,'Data for Bill Impacts'!$A$3:$Y$15,16,0)</f>
        <v>2.7000000000000001E-3</v>
      </c>
      <c r="D23" s="22">
        <f>B23*C23</f>
        <v>0.58968000000000009</v>
      </c>
      <c r="E23" s="73">
        <f t="shared" si="4"/>
        <v>218.4</v>
      </c>
      <c r="F23" s="126">
        <f>VLOOKUP($B$3,'Data for Bill Impacts'!$A$3:$Y$15,25,0)</f>
        <v>4.2899999999999995E-3</v>
      </c>
      <c r="G23" s="22">
        <f>E23*F23</f>
        <v>0.93693599999999988</v>
      </c>
      <c r="H23" s="22">
        <f t="shared" si="2"/>
        <v>0.34725599999999979</v>
      </c>
      <c r="I23" s="23">
        <f t="shared" si="3"/>
        <v>0.58888888888888846</v>
      </c>
      <c r="J23" s="125">
        <f t="shared" si="0"/>
        <v>1.6429125336580547E-2</v>
      </c>
    </row>
    <row r="24" spans="1:10" s="1" customFormat="1" x14ac:dyDescent="0.2">
      <c r="A24" s="110" t="s">
        <v>76</v>
      </c>
      <c r="B24" s="74"/>
      <c r="C24" s="35"/>
      <c r="D24" s="35">
        <f>SUM(D22:D23)</f>
        <v>1.5724800000000001</v>
      </c>
      <c r="E24" s="73"/>
      <c r="F24" s="35"/>
      <c r="G24" s="35">
        <f>SUM(G22:G23)</f>
        <v>1.9629791999999999</v>
      </c>
      <c r="H24" s="35">
        <f t="shared" si="2"/>
        <v>0.39049919999999982</v>
      </c>
      <c r="I24" s="36">
        <f t="shared" si="3"/>
        <v>0.24833333333333321</v>
      </c>
      <c r="J24" s="111">
        <f t="shared" si="0"/>
        <v>3.4420740914961764E-2</v>
      </c>
    </row>
    <row r="25" spans="1:10" s="1" customFormat="1" x14ac:dyDescent="0.2">
      <c r="A25" s="110" t="s">
        <v>80</v>
      </c>
      <c r="B25" s="74"/>
      <c r="C25" s="35"/>
      <c r="D25" s="35">
        <f>D21+D24</f>
        <v>29.967679999999998</v>
      </c>
      <c r="E25" s="73"/>
      <c r="F25" s="35"/>
      <c r="G25" s="35">
        <f>G21+G24</f>
        <v>30.578179199999997</v>
      </c>
      <c r="H25" s="35">
        <f t="shared" si="2"/>
        <v>0.61049919999999958</v>
      </c>
      <c r="I25" s="36">
        <f t="shared" si="3"/>
        <v>2.0371920682548655E-2</v>
      </c>
      <c r="J25" s="111">
        <f t="shared" si="0"/>
        <v>0.53618682454428079</v>
      </c>
    </row>
    <row r="26" spans="1:10" x14ac:dyDescent="0.2">
      <c r="A26" s="107" t="s">
        <v>42</v>
      </c>
      <c r="B26" s="73">
        <f>B8</f>
        <v>218.4</v>
      </c>
      <c r="C26" s="34">
        <v>3.5999999999999999E-3</v>
      </c>
      <c r="D26" s="22">
        <f>B26*C26</f>
        <v>0.78624000000000005</v>
      </c>
      <c r="E26" s="73">
        <f t="shared" si="4"/>
        <v>218.4</v>
      </c>
      <c r="F26" s="34">
        <v>3.5999999999999999E-3</v>
      </c>
      <c r="G26" s="22">
        <f>E26*F26</f>
        <v>0.78624000000000005</v>
      </c>
      <c r="H26" s="22">
        <f t="shared" si="2"/>
        <v>0</v>
      </c>
      <c r="I26" s="23">
        <f t="shared" si="3"/>
        <v>0</v>
      </c>
      <c r="J26" s="125">
        <f t="shared" si="0"/>
        <v>1.378667860412354E-2</v>
      </c>
    </row>
    <row r="27" spans="1:10" s="1" customFormat="1" x14ac:dyDescent="0.2">
      <c r="A27" s="107" t="s">
        <v>43</v>
      </c>
      <c r="B27" s="73">
        <f>B8</f>
        <v>218.4</v>
      </c>
      <c r="C27" s="34">
        <v>2.0999999999999999E-3</v>
      </c>
      <c r="D27" s="22">
        <f>B27*C27</f>
        <v>0.45863999999999999</v>
      </c>
      <c r="E27" s="73">
        <f t="shared" si="4"/>
        <v>218.4</v>
      </c>
      <c r="F27" s="34">
        <v>2.0999999999999999E-3</v>
      </c>
      <c r="G27" s="22">
        <f>E27*F27</f>
        <v>0.45863999999999999</v>
      </c>
      <c r="H27" s="22">
        <f>G27-D27</f>
        <v>0</v>
      </c>
      <c r="I27" s="23">
        <f t="shared" si="3"/>
        <v>0</v>
      </c>
      <c r="J27" s="125">
        <f t="shared" si="0"/>
        <v>8.0422291857387296E-3</v>
      </c>
    </row>
    <row r="28" spans="1:10" s="1" customFormat="1" x14ac:dyDescent="0.2">
      <c r="A28" s="107" t="s">
        <v>96</v>
      </c>
      <c r="B28" s="73">
        <f>B8</f>
        <v>218.4</v>
      </c>
      <c r="C28" s="34">
        <v>1.1000000000000001E-3</v>
      </c>
      <c r="D28" s="22">
        <f>B28*C28</f>
        <v>0.24024000000000001</v>
      </c>
      <c r="E28" s="73">
        <f t="shared" si="4"/>
        <v>218.4</v>
      </c>
      <c r="F28" s="34">
        <v>1.1000000000000001E-3</v>
      </c>
      <c r="G28" s="22">
        <f>E28*F28</f>
        <v>0.24024000000000001</v>
      </c>
      <c r="H28" s="22">
        <f>G28-D28</f>
        <v>0</v>
      </c>
      <c r="I28" s="23">
        <f t="shared" ref="I28" si="7">IF(ISERROR(H28/D28),0,(H28/D28))</f>
        <v>0</v>
      </c>
      <c r="J28" s="125">
        <f t="shared" ref="J28" si="8">G28/$G$36</f>
        <v>4.212596240148859E-3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4.3837373461422524E-3</v>
      </c>
    </row>
    <row r="30" spans="1:10" s="1" customFormat="1" x14ac:dyDescent="0.2">
      <c r="A30" s="110" t="s">
        <v>45</v>
      </c>
      <c r="B30" s="74"/>
      <c r="C30" s="35"/>
      <c r="D30" s="35">
        <f>SUM(D26:D29)</f>
        <v>1.73512</v>
      </c>
      <c r="E30" s="73"/>
      <c r="F30" s="35"/>
      <c r="G30" s="35">
        <f>SUM(G26:G29)</f>
        <v>1.73512</v>
      </c>
      <c r="H30" s="35">
        <f t="shared" si="2"/>
        <v>0</v>
      </c>
      <c r="I30" s="36">
        <f t="shared" si="3"/>
        <v>0</v>
      </c>
      <c r="J30" s="111">
        <f t="shared" si="9"/>
        <v>3.0425241376153381E-2</v>
      </c>
    </row>
    <row r="31" spans="1:10" ht="13.5" thickBot="1" x14ac:dyDescent="0.25">
      <c r="A31" s="112" t="s">
        <v>46</v>
      </c>
      <c r="B31" s="113">
        <f>B4</f>
        <v>200</v>
      </c>
      <c r="C31" s="114">
        <v>7.0000000000000001E-3</v>
      </c>
      <c r="D31" s="115">
        <f>B31*C31</f>
        <v>1.4000000000000001</v>
      </c>
      <c r="E31" s="116">
        <f t="shared" si="4"/>
        <v>200</v>
      </c>
      <c r="F31" s="114">
        <f>C31</f>
        <v>7.0000000000000001E-3</v>
      </c>
      <c r="G31" s="115">
        <f>E31*F31</f>
        <v>1.4000000000000001</v>
      </c>
      <c r="H31" s="115">
        <f t="shared" si="2"/>
        <v>0</v>
      </c>
      <c r="I31" s="117">
        <f t="shared" si="3"/>
        <v>0</v>
      </c>
      <c r="J31" s="118">
        <f t="shared" si="9"/>
        <v>2.4548929138396614E-2</v>
      </c>
    </row>
    <row r="32" spans="1:10" x14ac:dyDescent="0.2">
      <c r="A32" s="37" t="s">
        <v>115</v>
      </c>
      <c r="B32" s="38"/>
      <c r="C32" s="39"/>
      <c r="D32" s="39">
        <f>SUM(D14,D21,D24,D30,D31)</f>
        <v>53.702799999999996</v>
      </c>
      <c r="E32" s="38"/>
      <c r="F32" s="39"/>
      <c r="G32" s="39">
        <f>SUM(G14,G21,G24,G30,G31)</f>
        <v>54.313299199999996</v>
      </c>
      <c r="H32" s="39">
        <f t="shared" si="2"/>
        <v>0.61049919999999958</v>
      </c>
      <c r="I32" s="40">
        <f>IF(ISERROR(H32/D32),0,(H32/D32))</f>
        <v>1.1368107435738911E-2</v>
      </c>
      <c r="J32" s="41">
        <f t="shared" si="9"/>
        <v>0.95238095238095244</v>
      </c>
    </row>
    <row r="33" spans="1:10" x14ac:dyDescent="0.2">
      <c r="A33" s="46" t="s">
        <v>106</v>
      </c>
      <c r="B33" s="43"/>
      <c r="C33" s="26">
        <v>0.13</v>
      </c>
      <c r="D33" s="26">
        <f>D32*C33</f>
        <v>6.9813640000000001</v>
      </c>
      <c r="E33" s="26"/>
      <c r="F33" s="26">
        <f>C33</f>
        <v>0.13</v>
      </c>
      <c r="G33" s="26">
        <f>G32*F33</f>
        <v>7.0607288959999996</v>
      </c>
      <c r="H33" s="26">
        <f t="shared" si="2"/>
        <v>7.9364895999999518E-2</v>
      </c>
      <c r="I33" s="44">
        <f t="shared" si="3"/>
        <v>1.136810743573885E-2</v>
      </c>
      <c r="J33" s="45">
        <f t="shared" si="9"/>
        <v>0.12380952380952381</v>
      </c>
    </row>
    <row r="34" spans="1:10" x14ac:dyDescent="0.2">
      <c r="A34" s="46" t="s">
        <v>107</v>
      </c>
      <c r="B34" s="24"/>
      <c r="C34" s="25"/>
      <c r="D34" s="25">
        <f>SUM(D32:D33)</f>
        <v>60.684163999999996</v>
      </c>
      <c r="E34" s="25"/>
      <c r="F34" s="25"/>
      <c r="G34" s="25">
        <f>SUM(G32:G33)</f>
        <v>61.374028095999996</v>
      </c>
      <c r="H34" s="25">
        <f t="shared" si="2"/>
        <v>0.68986409600000087</v>
      </c>
      <c r="I34" s="27">
        <f t="shared" si="3"/>
        <v>1.1368107435738933E-2</v>
      </c>
      <c r="J34" s="47">
        <f t="shared" si="9"/>
        <v>1.0761904761904761</v>
      </c>
    </row>
    <row r="35" spans="1:10" x14ac:dyDescent="0.2">
      <c r="A35" s="46" t="s">
        <v>108</v>
      </c>
      <c r="B35" s="43"/>
      <c r="C35" s="26">
        <v>-0.08</v>
      </c>
      <c r="D35" s="26">
        <f>D32*C35</f>
        <v>-4.2962239999999996</v>
      </c>
      <c r="E35" s="26"/>
      <c r="F35" s="26">
        <f>C35</f>
        <v>-0.08</v>
      </c>
      <c r="G35" s="26">
        <f>G32*F35</f>
        <v>-4.3450639359999998</v>
      </c>
      <c r="H35" s="26">
        <f t="shared" si="2"/>
        <v>-4.883993600000025E-2</v>
      </c>
      <c r="I35" s="44">
        <f t="shared" si="3"/>
        <v>1.1368107435738978E-2</v>
      </c>
      <c r="J35" s="45">
        <f t="shared" si="9"/>
        <v>-7.6190476190476197E-2</v>
      </c>
    </row>
    <row r="36" spans="1:10" ht="13.5" thickBot="1" x14ac:dyDescent="0.25">
      <c r="A36" s="46" t="s">
        <v>109</v>
      </c>
      <c r="B36" s="49"/>
      <c r="C36" s="50"/>
      <c r="D36" s="50">
        <f>SUM(D34:D35)</f>
        <v>56.387939999999993</v>
      </c>
      <c r="E36" s="50"/>
      <c r="F36" s="50"/>
      <c r="G36" s="50">
        <f>SUM(G34:G35)</f>
        <v>57.028964159999994</v>
      </c>
      <c r="H36" s="50">
        <f t="shared" si="2"/>
        <v>0.64102416000000062</v>
      </c>
      <c r="I36" s="51">
        <f t="shared" si="3"/>
        <v>1.1368107435738932E-2</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1" tint="0.499984740745262"/>
    <pageSetUpPr fitToPage="1"/>
  </sheetPr>
  <dimension ref="A1:K47"/>
  <sheetViews>
    <sheetView tabSelected="1" view="pageBreakPreview" topLeftCell="A16"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1" ht="16.5" thickBot="1" x14ac:dyDescent="0.3">
      <c r="A1" s="191" t="s">
        <v>98</v>
      </c>
      <c r="B1" s="192"/>
      <c r="C1" s="192"/>
      <c r="D1" s="192"/>
      <c r="E1" s="192"/>
      <c r="F1" s="192"/>
      <c r="G1" s="192"/>
      <c r="H1" s="192"/>
      <c r="I1" s="192"/>
      <c r="J1" s="193"/>
      <c r="K1" s="128"/>
    </row>
    <row r="3" spans="1:11" x14ac:dyDescent="0.2">
      <c r="A3" s="13" t="s">
        <v>13</v>
      </c>
      <c r="B3" s="13" t="s">
        <v>8</v>
      </c>
    </row>
    <row r="4" spans="1:11" x14ac:dyDescent="0.2">
      <c r="A4" s="15" t="s">
        <v>62</v>
      </c>
      <c r="B4" s="15">
        <v>100</v>
      </c>
    </row>
    <row r="5" spans="1:11" x14ac:dyDescent="0.2">
      <c r="A5" s="15" t="s">
        <v>16</v>
      </c>
      <c r="B5" s="15">
        <f>VLOOKUP($B$3,'Data for Bill Impacts'!$A$3:$Y$15,5,0)</f>
        <v>0</v>
      </c>
    </row>
    <row r="6" spans="1:11" x14ac:dyDescent="0.2">
      <c r="A6" s="15" t="s">
        <v>20</v>
      </c>
      <c r="B6" s="15">
        <f>VLOOKUP($B$3,'Data for Bill Impacts'!$A$3:$Y$15,2,0)</f>
        <v>1.0920000000000001</v>
      </c>
    </row>
    <row r="7" spans="1:11" x14ac:dyDescent="0.2">
      <c r="A7" s="15" t="s">
        <v>15</v>
      </c>
      <c r="B7" s="15">
        <f>VLOOKUP($B$3,'Data for Bill Impacts'!$A$3:$Y$15,4,0)</f>
        <v>750</v>
      </c>
    </row>
    <row r="8" spans="1:11" x14ac:dyDescent="0.2">
      <c r="A8" s="15" t="s">
        <v>82</v>
      </c>
      <c r="B8" s="15">
        <f>B4*B6</f>
        <v>109.2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23" t="s">
        <v>29</v>
      </c>
    </row>
    <row r="12" spans="1:11" x14ac:dyDescent="0.2">
      <c r="A12" s="101" t="s">
        <v>31</v>
      </c>
      <c r="B12" s="102">
        <f>IF(B4&gt;B7,B7,B4)</f>
        <v>100</v>
      </c>
      <c r="C12" s="103">
        <v>0.10299999999999999</v>
      </c>
      <c r="D12" s="104">
        <f>B12*C12</f>
        <v>10.299999999999999</v>
      </c>
      <c r="E12" s="102">
        <f>B12</f>
        <v>100</v>
      </c>
      <c r="F12" s="103">
        <f>C12</f>
        <v>0.10299999999999999</v>
      </c>
      <c r="G12" s="104">
        <f>E12*F12</f>
        <v>10.299999999999999</v>
      </c>
      <c r="H12" s="104">
        <f>G12-D12</f>
        <v>0</v>
      </c>
      <c r="I12" s="105">
        <f>IF(ISERROR(H12/D12),0,(H12/D12))</f>
        <v>0</v>
      </c>
      <c r="J12" s="124">
        <f t="shared" ref="J12:J27" si="0">G12/$G$36</f>
        <v>0.3525859879107891</v>
      </c>
    </row>
    <row r="13" spans="1:11" x14ac:dyDescent="0.2">
      <c r="A13" s="107" t="s">
        <v>32</v>
      </c>
      <c r="B13" s="73">
        <f>IF(B4&gt;B7,(B4)-B7,0)</f>
        <v>0</v>
      </c>
      <c r="C13" s="21">
        <v>0.121</v>
      </c>
      <c r="D13" s="22">
        <f>B13*C13</f>
        <v>0</v>
      </c>
      <c r="E13" s="73">
        <f t="shared" ref="E13:E31" si="1">B13</f>
        <v>0</v>
      </c>
      <c r="F13" s="21">
        <f>C13</f>
        <v>0.121</v>
      </c>
      <c r="G13" s="22">
        <f>E13*F13</f>
        <v>0</v>
      </c>
      <c r="H13" s="22">
        <f t="shared" ref="H13:H36" si="2">G13-D13</f>
        <v>0</v>
      </c>
      <c r="I13" s="23">
        <f t="shared" ref="I13:I36" si="3">IF(ISERROR(H13/D13),0,(H13/D13))</f>
        <v>0</v>
      </c>
      <c r="J13" s="125">
        <f t="shared" si="0"/>
        <v>0</v>
      </c>
    </row>
    <row r="14" spans="1:11" s="1" customFormat="1" x14ac:dyDescent="0.2">
      <c r="A14" s="46" t="s">
        <v>33</v>
      </c>
      <c r="B14" s="24"/>
      <c r="C14" s="25"/>
      <c r="D14" s="25">
        <f>SUM(D12:D13)</f>
        <v>10.299999999999999</v>
      </c>
      <c r="E14" s="76"/>
      <c r="F14" s="25"/>
      <c r="G14" s="25">
        <f>SUM(G12:G13)</f>
        <v>10.299999999999999</v>
      </c>
      <c r="H14" s="25">
        <f t="shared" si="2"/>
        <v>0</v>
      </c>
      <c r="I14" s="27">
        <f t="shared" si="3"/>
        <v>0</v>
      </c>
      <c r="J14" s="47">
        <f t="shared" si="0"/>
        <v>0.3525859879107891</v>
      </c>
    </row>
    <row r="15" spans="1:11" x14ac:dyDescent="0.2">
      <c r="A15" s="107" t="s">
        <v>38</v>
      </c>
      <c r="B15" s="73">
        <v>1</v>
      </c>
      <c r="C15" s="78">
        <f>VLOOKUP($B$3,'Data for Bill Impacts'!$A$3:$Y$15,7,0)</f>
        <v>4.25</v>
      </c>
      <c r="D15" s="22">
        <f>B15*C15</f>
        <v>4.25</v>
      </c>
      <c r="E15" s="73">
        <f t="shared" si="1"/>
        <v>1</v>
      </c>
      <c r="F15" s="78">
        <f>VLOOKUP($B$3,'Data for Bill Impacts'!$A$3:$Y$15,17,0)</f>
        <v>4.08</v>
      </c>
      <c r="G15" s="22">
        <f>E15*F15</f>
        <v>4.08</v>
      </c>
      <c r="H15" s="22">
        <f t="shared" si="2"/>
        <v>-0.16999999999999993</v>
      </c>
      <c r="I15" s="23">
        <f t="shared" si="3"/>
        <v>-3.999999999999998E-2</v>
      </c>
      <c r="J15" s="125">
        <f t="shared" si="0"/>
        <v>0.13966512919184657</v>
      </c>
    </row>
    <row r="16" spans="1:11" x14ac:dyDescent="0.2">
      <c r="A16" s="107" t="s">
        <v>85</v>
      </c>
      <c r="B16" s="73">
        <v>1</v>
      </c>
      <c r="C16" s="78">
        <f>VLOOKUP($B$3,'Data for Bill Impacts'!$A$3:$Y$15,13,0)</f>
        <v>0.08</v>
      </c>
      <c r="D16" s="22">
        <f t="shared" ref="D16" si="4">B16*C16</f>
        <v>0.08</v>
      </c>
      <c r="E16" s="73">
        <f t="shared" si="1"/>
        <v>1</v>
      </c>
      <c r="F16" s="78">
        <f>VLOOKUP($B$3,'Data for Bill Impacts'!$A$3:$Y$15,22,0)</f>
        <v>0</v>
      </c>
      <c r="G16" s="22">
        <f t="shared" ref="G16" si="5">E16*F16</f>
        <v>0</v>
      </c>
      <c r="H16" s="22">
        <f t="shared" ref="H16" si="6">G16-D16</f>
        <v>-0.08</v>
      </c>
      <c r="I16" s="23">
        <f t="shared" ref="I16" si="7">IF(ISERROR(H16/D16),0,(H16/D16))</f>
        <v>-1</v>
      </c>
      <c r="J16" s="125">
        <f t="shared" si="0"/>
        <v>0</v>
      </c>
    </row>
    <row r="17" spans="1:10" x14ac:dyDescent="0.2">
      <c r="A17" s="107" t="s">
        <v>39</v>
      </c>
      <c r="B17" s="73">
        <f>IF($B$9="kWh",$B$4,$B$5)</f>
        <v>100</v>
      </c>
      <c r="C17" s="78">
        <f>VLOOKUP($B$3,'Data for Bill Impacts'!$A$3:$Y$15,10,0)</f>
        <v>9.2399999999999996E-2</v>
      </c>
      <c r="D17" s="22">
        <f>B17*C17</f>
        <v>9.24</v>
      </c>
      <c r="E17" s="73">
        <f t="shared" si="1"/>
        <v>100</v>
      </c>
      <c r="F17" s="126">
        <f>VLOOKUP($B$3,'Data for Bill Impacts'!$A$3:$Y$15,19,0)</f>
        <v>9.8000000000000004E-2</v>
      </c>
      <c r="G17" s="22">
        <f>E17*F17</f>
        <v>9.8000000000000007</v>
      </c>
      <c r="H17" s="22">
        <f t="shared" si="2"/>
        <v>0.5600000000000005</v>
      </c>
      <c r="I17" s="23">
        <f t="shared" si="3"/>
        <v>6.0606060606060656E-2</v>
      </c>
      <c r="J17" s="125">
        <f t="shared" si="0"/>
        <v>0.33547016325492562</v>
      </c>
    </row>
    <row r="18" spans="1:10" s="1" customFormat="1" x14ac:dyDescent="0.2">
      <c r="A18" s="107" t="s">
        <v>124</v>
      </c>
      <c r="B18" s="73">
        <f>IF($B$9="kWh",$B$4,$B$5)</f>
        <v>100</v>
      </c>
      <c r="C18" s="78">
        <f>VLOOKUP($B$3,'Data for Bill Impacts'!$A$3:$Y$15,14,0)</f>
        <v>6.9999999999999999E-4</v>
      </c>
      <c r="D18" s="22">
        <f>B18*C18</f>
        <v>6.9999999999999993E-2</v>
      </c>
      <c r="E18" s="73">
        <f>B18</f>
        <v>100</v>
      </c>
      <c r="F18" s="126">
        <f>VLOOKUP($B$3,'Data for Bill Impacts'!$A$3:$Y$15,23,0)</f>
        <v>2.0000000000000001E-4</v>
      </c>
      <c r="G18" s="22">
        <f>E18*F18</f>
        <v>0.02</v>
      </c>
      <c r="H18" s="22">
        <f>G18-D18</f>
        <v>-4.9999999999999989E-2</v>
      </c>
      <c r="I18" s="23">
        <f>IF(ISERROR(H18/D18),0,(H18/D18))</f>
        <v>-0.71428571428571419</v>
      </c>
      <c r="J18" s="125">
        <f t="shared" si="0"/>
        <v>6.8463298623454196E-4</v>
      </c>
    </row>
    <row r="19" spans="1:10" x14ac:dyDescent="0.2">
      <c r="A19" s="110" t="s">
        <v>72</v>
      </c>
      <c r="B19" s="74"/>
      <c r="C19" s="35"/>
      <c r="D19" s="35">
        <f>SUM(D15:D18)</f>
        <v>13.64</v>
      </c>
      <c r="E19" s="73"/>
      <c r="F19" s="35"/>
      <c r="G19" s="35">
        <f>SUM(G15:G18)</f>
        <v>13.9</v>
      </c>
      <c r="H19" s="35">
        <f t="shared" si="2"/>
        <v>0.25999999999999979</v>
      </c>
      <c r="I19" s="36">
        <f t="shared" si="3"/>
        <v>1.9061583577712593E-2</v>
      </c>
      <c r="J19" s="111">
        <f t="shared" si="0"/>
        <v>0.47581992543300672</v>
      </c>
    </row>
    <row r="20" spans="1:10" s="1" customFormat="1" x14ac:dyDescent="0.2">
      <c r="A20" s="119" t="s">
        <v>81</v>
      </c>
      <c r="B20" s="120">
        <f>B8-B4</f>
        <v>9.2000000000000028</v>
      </c>
      <c r="C20" s="121">
        <f>IF(B4&gt;B7,C13,C12)</f>
        <v>0.10299999999999999</v>
      </c>
      <c r="D20" s="22">
        <f>B20*C20</f>
        <v>0.94760000000000022</v>
      </c>
      <c r="E20" s="73">
        <f>B20</f>
        <v>9.2000000000000028</v>
      </c>
      <c r="F20" s="121">
        <f>C20</f>
        <v>0.10299999999999999</v>
      </c>
      <c r="G20" s="22">
        <f>E20*F20</f>
        <v>0.94760000000000022</v>
      </c>
      <c r="H20" s="22">
        <f t="shared" si="2"/>
        <v>0</v>
      </c>
      <c r="I20" s="23">
        <f>IF(ISERROR(H20/D20),0,(H20/D20))</f>
        <v>0</v>
      </c>
      <c r="J20" s="125">
        <f t="shared" si="0"/>
        <v>3.2437910887792611E-2</v>
      </c>
    </row>
    <row r="21" spans="1:10" x14ac:dyDescent="0.2">
      <c r="A21" s="110" t="s">
        <v>79</v>
      </c>
      <c r="B21" s="74"/>
      <c r="C21" s="35"/>
      <c r="D21" s="35">
        <f>SUM(D19,D20:D20)</f>
        <v>14.5876</v>
      </c>
      <c r="E21" s="73"/>
      <c r="F21" s="35"/>
      <c r="G21" s="35">
        <f>SUM(G19,G20:G20)</f>
        <v>14.8476</v>
      </c>
      <c r="H21" s="35">
        <f t="shared" si="2"/>
        <v>0.25999999999999979</v>
      </c>
      <c r="I21" s="36">
        <f>IF(ISERROR(H21/D21),0,(H21/D21))</f>
        <v>1.7823356823603594E-2</v>
      </c>
      <c r="J21" s="111">
        <f t="shared" si="0"/>
        <v>0.50825783632079924</v>
      </c>
    </row>
    <row r="22" spans="1:10" x14ac:dyDescent="0.2">
      <c r="A22" s="107" t="s">
        <v>40</v>
      </c>
      <c r="B22" s="73">
        <f>B8</f>
        <v>109.2</v>
      </c>
      <c r="C22" s="78">
        <f>VLOOKUP($B$3,'Data for Bill Impacts'!$A$3:$Y$15,15,0)</f>
        <v>4.4999999999999997E-3</v>
      </c>
      <c r="D22" s="22">
        <f>B22*C22</f>
        <v>0.49139999999999995</v>
      </c>
      <c r="E22" s="73">
        <f t="shared" si="1"/>
        <v>109.2</v>
      </c>
      <c r="F22" s="126">
        <f>VLOOKUP($B$3,'Data for Bill Impacts'!$A$3:$Y$15,24,0)</f>
        <v>4.6979999999999999E-3</v>
      </c>
      <c r="G22" s="22">
        <f>E22*F22</f>
        <v>0.51302159999999997</v>
      </c>
      <c r="H22" s="22">
        <f t="shared" si="2"/>
        <v>2.1621600000000019E-2</v>
      </c>
      <c r="I22" s="23">
        <f t="shared" si="3"/>
        <v>4.4000000000000039E-2</v>
      </c>
      <c r="J22" s="125">
        <f t="shared" si="0"/>
        <v>1.7561575500541136E-2</v>
      </c>
    </row>
    <row r="23" spans="1:10" s="1" customFormat="1" x14ac:dyDescent="0.2">
      <c r="A23" s="107" t="s">
        <v>41</v>
      </c>
      <c r="B23" s="73">
        <f>B8</f>
        <v>109.2</v>
      </c>
      <c r="C23" s="78">
        <f>VLOOKUP($B$3,'Data for Bill Impacts'!$A$3:$Y$15,16,0)</f>
        <v>2.7000000000000001E-3</v>
      </c>
      <c r="D23" s="22">
        <f>B23*C23</f>
        <v>0.29484000000000005</v>
      </c>
      <c r="E23" s="73">
        <f t="shared" si="1"/>
        <v>109.2</v>
      </c>
      <c r="F23" s="126">
        <f>VLOOKUP($B$3,'Data for Bill Impacts'!$A$3:$Y$15,25,0)</f>
        <v>4.2899999999999995E-3</v>
      </c>
      <c r="G23" s="22">
        <f>E23*F23</f>
        <v>0.46846799999999994</v>
      </c>
      <c r="H23" s="22">
        <f t="shared" si="2"/>
        <v>0.17362799999999989</v>
      </c>
      <c r="I23" s="23">
        <f t="shared" si="3"/>
        <v>0.58888888888888846</v>
      </c>
      <c r="J23" s="125">
        <f t="shared" si="0"/>
        <v>1.6036432289766169E-2</v>
      </c>
    </row>
    <row r="24" spans="1:10" s="1" customFormat="1" x14ac:dyDescent="0.2">
      <c r="A24" s="110" t="s">
        <v>76</v>
      </c>
      <c r="B24" s="74"/>
      <c r="C24" s="35"/>
      <c r="D24" s="35">
        <f>SUM(D22:D23)</f>
        <v>0.78624000000000005</v>
      </c>
      <c r="E24" s="73"/>
      <c r="F24" s="35"/>
      <c r="G24" s="35">
        <f>SUM(G22:G23)</f>
        <v>0.98148959999999996</v>
      </c>
      <c r="H24" s="35">
        <f t="shared" si="2"/>
        <v>0.19524959999999991</v>
      </c>
      <c r="I24" s="36">
        <f t="shared" si="3"/>
        <v>0.24833333333333321</v>
      </c>
      <c r="J24" s="111">
        <f t="shared" si="0"/>
        <v>3.3598007790307305E-2</v>
      </c>
    </row>
    <row r="25" spans="1:10" s="1" customFormat="1" x14ac:dyDescent="0.2">
      <c r="A25" s="110" t="s">
        <v>80</v>
      </c>
      <c r="B25" s="74"/>
      <c r="C25" s="35"/>
      <c r="D25" s="35">
        <f>D21+D24</f>
        <v>15.37384</v>
      </c>
      <c r="E25" s="73"/>
      <c r="F25" s="35"/>
      <c r="G25" s="35">
        <f>G21+G24</f>
        <v>15.8290896</v>
      </c>
      <c r="H25" s="35">
        <f t="shared" si="2"/>
        <v>0.45524960000000014</v>
      </c>
      <c r="I25" s="36">
        <f t="shared" si="3"/>
        <v>2.9611964219739516E-2</v>
      </c>
      <c r="J25" s="111">
        <f t="shared" si="0"/>
        <v>0.54185584411110654</v>
      </c>
    </row>
    <row r="26" spans="1:10" x14ac:dyDescent="0.2">
      <c r="A26" s="107" t="s">
        <v>42</v>
      </c>
      <c r="B26" s="73">
        <f>B8</f>
        <v>109.2</v>
      </c>
      <c r="C26" s="34">
        <v>3.5999999999999999E-3</v>
      </c>
      <c r="D26" s="22">
        <f>B26*C26</f>
        <v>0.39312000000000002</v>
      </c>
      <c r="E26" s="73">
        <f t="shared" si="1"/>
        <v>109.2</v>
      </c>
      <c r="F26" s="34">
        <v>3.5999999999999999E-3</v>
      </c>
      <c r="G26" s="22">
        <f>E26*F26</f>
        <v>0.39312000000000002</v>
      </c>
      <c r="H26" s="22">
        <f t="shared" si="2"/>
        <v>0</v>
      </c>
      <c r="I26" s="23">
        <f t="shared" si="3"/>
        <v>0</v>
      </c>
      <c r="J26" s="125">
        <f t="shared" si="0"/>
        <v>1.3457145977426158E-2</v>
      </c>
    </row>
    <row r="27" spans="1:10" s="1" customFormat="1" x14ac:dyDescent="0.2">
      <c r="A27" s="107" t="s">
        <v>43</v>
      </c>
      <c r="B27" s="73">
        <f>B8</f>
        <v>109.2</v>
      </c>
      <c r="C27" s="34">
        <v>2.0999999999999999E-3</v>
      </c>
      <c r="D27" s="22">
        <f>B27*C27</f>
        <v>0.22932</v>
      </c>
      <c r="E27" s="73">
        <f t="shared" si="1"/>
        <v>109.2</v>
      </c>
      <c r="F27" s="34">
        <v>2.0999999999999999E-3</v>
      </c>
      <c r="G27" s="22">
        <f>E27*F27</f>
        <v>0.22932</v>
      </c>
      <c r="H27" s="22">
        <f>G27-D27</f>
        <v>0</v>
      </c>
      <c r="I27" s="23">
        <f t="shared" si="3"/>
        <v>0</v>
      </c>
      <c r="J27" s="125">
        <f t="shared" si="0"/>
        <v>7.8500018201652592E-3</v>
      </c>
    </row>
    <row r="28" spans="1:10" s="1" customFormat="1" x14ac:dyDescent="0.2">
      <c r="A28" s="107" t="s">
        <v>96</v>
      </c>
      <c r="B28" s="73">
        <f>B8</f>
        <v>109.2</v>
      </c>
      <c r="C28" s="34">
        <v>1.1000000000000001E-3</v>
      </c>
      <c r="D28" s="22">
        <f>B28*C28</f>
        <v>0.12012</v>
      </c>
      <c r="E28" s="73">
        <f t="shared" si="1"/>
        <v>109.2</v>
      </c>
      <c r="F28" s="34">
        <v>1.1000000000000001E-3</v>
      </c>
      <c r="G28" s="22">
        <f>E28*F28</f>
        <v>0.12012</v>
      </c>
      <c r="H28" s="22">
        <f>G28-D28</f>
        <v>0</v>
      </c>
      <c r="I28" s="23">
        <f t="shared" ref="I28" si="8">IF(ISERROR(H28/D28),0,(H28/D28))</f>
        <v>0</v>
      </c>
      <c r="J28" s="125">
        <f t="shared" ref="J28" si="9">G28/$G$36</f>
        <v>4.1119057153246596E-3</v>
      </c>
    </row>
    <row r="29" spans="1:10" x14ac:dyDescent="0.2">
      <c r="A29" s="107" t="s">
        <v>44</v>
      </c>
      <c r="B29" s="73">
        <v>1</v>
      </c>
      <c r="C29" s="22">
        <v>0.25</v>
      </c>
      <c r="D29" s="22">
        <f>B29*C29</f>
        <v>0.25</v>
      </c>
      <c r="E29" s="73">
        <f t="shared" si="1"/>
        <v>1</v>
      </c>
      <c r="F29" s="22">
        <f>C29</f>
        <v>0.25</v>
      </c>
      <c r="G29" s="22">
        <f>E29*F29</f>
        <v>0.25</v>
      </c>
      <c r="H29" s="22">
        <f t="shared" si="2"/>
        <v>0</v>
      </c>
      <c r="I29" s="23">
        <f t="shared" si="3"/>
        <v>0</v>
      </c>
      <c r="J29" s="125">
        <f t="shared" ref="J29:J36" si="10">G29/$G$36</f>
        <v>8.5579123279317746E-3</v>
      </c>
    </row>
    <row r="30" spans="1:10" s="1" customFormat="1" x14ac:dyDescent="0.2">
      <c r="A30" s="110" t="s">
        <v>45</v>
      </c>
      <c r="B30" s="74"/>
      <c r="C30" s="35"/>
      <c r="D30" s="35">
        <f>SUM(D26:D29)</f>
        <v>0.99256</v>
      </c>
      <c r="E30" s="73"/>
      <c r="F30" s="35"/>
      <c r="G30" s="35">
        <f>SUM(G26:G29)</f>
        <v>0.99256</v>
      </c>
      <c r="H30" s="35">
        <f t="shared" si="2"/>
        <v>0</v>
      </c>
      <c r="I30" s="36">
        <f t="shared" si="3"/>
        <v>0</v>
      </c>
      <c r="J30" s="111">
        <f t="shared" si="10"/>
        <v>3.3976965840847848E-2</v>
      </c>
    </row>
    <row r="31" spans="1:10" ht="13.5" thickBot="1" x14ac:dyDescent="0.25">
      <c r="A31" s="112" t="s">
        <v>46</v>
      </c>
      <c r="B31" s="113">
        <f>B4</f>
        <v>100</v>
      </c>
      <c r="C31" s="114">
        <v>7.0000000000000001E-3</v>
      </c>
      <c r="D31" s="115">
        <f>B31*C31</f>
        <v>0.70000000000000007</v>
      </c>
      <c r="E31" s="116">
        <f t="shared" si="1"/>
        <v>100</v>
      </c>
      <c r="F31" s="114">
        <f>C31</f>
        <v>7.0000000000000001E-3</v>
      </c>
      <c r="G31" s="115">
        <f>E31*F31</f>
        <v>0.70000000000000007</v>
      </c>
      <c r="H31" s="115">
        <f t="shared" si="2"/>
        <v>0</v>
      </c>
      <c r="I31" s="117">
        <f t="shared" si="3"/>
        <v>0</v>
      </c>
      <c r="J31" s="118">
        <f t="shared" si="10"/>
        <v>2.3962154518208972E-2</v>
      </c>
    </row>
    <row r="32" spans="1:10" x14ac:dyDescent="0.2">
      <c r="A32" s="37" t="s">
        <v>115</v>
      </c>
      <c r="B32" s="38"/>
      <c r="C32" s="39"/>
      <c r="D32" s="39">
        <f>SUM(D14,D21,D24,D30,D31)</f>
        <v>27.366399999999999</v>
      </c>
      <c r="E32" s="38"/>
      <c r="F32" s="39"/>
      <c r="G32" s="39">
        <f>SUM(G14,G21,G24,G30,G31)</f>
        <v>27.821649599999997</v>
      </c>
      <c r="H32" s="39">
        <f t="shared" si="2"/>
        <v>0.45524959999999837</v>
      </c>
      <c r="I32" s="40">
        <f>IF(ISERROR(H32/D32),0,(H32/D32))</f>
        <v>1.6635348456501345E-2</v>
      </c>
      <c r="J32" s="41">
        <f t="shared" si="10"/>
        <v>0.95238095238095244</v>
      </c>
    </row>
    <row r="33" spans="1:10" x14ac:dyDescent="0.2">
      <c r="A33" s="46" t="s">
        <v>106</v>
      </c>
      <c r="B33" s="43"/>
      <c r="C33" s="26">
        <v>0.13</v>
      </c>
      <c r="D33" s="26">
        <f>D32*C33</f>
        <v>3.5576319999999999</v>
      </c>
      <c r="E33" s="26"/>
      <c r="F33" s="26">
        <f>C33</f>
        <v>0.13</v>
      </c>
      <c r="G33" s="26">
        <f>G32*F33</f>
        <v>3.616814448</v>
      </c>
      <c r="H33" s="26">
        <f t="shared" si="2"/>
        <v>5.9182448000000054E-2</v>
      </c>
      <c r="I33" s="44">
        <f t="shared" si="3"/>
        <v>1.6635348456501418E-2</v>
      </c>
      <c r="J33" s="45">
        <f t="shared" si="10"/>
        <v>0.12380952380952383</v>
      </c>
    </row>
    <row r="34" spans="1:10" x14ac:dyDescent="0.2">
      <c r="A34" s="46" t="s">
        <v>107</v>
      </c>
      <c r="B34" s="24"/>
      <c r="C34" s="25"/>
      <c r="D34" s="25">
        <f>SUM(D32:D33)</f>
        <v>30.924031999999997</v>
      </c>
      <c r="E34" s="25"/>
      <c r="F34" s="25"/>
      <c r="G34" s="25">
        <f>SUM(G32:G33)</f>
        <v>31.438464047999997</v>
      </c>
      <c r="H34" s="25">
        <f t="shared" si="2"/>
        <v>0.51443204799999975</v>
      </c>
      <c r="I34" s="27">
        <f t="shared" si="3"/>
        <v>1.6635348456501397E-2</v>
      </c>
      <c r="J34" s="47">
        <f t="shared" si="10"/>
        <v>1.0761904761904764</v>
      </c>
    </row>
    <row r="35" spans="1:10" x14ac:dyDescent="0.2">
      <c r="A35" s="46" t="s">
        <v>108</v>
      </c>
      <c r="B35" s="43"/>
      <c r="C35" s="26">
        <v>-0.08</v>
      </c>
      <c r="D35" s="26">
        <f>D32*C35</f>
        <v>-2.1893120000000001</v>
      </c>
      <c r="E35" s="26"/>
      <c r="F35" s="26">
        <f>C35</f>
        <v>-0.08</v>
      </c>
      <c r="G35" s="26">
        <f>G32*F35</f>
        <v>-2.2257319679999998</v>
      </c>
      <c r="H35" s="26">
        <f t="shared" si="2"/>
        <v>-3.6419967999999692E-2</v>
      </c>
      <c r="I35" s="44">
        <f t="shared" si="3"/>
        <v>1.6635348456501262E-2</v>
      </c>
      <c r="J35" s="45">
        <f t="shared" si="10"/>
        <v>-7.6190476190476197E-2</v>
      </c>
    </row>
    <row r="36" spans="1:10" ht="13.5" thickBot="1" x14ac:dyDescent="0.25">
      <c r="A36" s="46" t="s">
        <v>109</v>
      </c>
      <c r="B36" s="49"/>
      <c r="C36" s="50"/>
      <c r="D36" s="50">
        <f>SUM(D34:D35)</f>
        <v>28.734719999999996</v>
      </c>
      <c r="E36" s="50"/>
      <c r="F36" s="50"/>
      <c r="G36" s="50">
        <f>SUM(G34:G35)</f>
        <v>29.212732079999995</v>
      </c>
      <c r="H36" s="50">
        <f t="shared" si="2"/>
        <v>0.47801207999999917</v>
      </c>
      <c r="I36" s="51">
        <f t="shared" si="3"/>
        <v>1.6635348456501376E-2</v>
      </c>
      <c r="J36" s="52">
        <f t="shared" si="10"/>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theme="1" tint="0.499984740745262"/>
    <pageSetUpPr fitToPage="1"/>
  </sheetPr>
  <dimension ref="A1:J47"/>
  <sheetViews>
    <sheetView tabSelected="1" view="pageBreakPreview"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100</v>
      </c>
      <c r="B1" s="192"/>
      <c r="C1" s="192"/>
      <c r="D1" s="192"/>
      <c r="E1" s="192"/>
      <c r="F1" s="192"/>
      <c r="G1" s="192"/>
      <c r="H1" s="192"/>
      <c r="I1" s="192"/>
      <c r="J1" s="193"/>
    </row>
    <row r="3" spans="1:10" ht="15" customHeight="1" x14ac:dyDescent="0.2">
      <c r="A3" s="13" t="s">
        <v>13</v>
      </c>
      <c r="B3" s="13" t="s">
        <v>8</v>
      </c>
    </row>
    <row r="4" spans="1:10" x14ac:dyDescent="0.2">
      <c r="A4" s="15" t="s">
        <v>62</v>
      </c>
      <c r="B4" s="169">
        <f>VLOOKUP(B3,'Data for Bill Impacts'!A18:D31,3,FALSE)</f>
        <v>517</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9">
        <f>B4*B6</f>
        <v>564.56400000000008</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517</v>
      </c>
      <c r="C12" s="103">
        <v>0.10299999999999999</v>
      </c>
      <c r="D12" s="104">
        <f>B12*C12</f>
        <v>53.250999999999998</v>
      </c>
      <c r="E12" s="102">
        <f>B12</f>
        <v>517</v>
      </c>
      <c r="F12" s="103">
        <f>C12</f>
        <v>0.10299999999999999</v>
      </c>
      <c r="G12" s="104">
        <f>E12*F12</f>
        <v>53.250999999999998</v>
      </c>
      <c r="H12" s="104">
        <f>G12-D12</f>
        <v>0</v>
      </c>
      <c r="I12" s="105">
        <f>IF(ISERROR(H12/D12),0,(H12/D12))</f>
        <v>0</v>
      </c>
      <c r="J12" s="124">
        <f t="shared" ref="J12:J27" si="0">G12/$G$36</f>
        <v>0.40465304697813193</v>
      </c>
    </row>
    <row r="13" spans="1:10" x14ac:dyDescent="0.2">
      <c r="A13" s="107" t="s">
        <v>32</v>
      </c>
      <c r="B13" s="73">
        <f>IF(B4&gt;B7,(B4)-B7,0)</f>
        <v>0</v>
      </c>
      <c r="C13" s="21">
        <v>0.121</v>
      </c>
      <c r="D13" s="22">
        <f>B13*C13</f>
        <v>0</v>
      </c>
      <c r="E13" s="73">
        <f t="shared" ref="E13" si="1">B13</f>
        <v>0</v>
      </c>
      <c r="F13" s="21">
        <f>C13</f>
        <v>0.121</v>
      </c>
      <c r="G13" s="22">
        <f>E13*F13</f>
        <v>0</v>
      </c>
      <c r="H13" s="22">
        <f t="shared" ref="H13:H36" si="2">G13-D13</f>
        <v>0</v>
      </c>
      <c r="I13" s="23">
        <f t="shared" ref="I13:I36" si="3">IF(ISERROR(H13/D13),0,(H13/D13))</f>
        <v>0</v>
      </c>
      <c r="J13" s="125">
        <f t="shared" si="0"/>
        <v>0</v>
      </c>
    </row>
    <row r="14" spans="1:10" s="1" customFormat="1" x14ac:dyDescent="0.2">
      <c r="A14" s="46" t="s">
        <v>33</v>
      </c>
      <c r="B14" s="24"/>
      <c r="C14" s="25"/>
      <c r="D14" s="25">
        <f>SUM(D12:D13)</f>
        <v>53.250999999999998</v>
      </c>
      <c r="E14" s="76"/>
      <c r="F14" s="25"/>
      <c r="G14" s="25">
        <f>SUM(G12:G13)</f>
        <v>53.250999999999998</v>
      </c>
      <c r="H14" s="25">
        <f t="shared" si="2"/>
        <v>0</v>
      </c>
      <c r="I14" s="27">
        <f t="shared" si="3"/>
        <v>0</v>
      </c>
      <c r="J14" s="47">
        <f t="shared" si="0"/>
        <v>0.40465304697813193</v>
      </c>
    </row>
    <row r="15" spans="1:10" x14ac:dyDescent="0.2">
      <c r="A15" s="107" t="s">
        <v>38</v>
      </c>
      <c r="B15" s="73">
        <v>1</v>
      </c>
      <c r="C15" s="78">
        <f>VLOOKUP($B$3,'Data for Bill Impacts'!$A$3:$Y$15,7,0)</f>
        <v>4.25</v>
      </c>
      <c r="D15" s="22">
        <f>B15*C15</f>
        <v>4.25</v>
      </c>
      <c r="E15" s="73">
        <f t="shared" ref="E15:E31" si="4">B15</f>
        <v>1</v>
      </c>
      <c r="F15" s="78">
        <f>VLOOKUP($B$3,'Data for Bill Impacts'!$A$3:$Y$15,17,0)</f>
        <v>4.08</v>
      </c>
      <c r="G15" s="22">
        <f>E15*F15</f>
        <v>4.08</v>
      </c>
      <c r="H15" s="22">
        <f t="shared" si="2"/>
        <v>-0.16999999999999993</v>
      </c>
      <c r="I15" s="23">
        <f t="shared" si="3"/>
        <v>-3.999999999999998E-2</v>
      </c>
      <c r="J15" s="125">
        <f t="shared" si="0"/>
        <v>3.1003820241324639E-2</v>
      </c>
    </row>
    <row r="16" spans="1:10" x14ac:dyDescent="0.2">
      <c r="A16" s="107" t="s">
        <v>85</v>
      </c>
      <c r="B16" s="73">
        <v>1</v>
      </c>
      <c r="C16" s="78">
        <f>VLOOKUP($B$3,'Data for Bill Impacts'!$A$3:$Y$15,11,0)</f>
        <v>0</v>
      </c>
      <c r="D16" s="22">
        <f t="shared" ref="D16" si="5">B16*C16</f>
        <v>0</v>
      </c>
      <c r="E16" s="73">
        <f t="shared" si="4"/>
        <v>1</v>
      </c>
      <c r="F16" s="78">
        <f>VLOOKUP($B$3,'Data for Bill Impacts'!$A$3:$Y$15,22,0)</f>
        <v>0</v>
      </c>
      <c r="G16" s="22">
        <f t="shared" ref="G16" si="6">E16*F16</f>
        <v>0</v>
      </c>
      <c r="H16" s="22">
        <f t="shared" si="2"/>
        <v>0</v>
      </c>
      <c r="I16" s="23">
        <f t="shared" si="3"/>
        <v>0</v>
      </c>
      <c r="J16" s="125">
        <f t="shared" si="0"/>
        <v>0</v>
      </c>
    </row>
    <row r="17" spans="1:10" x14ac:dyDescent="0.2">
      <c r="A17" s="107" t="s">
        <v>39</v>
      </c>
      <c r="B17" s="73">
        <f>IF($B$9="kWh",$B$4,$B$5)</f>
        <v>517</v>
      </c>
      <c r="C17" s="78">
        <f>VLOOKUP($B$3,'Data for Bill Impacts'!$A$3:$Y$15,10,0)</f>
        <v>9.2399999999999996E-2</v>
      </c>
      <c r="D17" s="22">
        <f>B17*C17</f>
        <v>47.770800000000001</v>
      </c>
      <c r="E17" s="73">
        <f t="shared" si="4"/>
        <v>517</v>
      </c>
      <c r="F17" s="126">
        <f>VLOOKUP($B$3,'Data for Bill Impacts'!$A$3:$Y$15,19,0)</f>
        <v>9.8000000000000004E-2</v>
      </c>
      <c r="G17" s="22">
        <f>E17*F17</f>
        <v>50.666000000000004</v>
      </c>
      <c r="H17" s="22">
        <f t="shared" si="2"/>
        <v>2.8952000000000027</v>
      </c>
      <c r="I17" s="23">
        <f t="shared" si="3"/>
        <v>6.0606060606060663E-2</v>
      </c>
      <c r="J17" s="125">
        <f t="shared" si="0"/>
        <v>0.38500969518307698</v>
      </c>
    </row>
    <row r="18" spans="1:10" s="1" customFormat="1" x14ac:dyDescent="0.2">
      <c r="A18" s="107" t="s">
        <v>124</v>
      </c>
      <c r="B18" s="73">
        <f>IF($B$9="kWh",$B$4,$B$5)</f>
        <v>517</v>
      </c>
      <c r="C18" s="78">
        <f>VLOOKUP($B$3,'Data for Bill Impacts'!$A$3:$Y$15,14,0)</f>
        <v>6.9999999999999999E-4</v>
      </c>
      <c r="D18" s="22">
        <f>B18*C18</f>
        <v>0.3619</v>
      </c>
      <c r="E18" s="73">
        <f>B18</f>
        <v>517</v>
      </c>
      <c r="F18" s="126">
        <f>VLOOKUP($B$3,'Data for Bill Impacts'!$A$3:$Y$15,23,0)</f>
        <v>2.0000000000000001E-4</v>
      </c>
      <c r="G18" s="22">
        <f>E18*F18</f>
        <v>0.10340000000000001</v>
      </c>
      <c r="H18" s="22">
        <f>G18-D18</f>
        <v>-0.25850000000000001</v>
      </c>
      <c r="I18" s="23">
        <f>IF(ISERROR(H18/D18),0,(H18/D18))</f>
        <v>-0.7142857142857143</v>
      </c>
      <c r="J18" s="125">
        <f t="shared" si="0"/>
        <v>7.8573407180219793E-4</v>
      </c>
    </row>
    <row r="19" spans="1:10" x14ac:dyDescent="0.2">
      <c r="A19" s="110" t="s">
        <v>72</v>
      </c>
      <c r="B19" s="74"/>
      <c r="C19" s="35"/>
      <c r="D19" s="35">
        <f>SUM(D15:D18)</f>
        <v>52.3827</v>
      </c>
      <c r="E19" s="73"/>
      <c r="F19" s="35"/>
      <c r="G19" s="35">
        <f>SUM(G15:G18)</f>
        <v>54.849400000000003</v>
      </c>
      <c r="H19" s="35">
        <f t="shared" si="2"/>
        <v>2.466700000000003</v>
      </c>
      <c r="I19" s="36">
        <f t="shared" si="3"/>
        <v>4.7089974361764535E-2</v>
      </c>
      <c r="J19" s="111">
        <f t="shared" si="0"/>
        <v>0.41679924949620384</v>
      </c>
    </row>
    <row r="20" spans="1:10" s="1" customFormat="1" x14ac:dyDescent="0.2">
      <c r="A20" s="119" t="s">
        <v>81</v>
      </c>
      <c r="B20" s="120">
        <f>B8-B4</f>
        <v>47.564000000000078</v>
      </c>
      <c r="C20" s="121">
        <f>IF(B4&gt;B7,C13,C12)</f>
        <v>0.10299999999999999</v>
      </c>
      <c r="D20" s="22">
        <f>B20*C20</f>
        <v>4.8990920000000076</v>
      </c>
      <c r="E20" s="73">
        <f>B20</f>
        <v>47.564000000000078</v>
      </c>
      <c r="F20" s="121">
        <f>C20</f>
        <v>0.10299999999999999</v>
      </c>
      <c r="G20" s="22">
        <f>E20*F20</f>
        <v>4.8990920000000076</v>
      </c>
      <c r="H20" s="22">
        <f t="shared" si="2"/>
        <v>0</v>
      </c>
      <c r="I20" s="23">
        <f>IF(ISERROR(H20/D20),0,(H20/D20))</f>
        <v>0</v>
      </c>
      <c r="J20" s="125">
        <f t="shared" si="0"/>
        <v>3.7228080321988197E-2</v>
      </c>
    </row>
    <row r="21" spans="1:10" x14ac:dyDescent="0.2">
      <c r="A21" s="110" t="s">
        <v>79</v>
      </c>
      <c r="B21" s="74"/>
      <c r="C21" s="35"/>
      <c r="D21" s="35">
        <f>SUM(D19,D20:D20)</f>
        <v>57.28179200000001</v>
      </c>
      <c r="E21" s="73"/>
      <c r="F21" s="35"/>
      <c r="G21" s="35">
        <f>SUM(G19,G20:G20)</f>
        <v>59.748492000000013</v>
      </c>
      <c r="H21" s="35">
        <f t="shared" si="2"/>
        <v>2.466700000000003</v>
      </c>
      <c r="I21" s="36">
        <f>IF(ISERROR(H21/D21),0,(H21/D21))</f>
        <v>4.3062549439794109E-2</v>
      </c>
      <c r="J21" s="111">
        <f t="shared" si="0"/>
        <v>0.45402732981819205</v>
      </c>
    </row>
    <row r="22" spans="1:10" x14ac:dyDescent="0.2">
      <c r="A22" s="107" t="s">
        <v>40</v>
      </c>
      <c r="B22" s="73">
        <f>B8</f>
        <v>564.56400000000008</v>
      </c>
      <c r="C22" s="78">
        <f>VLOOKUP($B$3,'Data for Bill Impacts'!$A$3:$Y$15,15,0)</f>
        <v>4.4999999999999997E-3</v>
      </c>
      <c r="D22" s="22">
        <f>B22*C22</f>
        <v>2.5405380000000002</v>
      </c>
      <c r="E22" s="73">
        <f t="shared" si="4"/>
        <v>564.56400000000008</v>
      </c>
      <c r="F22" s="126">
        <f>VLOOKUP($B$3,'Data for Bill Impacts'!$A$3:$Y$15,24,0)</f>
        <v>4.6979999999999999E-3</v>
      </c>
      <c r="G22" s="22">
        <f>E22*F22</f>
        <v>2.6523216720000002</v>
      </c>
      <c r="H22" s="22">
        <f t="shared" si="2"/>
        <v>0.11178367200000006</v>
      </c>
      <c r="I22" s="23">
        <f t="shared" si="3"/>
        <v>4.4000000000000018E-2</v>
      </c>
      <c r="J22" s="125">
        <f t="shared" si="0"/>
        <v>2.0154927534523925E-2</v>
      </c>
    </row>
    <row r="23" spans="1:10" s="1" customFormat="1" x14ac:dyDescent="0.2">
      <c r="A23" s="107" t="s">
        <v>41</v>
      </c>
      <c r="B23" s="73">
        <f>B8</f>
        <v>564.56400000000008</v>
      </c>
      <c r="C23" s="78">
        <f>VLOOKUP($B$3,'Data for Bill Impacts'!$A$3:$Y$15,16,0)</f>
        <v>2.7000000000000001E-3</v>
      </c>
      <c r="D23" s="22">
        <f>B23*C23</f>
        <v>1.5243228000000002</v>
      </c>
      <c r="E23" s="73">
        <f t="shared" si="4"/>
        <v>564.56400000000008</v>
      </c>
      <c r="F23" s="126">
        <f>VLOOKUP($B$3,'Data for Bill Impacts'!$A$3:$Y$15,25,0)</f>
        <v>4.2899999999999995E-3</v>
      </c>
      <c r="G23" s="22">
        <f>E23*F23</f>
        <v>2.42197956</v>
      </c>
      <c r="H23" s="22">
        <f t="shared" si="2"/>
        <v>0.89765675999999983</v>
      </c>
      <c r="I23" s="23">
        <f t="shared" si="3"/>
        <v>0.58888888888888868</v>
      </c>
      <c r="J23" s="125">
        <f t="shared" si="0"/>
        <v>1.8404563457451603E-2</v>
      </c>
    </row>
    <row r="24" spans="1:10" s="1" customFormat="1" x14ac:dyDescent="0.2">
      <c r="A24" s="110" t="s">
        <v>76</v>
      </c>
      <c r="B24" s="74"/>
      <c r="C24" s="35"/>
      <c r="D24" s="35">
        <f>SUM(D22:D23)</f>
        <v>4.0648607999999999</v>
      </c>
      <c r="E24" s="73"/>
      <c r="F24" s="35"/>
      <c r="G24" s="35">
        <f>SUM(G22:G23)</f>
        <v>5.0743012319999998</v>
      </c>
      <c r="H24" s="35">
        <f t="shared" si="2"/>
        <v>1.0094404319999999</v>
      </c>
      <c r="I24" s="36">
        <f t="shared" si="3"/>
        <v>0.24833333333333332</v>
      </c>
      <c r="J24" s="111">
        <f t="shared" si="0"/>
        <v>3.8559490991975524E-2</v>
      </c>
    </row>
    <row r="25" spans="1:10" s="1" customFormat="1" x14ac:dyDescent="0.2">
      <c r="A25" s="110" t="s">
        <v>80</v>
      </c>
      <c r="B25" s="74"/>
      <c r="C25" s="35"/>
      <c r="D25" s="35">
        <f>D21+D24</f>
        <v>61.346652800000008</v>
      </c>
      <c r="E25" s="73"/>
      <c r="F25" s="35"/>
      <c r="G25" s="35">
        <f>G21+G24</f>
        <v>64.822793232000009</v>
      </c>
      <c r="H25" s="35">
        <f t="shared" si="2"/>
        <v>3.4761404320000011</v>
      </c>
      <c r="I25" s="36">
        <f t="shared" si="3"/>
        <v>5.666389726808372E-2</v>
      </c>
      <c r="J25" s="111">
        <f t="shared" si="0"/>
        <v>0.49258682081016752</v>
      </c>
    </row>
    <row r="26" spans="1:10" x14ac:dyDescent="0.2">
      <c r="A26" s="107" t="s">
        <v>42</v>
      </c>
      <c r="B26" s="73">
        <f>B8</f>
        <v>564.56400000000008</v>
      </c>
      <c r="C26" s="34">
        <v>3.5999999999999999E-3</v>
      </c>
      <c r="D26" s="22">
        <f>B26*C26</f>
        <v>2.0324304000000004</v>
      </c>
      <c r="E26" s="73">
        <f t="shared" si="4"/>
        <v>564.56400000000008</v>
      </c>
      <c r="F26" s="34">
        <v>3.5999999999999999E-3</v>
      </c>
      <c r="G26" s="22">
        <f>E26*F26</f>
        <v>2.0324304000000004</v>
      </c>
      <c r="H26" s="22">
        <f t="shared" si="2"/>
        <v>0</v>
      </c>
      <c r="I26" s="23">
        <f t="shared" si="3"/>
        <v>0</v>
      </c>
      <c r="J26" s="125">
        <f t="shared" si="0"/>
        <v>1.5444388915344005E-2</v>
      </c>
    </row>
    <row r="27" spans="1:10" s="1" customFormat="1" x14ac:dyDescent="0.2">
      <c r="A27" s="107" t="s">
        <v>43</v>
      </c>
      <c r="B27" s="73">
        <f>B8</f>
        <v>564.56400000000008</v>
      </c>
      <c r="C27" s="34">
        <v>1.2999999999999999E-3</v>
      </c>
      <c r="D27" s="22">
        <f>B27*C27</f>
        <v>0.73393320000000006</v>
      </c>
      <c r="E27" s="73">
        <f t="shared" si="4"/>
        <v>564.56400000000008</v>
      </c>
      <c r="F27" s="34">
        <v>1.2999999999999999E-3</v>
      </c>
      <c r="G27" s="22">
        <f>E27*F27</f>
        <v>0.73393320000000006</v>
      </c>
      <c r="H27" s="22">
        <f>G27-D27</f>
        <v>0</v>
      </c>
      <c r="I27" s="23">
        <f t="shared" si="3"/>
        <v>0</v>
      </c>
      <c r="J27" s="125">
        <f t="shared" si="0"/>
        <v>5.577140441652001E-3</v>
      </c>
    </row>
    <row r="28" spans="1:10" s="1" customFormat="1" x14ac:dyDescent="0.2">
      <c r="A28" s="107" t="s">
        <v>96</v>
      </c>
      <c r="B28" s="73">
        <f>B8</f>
        <v>564.56400000000008</v>
      </c>
      <c r="C28" s="34">
        <v>1.1000000000000001E-3</v>
      </c>
      <c r="D28" s="22">
        <f>B28*C28</f>
        <v>0.62102040000000014</v>
      </c>
      <c r="E28" s="73">
        <f t="shared" si="4"/>
        <v>564.56400000000008</v>
      </c>
      <c r="F28" s="34">
        <v>1.1000000000000001E-3</v>
      </c>
      <c r="G28" s="22">
        <f>E28*F28</f>
        <v>0.62102040000000014</v>
      </c>
      <c r="H28" s="22">
        <f>G28-D28</f>
        <v>0</v>
      </c>
      <c r="I28" s="23">
        <f t="shared" ref="I28" si="7">IF(ISERROR(H28/D28),0,(H28/D28))</f>
        <v>0</v>
      </c>
      <c r="J28" s="125">
        <f t="shared" ref="J28" si="8">G28/$G$36</f>
        <v>4.719118835244002E-3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1.8997438873360685E-3</v>
      </c>
    </row>
    <row r="30" spans="1:10" s="1" customFormat="1" x14ac:dyDescent="0.2">
      <c r="A30" s="110" t="s">
        <v>45</v>
      </c>
      <c r="B30" s="74"/>
      <c r="C30" s="35"/>
      <c r="D30" s="35">
        <f>SUM(D26:D29)</f>
        <v>3.6373840000000008</v>
      </c>
      <c r="E30" s="73"/>
      <c r="F30" s="35"/>
      <c r="G30" s="35">
        <f>SUM(G26:G29)</f>
        <v>3.6373840000000008</v>
      </c>
      <c r="H30" s="35">
        <f t="shared" si="2"/>
        <v>0</v>
      </c>
      <c r="I30" s="36">
        <f t="shared" si="3"/>
        <v>0</v>
      </c>
      <c r="J30" s="111">
        <f t="shared" si="9"/>
        <v>2.7640392079576078E-2</v>
      </c>
    </row>
    <row r="31" spans="1:10" ht="13.5" thickBot="1" x14ac:dyDescent="0.25">
      <c r="A31" s="112" t="s">
        <v>46</v>
      </c>
      <c r="B31" s="113">
        <f>B4</f>
        <v>517</v>
      </c>
      <c r="C31" s="114">
        <v>7.0000000000000001E-3</v>
      </c>
      <c r="D31" s="115">
        <f>B31*C31</f>
        <v>3.6190000000000002</v>
      </c>
      <c r="E31" s="116">
        <f t="shared" si="4"/>
        <v>517</v>
      </c>
      <c r="F31" s="114">
        <f>C31</f>
        <v>7.0000000000000001E-3</v>
      </c>
      <c r="G31" s="115">
        <f>E31*F31</f>
        <v>3.6190000000000002</v>
      </c>
      <c r="H31" s="115">
        <f t="shared" si="2"/>
        <v>0</v>
      </c>
      <c r="I31" s="117">
        <f t="shared" si="3"/>
        <v>0</v>
      </c>
      <c r="J31" s="118">
        <f t="shared" si="9"/>
        <v>2.7500692513076928E-2</v>
      </c>
    </row>
    <row r="32" spans="1:10" x14ac:dyDescent="0.2">
      <c r="A32" s="37" t="s">
        <v>115</v>
      </c>
      <c r="B32" s="38"/>
      <c r="C32" s="39"/>
      <c r="D32" s="39">
        <f>SUM(D14,D21,D24,D30,D31)</f>
        <v>121.8540368</v>
      </c>
      <c r="E32" s="38"/>
      <c r="F32" s="39"/>
      <c r="G32" s="39">
        <f>SUM(G14,G21,G24,G30,G31)</f>
        <v>125.330177232</v>
      </c>
      <c r="H32" s="39">
        <f t="shared" si="2"/>
        <v>3.476140431999994</v>
      </c>
      <c r="I32" s="40">
        <f>IF(ISERROR(H32/D32),0,(H32/D32))</f>
        <v>2.852708472601044E-2</v>
      </c>
      <c r="J32" s="41">
        <f t="shared" si="9"/>
        <v>0.95238095238095233</v>
      </c>
    </row>
    <row r="33" spans="1:10" x14ac:dyDescent="0.2">
      <c r="A33" s="46" t="s">
        <v>106</v>
      </c>
      <c r="B33" s="43"/>
      <c r="C33" s="26">
        <v>0.13</v>
      </c>
      <c r="D33" s="26">
        <f>D32*C33</f>
        <v>15.841024784000002</v>
      </c>
      <c r="E33" s="26"/>
      <c r="F33" s="26">
        <f>C33</f>
        <v>0.13</v>
      </c>
      <c r="G33" s="26">
        <f>G32*F33</f>
        <v>16.292923040160002</v>
      </c>
      <c r="H33" s="26">
        <f t="shared" si="2"/>
        <v>0.45189825615999979</v>
      </c>
      <c r="I33" s="44">
        <f t="shared" si="3"/>
        <v>2.8527084726010472E-2</v>
      </c>
      <c r="J33" s="45">
        <f t="shared" si="9"/>
        <v>0.12380952380952383</v>
      </c>
    </row>
    <row r="34" spans="1:10" x14ac:dyDescent="0.2">
      <c r="A34" s="46" t="s">
        <v>107</v>
      </c>
      <c r="B34" s="24"/>
      <c r="C34" s="25"/>
      <c r="D34" s="25">
        <f>SUM(D32:D33)</f>
        <v>137.695061584</v>
      </c>
      <c r="E34" s="25"/>
      <c r="F34" s="25"/>
      <c r="G34" s="25">
        <f>SUM(G32:G33)</f>
        <v>141.62310027216</v>
      </c>
      <c r="H34" s="25">
        <f t="shared" si="2"/>
        <v>3.9280386881600009</v>
      </c>
      <c r="I34" s="27">
        <f t="shared" si="3"/>
        <v>2.8527084726010496E-2</v>
      </c>
      <c r="J34" s="47">
        <f t="shared" si="9"/>
        <v>1.0761904761904761</v>
      </c>
    </row>
    <row r="35" spans="1:10" x14ac:dyDescent="0.2">
      <c r="A35" s="46" t="s">
        <v>108</v>
      </c>
      <c r="B35" s="43"/>
      <c r="C35" s="26">
        <v>-0.08</v>
      </c>
      <c r="D35" s="26">
        <f>D32*C35</f>
        <v>-9.7483229439999999</v>
      </c>
      <c r="E35" s="26"/>
      <c r="F35" s="26">
        <f>C35</f>
        <v>-0.08</v>
      </c>
      <c r="G35" s="26">
        <f>G32*F35</f>
        <v>-10.02641417856</v>
      </c>
      <c r="H35" s="26">
        <f t="shared" si="2"/>
        <v>-0.27809123455999973</v>
      </c>
      <c r="I35" s="44">
        <f t="shared" si="3"/>
        <v>2.8527084726010461E-2</v>
      </c>
      <c r="J35" s="45">
        <f t="shared" si="9"/>
        <v>-7.6190476190476183E-2</v>
      </c>
    </row>
    <row r="36" spans="1:10" ht="13.5" thickBot="1" x14ac:dyDescent="0.25">
      <c r="A36" s="46" t="s">
        <v>109</v>
      </c>
      <c r="B36" s="49"/>
      <c r="C36" s="50"/>
      <c r="D36" s="50">
        <f>SUM(D34:D35)</f>
        <v>127.94673864000001</v>
      </c>
      <c r="E36" s="50"/>
      <c r="F36" s="50"/>
      <c r="G36" s="50">
        <f>SUM(G34:G35)</f>
        <v>131.5966860936</v>
      </c>
      <c r="H36" s="50">
        <f t="shared" si="2"/>
        <v>3.6499474535999923</v>
      </c>
      <c r="I36" s="51">
        <f t="shared" si="3"/>
        <v>2.8527084726010427E-2</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theme="1" tint="0.499984740745262"/>
    <pageSetUpPr fitToPage="1"/>
  </sheetPr>
  <dimension ref="A1:J47"/>
  <sheetViews>
    <sheetView tabSelected="1" view="pageBreakPreview" zoomScaleNormal="100" zoomScaleSheetLayoutView="100" workbookViewId="0">
      <selection activeCell="N25" sqref="N25"/>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91" t="s">
        <v>101</v>
      </c>
      <c r="B1" s="192"/>
      <c r="C1" s="192"/>
      <c r="D1" s="192"/>
      <c r="E1" s="192"/>
      <c r="F1" s="192"/>
      <c r="G1" s="192"/>
      <c r="H1" s="192"/>
      <c r="I1" s="192"/>
      <c r="J1" s="193"/>
    </row>
    <row r="3" spans="1:10" x14ac:dyDescent="0.2">
      <c r="A3" s="13" t="s">
        <v>13</v>
      </c>
      <c r="B3" s="13" t="s">
        <v>8</v>
      </c>
    </row>
    <row r="4" spans="1:10" x14ac:dyDescent="0.2">
      <c r="A4" s="15" t="s">
        <v>62</v>
      </c>
      <c r="B4" s="15">
        <v>2000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2184</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24">
        <f t="shared" ref="J12:J27" si="0">G12/$G$36</f>
        <v>0.14715021700811101</v>
      </c>
    </row>
    <row r="13" spans="1:10" x14ac:dyDescent="0.2">
      <c r="A13" s="107" t="s">
        <v>32</v>
      </c>
      <c r="B13" s="73">
        <f>IF(B4&gt;B7,(B4)-B7,0)</f>
        <v>1250</v>
      </c>
      <c r="C13" s="21">
        <v>0.121</v>
      </c>
      <c r="D13" s="22">
        <f>B13*C13</f>
        <v>151.25</v>
      </c>
      <c r="E13" s="73">
        <f t="shared" ref="E13" si="1">B13</f>
        <v>1250</v>
      </c>
      <c r="F13" s="21">
        <f>C13</f>
        <v>0.121</v>
      </c>
      <c r="G13" s="22">
        <f>E13*F13</f>
        <v>151.25</v>
      </c>
      <c r="H13" s="22">
        <f t="shared" ref="H13:H36" si="2">G13-D13</f>
        <v>0</v>
      </c>
      <c r="I13" s="23">
        <f t="shared" ref="I13:I36" si="3">IF(ISERROR(H13/D13),0,(H13/D13))</f>
        <v>0</v>
      </c>
      <c r="J13" s="125">
        <f t="shared" si="0"/>
        <v>0.28810964818740181</v>
      </c>
    </row>
    <row r="14" spans="1:10" s="1" customFormat="1" x14ac:dyDescent="0.2">
      <c r="A14" s="46" t="s">
        <v>33</v>
      </c>
      <c r="B14" s="24"/>
      <c r="C14" s="25"/>
      <c r="D14" s="25">
        <f>SUM(D12:D13)</f>
        <v>228.5</v>
      </c>
      <c r="E14" s="76"/>
      <c r="F14" s="25"/>
      <c r="G14" s="25">
        <f>SUM(G12:G13)</f>
        <v>228.5</v>
      </c>
      <c r="H14" s="25">
        <f t="shared" si="2"/>
        <v>0</v>
      </c>
      <c r="I14" s="27">
        <f t="shared" si="3"/>
        <v>0</v>
      </c>
      <c r="J14" s="47">
        <f t="shared" si="0"/>
        <v>0.43525986519551285</v>
      </c>
    </row>
    <row r="15" spans="1:10" x14ac:dyDescent="0.2">
      <c r="A15" s="107" t="s">
        <v>38</v>
      </c>
      <c r="B15" s="73">
        <v>1</v>
      </c>
      <c r="C15" s="78">
        <f>VLOOKUP($B$3,'Data for Bill Impacts'!$A$3:$Y$15,7,0)</f>
        <v>4.25</v>
      </c>
      <c r="D15" s="22">
        <f>B15*C15</f>
        <v>4.25</v>
      </c>
      <c r="E15" s="73">
        <f t="shared" ref="E15:E31" si="4">B15</f>
        <v>1</v>
      </c>
      <c r="F15" s="78">
        <f>VLOOKUP($B$3,'Data for Bill Impacts'!$A$3:$Y$15,17,0)</f>
        <v>4.08</v>
      </c>
      <c r="G15" s="22">
        <f>E15*F15</f>
        <v>4.08</v>
      </c>
      <c r="H15" s="22">
        <f t="shared" si="2"/>
        <v>-0.16999999999999993</v>
      </c>
      <c r="I15" s="23">
        <f t="shared" si="3"/>
        <v>-3.999999999999998E-2</v>
      </c>
      <c r="J15" s="125">
        <f t="shared" si="0"/>
        <v>7.7718172866419796E-3</v>
      </c>
    </row>
    <row r="16" spans="1:10" x14ac:dyDescent="0.2">
      <c r="A16" s="107" t="s">
        <v>85</v>
      </c>
      <c r="B16" s="73">
        <v>1</v>
      </c>
      <c r="C16" s="78">
        <f>VLOOKUP($B$3,'Data for Bill Impacts'!$A$3:$Y$15,11,0)</f>
        <v>0</v>
      </c>
      <c r="D16" s="22">
        <f t="shared" ref="D16" si="5">B16*C16</f>
        <v>0</v>
      </c>
      <c r="E16" s="73">
        <f t="shared" si="4"/>
        <v>1</v>
      </c>
      <c r="F16" s="78">
        <f>VLOOKUP($B$3,'Data for Bill Impacts'!$A$3:$Y$15,22,0)</f>
        <v>0</v>
      </c>
      <c r="G16" s="22">
        <f t="shared" ref="G16" si="6">E16*F16</f>
        <v>0</v>
      </c>
      <c r="H16" s="22">
        <f t="shared" si="2"/>
        <v>0</v>
      </c>
      <c r="I16" s="23">
        <f t="shared" si="3"/>
        <v>0</v>
      </c>
      <c r="J16" s="125">
        <f t="shared" si="0"/>
        <v>0</v>
      </c>
    </row>
    <row r="17" spans="1:10" x14ac:dyDescent="0.2">
      <c r="A17" s="107" t="s">
        <v>39</v>
      </c>
      <c r="B17" s="73">
        <f>IF($B$9="kWh",$B$4,$B$5)</f>
        <v>2000</v>
      </c>
      <c r="C17" s="78">
        <f>VLOOKUP($B$3,'Data for Bill Impacts'!$A$3:$Y$15,10,0)</f>
        <v>9.2399999999999996E-2</v>
      </c>
      <c r="D17" s="22">
        <f>B17*C17</f>
        <v>184.79999999999998</v>
      </c>
      <c r="E17" s="73">
        <f t="shared" si="4"/>
        <v>2000</v>
      </c>
      <c r="F17" s="126">
        <f>VLOOKUP($B$3,'Data for Bill Impacts'!$A$3:$Y$15,19,0)</f>
        <v>9.8000000000000004E-2</v>
      </c>
      <c r="G17" s="22">
        <f>E17*F17</f>
        <v>196</v>
      </c>
      <c r="H17" s="22">
        <f t="shared" si="2"/>
        <v>11.200000000000017</v>
      </c>
      <c r="I17" s="23">
        <f t="shared" si="3"/>
        <v>6.0606060606060705E-2</v>
      </c>
      <c r="J17" s="125">
        <f t="shared" si="0"/>
        <v>0.3733520069073108</v>
      </c>
    </row>
    <row r="18" spans="1:10" s="1" customFormat="1" x14ac:dyDescent="0.2">
      <c r="A18" s="107" t="s">
        <v>124</v>
      </c>
      <c r="B18" s="73">
        <f>IF($B$9="kWh",$B$4,$B$5)</f>
        <v>2000</v>
      </c>
      <c r="C18" s="78">
        <f>VLOOKUP($B$3,'Data for Bill Impacts'!$A$3:$Y$15,14,0)</f>
        <v>6.9999999999999999E-4</v>
      </c>
      <c r="D18" s="22">
        <f>B18*C18</f>
        <v>1.4</v>
      </c>
      <c r="E18" s="73">
        <f>B18</f>
        <v>2000</v>
      </c>
      <c r="F18" s="126">
        <f>VLOOKUP($B$3,'Data for Bill Impacts'!$A$3:$Y$15,23,0)</f>
        <v>2.0000000000000001E-4</v>
      </c>
      <c r="G18" s="22">
        <f>E18*F18</f>
        <v>0.4</v>
      </c>
      <c r="H18" s="22">
        <f>G18-D18</f>
        <v>-0.99999999999999989</v>
      </c>
      <c r="I18" s="23">
        <f>IF(ISERROR(H18/D18),0,(H18/D18))</f>
        <v>-0.7142857142857143</v>
      </c>
      <c r="J18" s="125">
        <f t="shared" si="0"/>
        <v>7.6194287123940976E-4</v>
      </c>
    </row>
    <row r="19" spans="1:10" x14ac:dyDescent="0.2">
      <c r="A19" s="110" t="s">
        <v>72</v>
      </c>
      <c r="B19" s="74"/>
      <c r="C19" s="35"/>
      <c r="D19" s="35">
        <f>SUM(D15:D18)</f>
        <v>190.45</v>
      </c>
      <c r="E19" s="73"/>
      <c r="F19" s="35"/>
      <c r="G19" s="35">
        <f>SUM(G15:G18)</f>
        <v>200.48000000000002</v>
      </c>
      <c r="H19" s="35">
        <f t="shared" si="2"/>
        <v>10.03000000000003</v>
      </c>
      <c r="I19" s="36">
        <f t="shared" si="3"/>
        <v>5.2664741401942924E-2</v>
      </c>
      <c r="J19" s="111">
        <f t="shared" si="0"/>
        <v>0.38188576706519223</v>
      </c>
    </row>
    <row r="20" spans="1:10" s="1" customFormat="1" x14ac:dyDescent="0.2">
      <c r="A20" s="119" t="s">
        <v>81</v>
      </c>
      <c r="B20" s="120">
        <f>B8-B4</f>
        <v>184</v>
      </c>
      <c r="C20" s="121">
        <f>IF(B4&gt;B7,C13,C12)</f>
        <v>0.121</v>
      </c>
      <c r="D20" s="22">
        <f>B20*C20</f>
        <v>22.263999999999999</v>
      </c>
      <c r="E20" s="73">
        <f>B20</f>
        <v>184</v>
      </c>
      <c r="F20" s="121">
        <f>C20</f>
        <v>0.121</v>
      </c>
      <c r="G20" s="22">
        <f>E20*F20</f>
        <v>22.263999999999999</v>
      </c>
      <c r="H20" s="22">
        <f t="shared" si="2"/>
        <v>0</v>
      </c>
      <c r="I20" s="23">
        <f>IF(ISERROR(H20/D20),0,(H20/D20))</f>
        <v>0</v>
      </c>
      <c r="J20" s="125">
        <f t="shared" si="0"/>
        <v>4.2409740213185547E-2</v>
      </c>
    </row>
    <row r="21" spans="1:10" x14ac:dyDescent="0.2">
      <c r="A21" s="110" t="s">
        <v>79</v>
      </c>
      <c r="B21" s="74"/>
      <c r="C21" s="35"/>
      <c r="D21" s="35">
        <f>SUM(D19,D20:D20)</f>
        <v>212.714</v>
      </c>
      <c r="E21" s="73"/>
      <c r="F21" s="35"/>
      <c r="G21" s="35">
        <f>SUM(G19,G20:G20)</f>
        <v>222.74400000000003</v>
      </c>
      <c r="H21" s="35">
        <f t="shared" si="2"/>
        <v>10.03000000000003</v>
      </c>
      <c r="I21" s="36">
        <f>IF(ISERROR(H21/D21),0,(H21/D21))</f>
        <v>4.7152514644076222E-2</v>
      </c>
      <c r="J21" s="111">
        <f t="shared" si="0"/>
        <v>0.42429550727837778</v>
      </c>
    </row>
    <row r="22" spans="1:10" x14ac:dyDescent="0.2">
      <c r="A22" s="107" t="s">
        <v>40</v>
      </c>
      <c r="B22" s="73">
        <f>B8</f>
        <v>2184</v>
      </c>
      <c r="C22" s="78">
        <f>VLOOKUP($B$3,'Data for Bill Impacts'!$A$3:$Y$15,15,0)</f>
        <v>4.4999999999999997E-3</v>
      </c>
      <c r="D22" s="22">
        <f>B22*C22</f>
        <v>9.8279999999999994</v>
      </c>
      <c r="E22" s="73">
        <f t="shared" si="4"/>
        <v>2184</v>
      </c>
      <c r="F22" s="126">
        <f>VLOOKUP($B$3,'Data for Bill Impacts'!$A$3:$Y$15,24,0)</f>
        <v>4.6979999999999999E-3</v>
      </c>
      <c r="G22" s="22">
        <f>E22*F22</f>
        <v>10.260432</v>
      </c>
      <c r="H22" s="22">
        <f t="shared" si="2"/>
        <v>0.43243200000000037</v>
      </c>
      <c r="I22" s="23">
        <f t="shared" si="3"/>
        <v>4.4000000000000039E-2</v>
      </c>
      <c r="J22" s="125">
        <f t="shared" si="0"/>
        <v>1.9544657545591797E-2</v>
      </c>
    </row>
    <row r="23" spans="1:10" s="1" customFormat="1" x14ac:dyDescent="0.2">
      <c r="A23" s="107" t="s">
        <v>41</v>
      </c>
      <c r="B23" s="73">
        <f>B8</f>
        <v>2184</v>
      </c>
      <c r="C23" s="78">
        <f>VLOOKUP($B$3,'Data for Bill Impacts'!$A$3:$Y$15,16,0)</f>
        <v>2.7000000000000001E-3</v>
      </c>
      <c r="D23" s="22">
        <f>B23*C23</f>
        <v>5.8968000000000007</v>
      </c>
      <c r="E23" s="73">
        <f t="shared" si="4"/>
        <v>2184</v>
      </c>
      <c r="F23" s="126">
        <f>VLOOKUP($B$3,'Data for Bill Impacts'!$A$3:$Y$15,25,0)</f>
        <v>4.2899999999999995E-3</v>
      </c>
      <c r="G23" s="22">
        <f>E23*F23</f>
        <v>9.3693599999999986</v>
      </c>
      <c r="H23" s="22">
        <f t="shared" si="2"/>
        <v>3.4725599999999979</v>
      </c>
      <c r="I23" s="23">
        <f t="shared" si="3"/>
        <v>0.58888888888888846</v>
      </c>
      <c r="J23" s="125">
        <f t="shared" si="0"/>
        <v>1.7847292650189188E-2</v>
      </c>
    </row>
    <row r="24" spans="1:10" s="1" customFormat="1" x14ac:dyDescent="0.2">
      <c r="A24" s="110" t="s">
        <v>76</v>
      </c>
      <c r="B24" s="74"/>
      <c r="C24" s="35"/>
      <c r="D24" s="35">
        <f>SUM(D22:D23)</f>
        <v>15.7248</v>
      </c>
      <c r="E24" s="73"/>
      <c r="F24" s="35"/>
      <c r="G24" s="35">
        <f>SUM(G22:G23)</f>
        <v>19.629791999999998</v>
      </c>
      <c r="H24" s="35">
        <f t="shared" si="2"/>
        <v>3.9049919999999982</v>
      </c>
      <c r="I24" s="36">
        <f t="shared" si="3"/>
        <v>0.24833333333333321</v>
      </c>
      <c r="J24" s="111">
        <f t="shared" si="0"/>
        <v>3.7391950195780989E-2</v>
      </c>
    </row>
    <row r="25" spans="1:10" s="1" customFormat="1" x14ac:dyDescent="0.2">
      <c r="A25" s="110" t="s">
        <v>80</v>
      </c>
      <c r="B25" s="74"/>
      <c r="C25" s="35"/>
      <c r="D25" s="35">
        <f>D21+D24</f>
        <v>228.43879999999999</v>
      </c>
      <c r="E25" s="73"/>
      <c r="F25" s="35"/>
      <c r="G25" s="35">
        <f>G21+G24</f>
        <v>242.37379200000004</v>
      </c>
      <c r="H25" s="35">
        <f t="shared" si="2"/>
        <v>13.934992000000051</v>
      </c>
      <c r="I25" s="36">
        <f t="shared" si="3"/>
        <v>6.1000985822023457E-2</v>
      </c>
      <c r="J25" s="111">
        <f t="shared" si="0"/>
        <v>0.46168745747415879</v>
      </c>
    </row>
    <row r="26" spans="1:10" x14ac:dyDescent="0.2">
      <c r="A26" s="107" t="s">
        <v>42</v>
      </c>
      <c r="B26" s="73">
        <f>B8</f>
        <v>2184</v>
      </c>
      <c r="C26" s="34">
        <v>3.5999999999999999E-3</v>
      </c>
      <c r="D26" s="22">
        <f>B26*C26</f>
        <v>7.8624000000000001</v>
      </c>
      <c r="E26" s="73">
        <f t="shared" si="4"/>
        <v>2184</v>
      </c>
      <c r="F26" s="34">
        <v>3.5999999999999999E-3</v>
      </c>
      <c r="G26" s="22">
        <f>E26*F26</f>
        <v>7.8624000000000001</v>
      </c>
      <c r="H26" s="22">
        <f t="shared" si="2"/>
        <v>0</v>
      </c>
      <c r="I26" s="23">
        <f t="shared" si="3"/>
        <v>0</v>
      </c>
      <c r="J26" s="125">
        <f t="shared" si="0"/>
        <v>1.4976749077081838E-2</v>
      </c>
    </row>
    <row r="27" spans="1:10" s="1" customFormat="1" x14ac:dyDescent="0.2">
      <c r="A27" s="107" t="s">
        <v>43</v>
      </c>
      <c r="B27" s="73">
        <f>B8</f>
        <v>2184</v>
      </c>
      <c r="C27" s="34">
        <v>2.0999999999999999E-3</v>
      </c>
      <c r="D27" s="22">
        <f>B27*C27</f>
        <v>4.5863999999999994</v>
      </c>
      <c r="E27" s="73">
        <f t="shared" si="4"/>
        <v>2184</v>
      </c>
      <c r="F27" s="34">
        <v>2.0999999999999999E-3</v>
      </c>
      <c r="G27" s="22">
        <f>E27*F27</f>
        <v>4.5863999999999994</v>
      </c>
      <c r="H27" s="22">
        <f>G27-D27</f>
        <v>0</v>
      </c>
      <c r="I27" s="23">
        <f t="shared" si="3"/>
        <v>0</v>
      </c>
      <c r="J27" s="125">
        <f t="shared" si="0"/>
        <v>8.7364369616310718E-3</v>
      </c>
    </row>
    <row r="28" spans="1:10" s="1" customFormat="1" x14ac:dyDescent="0.2">
      <c r="A28" s="107" t="s">
        <v>96</v>
      </c>
      <c r="B28" s="73">
        <f>B8</f>
        <v>2184</v>
      </c>
      <c r="C28" s="34">
        <v>1.1000000000000001E-3</v>
      </c>
      <c r="D28" s="22">
        <f>B28*C28</f>
        <v>2.4024000000000001</v>
      </c>
      <c r="E28" s="73">
        <f t="shared" si="4"/>
        <v>2184</v>
      </c>
      <c r="F28" s="34">
        <v>1.1000000000000001E-3</v>
      </c>
      <c r="G28" s="22">
        <f>E28*F28</f>
        <v>2.4024000000000001</v>
      </c>
      <c r="H28" s="22">
        <f>G28-D28</f>
        <v>0</v>
      </c>
      <c r="I28" s="23">
        <f t="shared" ref="I28" si="7">IF(ISERROR(H28/D28),0,(H28/D28))</f>
        <v>0</v>
      </c>
      <c r="J28" s="125">
        <f t="shared" ref="J28" si="8">G28/$G$36</f>
        <v>4.576228884663895E-3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4.7621429452463112E-4</v>
      </c>
    </row>
    <row r="30" spans="1:10" s="1" customFormat="1" x14ac:dyDescent="0.2">
      <c r="A30" s="110" t="s">
        <v>45</v>
      </c>
      <c r="B30" s="74"/>
      <c r="C30" s="35"/>
      <c r="D30" s="35">
        <f>SUM(D26:D29)</f>
        <v>15.101199999999999</v>
      </c>
      <c r="E30" s="73"/>
      <c r="F30" s="35"/>
      <c r="G30" s="35">
        <f>SUM(G26:G29)</f>
        <v>15.101199999999999</v>
      </c>
      <c r="H30" s="35">
        <f t="shared" si="2"/>
        <v>0</v>
      </c>
      <c r="I30" s="36">
        <f t="shared" si="3"/>
        <v>0</v>
      </c>
      <c r="J30" s="111">
        <f t="shared" si="9"/>
        <v>2.8765629217901434E-2</v>
      </c>
    </row>
    <row r="31" spans="1:10" ht="13.5" thickBot="1" x14ac:dyDescent="0.25">
      <c r="A31" s="112" t="s">
        <v>46</v>
      </c>
      <c r="B31" s="113">
        <f>B4</f>
        <v>2000</v>
      </c>
      <c r="C31" s="114">
        <v>7.0000000000000001E-3</v>
      </c>
      <c r="D31" s="115">
        <f>B31*C31</f>
        <v>14</v>
      </c>
      <c r="E31" s="116">
        <f t="shared" si="4"/>
        <v>2000</v>
      </c>
      <c r="F31" s="114">
        <f>C31</f>
        <v>7.0000000000000001E-3</v>
      </c>
      <c r="G31" s="115">
        <f>E31*F31</f>
        <v>14</v>
      </c>
      <c r="H31" s="115">
        <f t="shared" si="2"/>
        <v>0</v>
      </c>
      <c r="I31" s="117">
        <f t="shared" si="3"/>
        <v>0</v>
      </c>
      <c r="J31" s="118">
        <f t="shared" si="9"/>
        <v>2.6668000493379342E-2</v>
      </c>
    </row>
    <row r="32" spans="1:10" x14ac:dyDescent="0.2">
      <c r="A32" s="37" t="s">
        <v>115</v>
      </c>
      <c r="B32" s="38"/>
      <c r="C32" s="39"/>
      <c r="D32" s="39">
        <f>SUM(D14,D21,D24,D30,D31)</f>
        <v>486.04</v>
      </c>
      <c r="E32" s="38"/>
      <c r="F32" s="39"/>
      <c r="G32" s="39">
        <f>SUM(G14,G21,G24,G30,G31)</f>
        <v>499.97499200000004</v>
      </c>
      <c r="H32" s="39">
        <f t="shared" si="2"/>
        <v>13.934992000000022</v>
      </c>
      <c r="I32" s="40">
        <f>IF(ISERROR(H32/D32),0,(H32/D32))</f>
        <v>2.8670463336350961E-2</v>
      </c>
      <c r="J32" s="41">
        <f t="shared" si="9"/>
        <v>0.95238095238095244</v>
      </c>
    </row>
    <row r="33" spans="1:10" x14ac:dyDescent="0.2">
      <c r="A33" s="46" t="s">
        <v>106</v>
      </c>
      <c r="B33" s="43"/>
      <c r="C33" s="26">
        <v>0.13</v>
      </c>
      <c r="D33" s="26">
        <f>D32*C33</f>
        <v>63.185200000000002</v>
      </c>
      <c r="E33" s="26"/>
      <c r="F33" s="26">
        <f>C33</f>
        <v>0.13</v>
      </c>
      <c r="G33" s="26">
        <f>G32*F33</f>
        <v>64.996748960000005</v>
      </c>
      <c r="H33" s="26">
        <f t="shared" si="2"/>
        <v>1.8115489600000032</v>
      </c>
      <c r="I33" s="44">
        <f t="shared" si="3"/>
        <v>2.8670463336350968E-2</v>
      </c>
      <c r="J33" s="45">
        <f t="shared" si="9"/>
        <v>0.12380952380952381</v>
      </c>
    </row>
    <row r="34" spans="1:10" x14ac:dyDescent="0.2">
      <c r="A34" s="46" t="s">
        <v>107</v>
      </c>
      <c r="B34" s="24"/>
      <c r="C34" s="25"/>
      <c r="D34" s="25">
        <f>SUM(D32:D33)</f>
        <v>549.22519999999997</v>
      </c>
      <c r="E34" s="25"/>
      <c r="F34" s="25"/>
      <c r="G34" s="25">
        <f>SUM(G32:G33)</f>
        <v>564.97174096000003</v>
      </c>
      <c r="H34" s="25">
        <f t="shared" si="2"/>
        <v>15.746540960000061</v>
      </c>
      <c r="I34" s="27">
        <f t="shared" si="3"/>
        <v>2.8670463336351031E-2</v>
      </c>
      <c r="J34" s="47">
        <f t="shared" si="9"/>
        <v>1.0761904761904761</v>
      </c>
    </row>
    <row r="35" spans="1:10" x14ac:dyDescent="0.2">
      <c r="A35" s="46" t="s">
        <v>108</v>
      </c>
      <c r="B35" s="43"/>
      <c r="C35" s="26">
        <v>-0.08</v>
      </c>
      <c r="D35" s="26">
        <f>D32*C35</f>
        <v>-38.883200000000002</v>
      </c>
      <c r="E35" s="26"/>
      <c r="F35" s="26">
        <f>C35</f>
        <v>-0.08</v>
      </c>
      <c r="G35" s="26">
        <f>G32*F35</f>
        <v>-39.997999360000001</v>
      </c>
      <c r="H35" s="26">
        <f t="shared" si="2"/>
        <v>-1.1147993599999992</v>
      </c>
      <c r="I35" s="44">
        <f t="shared" si="3"/>
        <v>2.8670463336350895E-2</v>
      </c>
      <c r="J35" s="45">
        <f t="shared" si="9"/>
        <v>-7.6190476190476183E-2</v>
      </c>
    </row>
    <row r="36" spans="1:10" ht="13.5" thickBot="1" x14ac:dyDescent="0.25">
      <c r="A36" s="46" t="s">
        <v>109</v>
      </c>
      <c r="B36" s="49"/>
      <c r="C36" s="50"/>
      <c r="D36" s="50">
        <f>SUM(D34:D35)</f>
        <v>510.34199999999998</v>
      </c>
      <c r="E36" s="50"/>
      <c r="F36" s="50"/>
      <c r="G36" s="50">
        <f>SUM(G34:G35)</f>
        <v>524.97374160000004</v>
      </c>
      <c r="H36" s="50">
        <f t="shared" si="2"/>
        <v>14.631741600000055</v>
      </c>
      <c r="I36" s="51">
        <f t="shared" si="3"/>
        <v>2.8670463336351027E-2</v>
      </c>
      <c r="J36" s="52">
        <f t="shared" si="9"/>
        <v>1</v>
      </c>
    </row>
    <row r="37" spans="1:10" x14ac:dyDescent="0.2">
      <c r="D37" s="72"/>
      <c r="F37" s="69"/>
    </row>
    <row r="38" spans="1:10" x14ac:dyDescent="0.2">
      <c r="F38" s="69"/>
    </row>
    <row r="39" spans="1:10" x14ac:dyDescent="0.2">
      <c r="A39" s="70"/>
      <c r="B39" s="71"/>
      <c r="F39" s="69"/>
    </row>
    <row r="40" spans="1:10" x14ac:dyDescent="0.2">
      <c r="B40" s="72"/>
      <c r="D40" s="72"/>
      <c r="F40" s="69"/>
    </row>
    <row r="41" spans="1:10" x14ac:dyDescent="0.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sheetData>
  <mergeCells count="1">
    <mergeCell ref="A1:J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tint="0.499984740745262"/>
    <pageSetUpPr fitToPage="1"/>
  </sheetPr>
  <dimension ref="A1:K68"/>
  <sheetViews>
    <sheetView tabSelected="1" zoomScaleNormal="100" zoomScaleSheetLayoutView="100" workbookViewId="0">
      <selection activeCell="N25" sqref="N25"/>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120</v>
      </c>
      <c r="B1" s="192"/>
      <c r="C1" s="192"/>
      <c r="D1" s="192"/>
      <c r="E1" s="192"/>
      <c r="F1" s="192"/>
      <c r="G1" s="192"/>
      <c r="H1" s="192"/>
      <c r="I1" s="192"/>
      <c r="J1" s="192"/>
      <c r="K1" s="193"/>
    </row>
    <row r="3" spans="1:11" x14ac:dyDescent="0.2">
      <c r="A3" s="13" t="s">
        <v>13</v>
      </c>
      <c r="B3" s="13" t="s">
        <v>0</v>
      </c>
    </row>
    <row r="4" spans="1:11" x14ac:dyDescent="0.2">
      <c r="A4" s="15" t="s">
        <v>62</v>
      </c>
      <c r="B4" s="15">
        <f>VLOOKUP(B3,'Data for Bill Impacts'!$A$19:$D$31,3,FALSE)</f>
        <v>755</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69">
        <f>B4*B6</f>
        <v>798.03499999999997</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0.42805462437398462</v>
      </c>
      <c r="K12" s="106"/>
    </row>
    <row r="13" spans="1:11" x14ac:dyDescent="0.2">
      <c r="A13" s="107" t="s">
        <v>32</v>
      </c>
      <c r="B13" s="73">
        <f>IF(B4&gt;B7,(B4)-B7,0)</f>
        <v>155</v>
      </c>
      <c r="C13" s="21">
        <v>0.121</v>
      </c>
      <c r="D13" s="22">
        <f>B13*C13</f>
        <v>18.754999999999999</v>
      </c>
      <c r="E13" s="73">
        <f t="shared" ref="E13" si="0">B13</f>
        <v>155</v>
      </c>
      <c r="F13" s="21">
        <f>C13</f>
        <v>0.121</v>
      </c>
      <c r="G13" s="22">
        <f>E13*F13</f>
        <v>18.754999999999999</v>
      </c>
      <c r="H13" s="22">
        <f t="shared" ref="H13:H46" si="1">G13-D13</f>
        <v>0</v>
      </c>
      <c r="I13" s="23">
        <f t="shared" ref="I13:I46" si="2">IF(ISERROR(H13/D13),0,(H13/D13))</f>
        <v>0</v>
      </c>
      <c r="J13" s="23">
        <f>G13/$G$46</f>
        <v>0.12990557411220197</v>
      </c>
      <c r="K13" s="108"/>
    </row>
    <row r="14" spans="1:11" s="1" customFormat="1" x14ac:dyDescent="0.2">
      <c r="A14" s="46" t="s">
        <v>33</v>
      </c>
      <c r="B14" s="24"/>
      <c r="C14" s="25"/>
      <c r="D14" s="25">
        <f>SUM(D12:D13)</f>
        <v>80.554999999999993</v>
      </c>
      <c r="E14" s="76"/>
      <c r="F14" s="25"/>
      <c r="G14" s="25">
        <f>SUM(G12:G13)</f>
        <v>80.554999999999993</v>
      </c>
      <c r="H14" s="25">
        <f t="shared" si="1"/>
        <v>0</v>
      </c>
      <c r="I14" s="27">
        <f t="shared" si="2"/>
        <v>0</v>
      </c>
      <c r="J14" s="27">
        <f>G14/$G$46</f>
        <v>0.5579601984861865</v>
      </c>
      <c r="K14" s="108"/>
    </row>
    <row r="15" spans="1:11" s="1" customFormat="1" x14ac:dyDescent="0.2">
      <c r="A15" s="109" t="s">
        <v>34</v>
      </c>
      <c r="B15" s="75">
        <f>B4*0.65</f>
        <v>490.75</v>
      </c>
      <c r="C15" s="28">
        <v>8.6999999999999994E-2</v>
      </c>
      <c r="D15" s="22">
        <f>B15*C15</f>
        <v>42.695249999999994</v>
      </c>
      <c r="E15" s="73">
        <f t="shared" ref="E15:F17" si="3">B15</f>
        <v>490.75</v>
      </c>
      <c r="F15" s="28">
        <f t="shared" si="3"/>
        <v>8.6999999999999994E-2</v>
      </c>
      <c r="G15" s="22">
        <f>E15*F15</f>
        <v>42.695249999999994</v>
      </c>
      <c r="H15" s="22">
        <f t="shared" si="1"/>
        <v>0</v>
      </c>
      <c r="I15" s="23">
        <f t="shared" si="2"/>
        <v>0</v>
      </c>
      <c r="J15" s="23"/>
      <c r="K15" s="108">
        <f t="shared" ref="K15:K26" si="4">G15/$G$51</f>
        <v>0.28914268597940762</v>
      </c>
    </row>
    <row r="16" spans="1:11" s="1" customFormat="1" x14ac:dyDescent="0.2">
      <c r="A16" s="109" t="s">
        <v>35</v>
      </c>
      <c r="B16" s="75">
        <f>B4*0.17</f>
        <v>128.35000000000002</v>
      </c>
      <c r="C16" s="28">
        <v>0.13200000000000001</v>
      </c>
      <c r="D16" s="22">
        <f>B16*C16</f>
        <v>16.942200000000003</v>
      </c>
      <c r="E16" s="73">
        <f t="shared" si="3"/>
        <v>128.35000000000002</v>
      </c>
      <c r="F16" s="28">
        <f t="shared" si="3"/>
        <v>0.13200000000000001</v>
      </c>
      <c r="G16" s="22">
        <f>E16*F16</f>
        <v>16.942200000000003</v>
      </c>
      <c r="H16" s="22">
        <f t="shared" si="1"/>
        <v>0</v>
      </c>
      <c r="I16" s="23">
        <f t="shared" si="2"/>
        <v>0</v>
      </c>
      <c r="J16" s="23"/>
      <c r="K16" s="108">
        <f t="shared" si="4"/>
        <v>0.11473672631968009</v>
      </c>
    </row>
    <row r="17" spans="1:11" s="1" customFormat="1" x14ac:dyDescent="0.2">
      <c r="A17" s="109" t="s">
        <v>36</v>
      </c>
      <c r="B17" s="75">
        <f>B4*0.18</f>
        <v>135.9</v>
      </c>
      <c r="C17" s="28">
        <v>0.18</v>
      </c>
      <c r="D17" s="22">
        <f>B17*C17</f>
        <v>24.462</v>
      </c>
      <c r="E17" s="73">
        <f t="shared" si="3"/>
        <v>135.9</v>
      </c>
      <c r="F17" s="28">
        <f t="shared" si="3"/>
        <v>0.18</v>
      </c>
      <c r="G17" s="22">
        <f>E17*F17</f>
        <v>24.462</v>
      </c>
      <c r="H17" s="22">
        <f t="shared" si="1"/>
        <v>0</v>
      </c>
      <c r="I17" s="23">
        <f t="shared" si="2"/>
        <v>0</v>
      </c>
      <c r="J17" s="23"/>
      <c r="K17" s="108">
        <f t="shared" si="4"/>
        <v>0.16566265297493912</v>
      </c>
    </row>
    <row r="18" spans="1:11" s="1" customFormat="1" x14ac:dyDescent="0.2">
      <c r="A18" s="61" t="s">
        <v>37</v>
      </c>
      <c r="B18" s="29"/>
      <c r="C18" s="30"/>
      <c r="D18" s="30">
        <f>SUM(D15:D17)</f>
        <v>84.099450000000004</v>
      </c>
      <c r="E18" s="77"/>
      <c r="F18" s="30"/>
      <c r="G18" s="30">
        <f>SUM(G15:G17)</f>
        <v>84.099450000000004</v>
      </c>
      <c r="H18" s="31">
        <f t="shared" si="1"/>
        <v>0</v>
      </c>
      <c r="I18" s="32">
        <f t="shared" si="2"/>
        <v>0</v>
      </c>
      <c r="J18" s="33">
        <f t="shared" ref="J18:J26" si="5">G18/$G$46</f>
        <v>0.58251065501308574</v>
      </c>
      <c r="K18" s="62">
        <f t="shared" si="4"/>
        <v>0.56954206527402684</v>
      </c>
    </row>
    <row r="19" spans="1:11" x14ac:dyDescent="0.2">
      <c r="A19" s="107" t="s">
        <v>38</v>
      </c>
      <c r="B19" s="73">
        <v>1</v>
      </c>
      <c r="C19" s="78">
        <f>VLOOKUP($B$3,'Data for Bill Impacts'!$A$3:$Y$15,7,0)</f>
        <v>24.78</v>
      </c>
      <c r="D19" s="22">
        <f>B19*C19</f>
        <v>24.78</v>
      </c>
      <c r="E19" s="73">
        <f t="shared" ref="E19:E41" si="6">B19</f>
        <v>1</v>
      </c>
      <c r="F19" s="78">
        <f>VLOOKUP($B$3,'Data for Bill Impacts'!$A$3:$Y$15,17,0)</f>
        <v>27.76</v>
      </c>
      <c r="G19" s="22">
        <f>E19*F19</f>
        <v>27.76</v>
      </c>
      <c r="H19" s="22">
        <f t="shared" si="1"/>
        <v>2.9800000000000004</v>
      </c>
      <c r="I19" s="23">
        <f t="shared" si="2"/>
        <v>0.12025827280064569</v>
      </c>
      <c r="J19" s="23">
        <f t="shared" si="5"/>
        <v>0.19227825845666366</v>
      </c>
      <c r="K19" s="108">
        <f t="shared" si="4"/>
        <v>0.18799751641665891</v>
      </c>
    </row>
    <row r="20" spans="1:11" hidden="1" x14ac:dyDescent="0.2">
      <c r="A20" s="107" t="s">
        <v>113</v>
      </c>
      <c r="B20" s="73">
        <v>1</v>
      </c>
      <c r="C20" s="78">
        <v>0</v>
      </c>
      <c r="D20" s="22">
        <f t="shared" ref="D20:D21" si="7">B20*C20</f>
        <v>0</v>
      </c>
      <c r="E20" s="73">
        <f t="shared" si="6"/>
        <v>1</v>
      </c>
      <c r="F20" s="122">
        <f>VLOOKUP($B$3,'Data for Bill Impacts'!$A$3:$Y$15,12,0)</f>
        <v>0</v>
      </c>
      <c r="G20" s="22">
        <v>0</v>
      </c>
      <c r="H20" s="22">
        <f t="shared" si="1"/>
        <v>0</v>
      </c>
      <c r="I20" s="23">
        <f t="shared" si="2"/>
        <v>0</v>
      </c>
      <c r="J20" s="23">
        <f t="shared" si="5"/>
        <v>0</v>
      </c>
      <c r="K20" s="108">
        <f t="shared" si="4"/>
        <v>0</v>
      </c>
    </row>
    <row r="21" spans="1:11" x14ac:dyDescent="0.2">
      <c r="A21" s="107" t="s">
        <v>85</v>
      </c>
      <c r="B21" s="73">
        <v>1</v>
      </c>
      <c r="C21" s="78">
        <f>VLOOKUP($B$3,'Data for Bill Impacts'!$A$3:$Y$15,13,0)</f>
        <v>0.72</v>
      </c>
      <c r="D21" s="22">
        <f t="shared" si="7"/>
        <v>0.72</v>
      </c>
      <c r="E21" s="73">
        <f t="shared" si="6"/>
        <v>1</v>
      </c>
      <c r="F21" s="122">
        <f>VLOOKUP($B$3,'Data for Bill Impacts'!$A$3:$Y$15,22,0)</f>
        <v>0.01</v>
      </c>
      <c r="G21" s="22">
        <f t="shared" ref="G21" si="8">E21*F21</f>
        <v>0.01</v>
      </c>
      <c r="H21" s="22">
        <f t="shared" si="1"/>
        <v>-0.71</v>
      </c>
      <c r="I21" s="23">
        <f t="shared" si="2"/>
        <v>-0.98611111111111105</v>
      </c>
      <c r="J21" s="23">
        <f t="shared" si="5"/>
        <v>6.9264502325887476E-5</v>
      </c>
      <c r="K21" s="108">
        <f t="shared" si="4"/>
        <v>6.7722448276894419E-5</v>
      </c>
    </row>
    <row r="22" spans="1:11" hidden="1" x14ac:dyDescent="0.2">
      <c r="A22" s="107" t="s">
        <v>123</v>
      </c>
      <c r="B22" s="73">
        <f>B4</f>
        <v>755</v>
      </c>
      <c r="C22" s="78">
        <v>0</v>
      </c>
      <c r="D22" s="22">
        <f>B22*C22</f>
        <v>0</v>
      </c>
      <c r="E22" s="73">
        <f>B22</f>
        <v>755</v>
      </c>
      <c r="F22" s="78">
        <f>C22</f>
        <v>0</v>
      </c>
      <c r="G22" s="22">
        <f>E22*F22</f>
        <v>0</v>
      </c>
      <c r="H22" s="22">
        <f>G22-D22</f>
        <v>0</v>
      </c>
      <c r="I22" s="23">
        <f>IF(ISERROR(H22/D22),0,(H22/D22))</f>
        <v>0</v>
      </c>
      <c r="J22" s="23">
        <f t="shared" si="5"/>
        <v>0</v>
      </c>
      <c r="K22" s="108">
        <f t="shared" si="4"/>
        <v>0</v>
      </c>
    </row>
    <row r="23" spans="1:11" x14ac:dyDescent="0.2">
      <c r="A23" s="107" t="s">
        <v>39</v>
      </c>
      <c r="B23" s="73">
        <f>IF($B$9="kWh",$B$4,$B$5)</f>
        <v>755</v>
      </c>
      <c r="C23" s="78">
        <f>VLOOKUP($B$3,'Data for Bill Impacts'!$A$3:$Y$15,10,0)</f>
        <v>9.4000000000000004E-3</v>
      </c>
      <c r="D23" s="22">
        <f>B23*C23</f>
        <v>7.0970000000000004</v>
      </c>
      <c r="E23" s="73">
        <f t="shared" si="6"/>
        <v>755</v>
      </c>
      <c r="F23" s="78">
        <f>VLOOKUP($B$3,'Data for Bill Impacts'!$A$3:$Y$15,19,0)</f>
        <v>7.9000000000000008E-3</v>
      </c>
      <c r="G23" s="22">
        <f>E23*F23</f>
        <v>5.964500000000001</v>
      </c>
      <c r="H23" s="22">
        <f t="shared" si="1"/>
        <v>-1.1324999999999994</v>
      </c>
      <c r="I23" s="23">
        <f t="shared" si="2"/>
        <v>-0.15957446808510628</v>
      </c>
      <c r="J23" s="23">
        <f t="shared" si="5"/>
        <v>4.1312812412275593E-2</v>
      </c>
      <c r="K23" s="108">
        <f t="shared" si="4"/>
        <v>4.0393054274753683E-2</v>
      </c>
    </row>
    <row r="24" spans="1:11" x14ac:dyDescent="0.2">
      <c r="A24" s="107" t="s">
        <v>124</v>
      </c>
      <c r="B24" s="73">
        <f>IF($B$9="kWh",$B$4,$B$5)</f>
        <v>755</v>
      </c>
      <c r="C24" s="78">
        <f>VLOOKUP($B$3,'Data for Bill Impacts'!$A$3:$Y$15,14,0)</f>
        <v>-2.9999999999999997E-4</v>
      </c>
      <c r="D24" s="22">
        <f>B24*C24</f>
        <v>-0.22649999999999998</v>
      </c>
      <c r="E24" s="73">
        <f>B24</f>
        <v>755</v>
      </c>
      <c r="F24" s="126">
        <f>VLOOKUP($B$3,'Data for Bill Impacts'!$A$3:$Y$15,23,0)</f>
        <v>2.0000000000000001E-4</v>
      </c>
      <c r="G24" s="22">
        <f>E24*F24</f>
        <v>0.151</v>
      </c>
      <c r="H24" s="22">
        <f>G24-D24</f>
        <v>0.37749999999999995</v>
      </c>
      <c r="I24" s="23">
        <f>IF(ISERROR(H24/D24),0,(H24/D24))</f>
        <v>-1.6666666666666665</v>
      </c>
      <c r="J24" s="23">
        <f t="shared" si="5"/>
        <v>1.0458939851209009E-3</v>
      </c>
      <c r="K24" s="108">
        <f t="shared" si="4"/>
        <v>1.0226089689811056E-3</v>
      </c>
    </row>
    <row r="25" spans="1:11" s="1" customFormat="1" x14ac:dyDescent="0.2">
      <c r="A25" s="110" t="s">
        <v>72</v>
      </c>
      <c r="B25" s="74"/>
      <c r="C25" s="35"/>
      <c r="D25" s="35">
        <f>SUM(D19:D24)</f>
        <v>32.3705</v>
      </c>
      <c r="E25" s="73"/>
      <c r="F25" s="35"/>
      <c r="G25" s="35">
        <f>SUM(G19:G24)</f>
        <v>33.885500000000008</v>
      </c>
      <c r="H25" s="35">
        <f t="shared" si="1"/>
        <v>1.5150000000000077</v>
      </c>
      <c r="I25" s="36">
        <f t="shared" si="2"/>
        <v>4.6801872074883233E-2</v>
      </c>
      <c r="J25" s="36">
        <f t="shared" si="5"/>
        <v>0.23470622935638608</v>
      </c>
      <c r="K25" s="111">
        <f t="shared" si="4"/>
        <v>0.22948090210867064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5.4718956837451109E-3</v>
      </c>
      <c r="K26" s="108">
        <f t="shared" si="4"/>
        <v>5.3500734138746588E-3</v>
      </c>
    </row>
    <row r="27" spans="1:11" s="1" customFormat="1" x14ac:dyDescent="0.2">
      <c r="A27" s="119" t="s">
        <v>75</v>
      </c>
      <c r="B27" s="120">
        <f>B8-B4</f>
        <v>43.034999999999968</v>
      </c>
      <c r="C27" s="121">
        <f>IF(B4&gt;B7,C13,C12)</f>
        <v>0.121</v>
      </c>
      <c r="D27" s="22">
        <f>B27*C27</f>
        <v>5.2072349999999963</v>
      </c>
      <c r="E27" s="73">
        <f>B27</f>
        <v>43.034999999999968</v>
      </c>
      <c r="F27" s="121">
        <f>C27</f>
        <v>0.121</v>
      </c>
      <c r="G27" s="22">
        <f>E27*F27</f>
        <v>5.2072349999999963</v>
      </c>
      <c r="H27" s="22">
        <f t="shared" si="1"/>
        <v>0</v>
      </c>
      <c r="I27" s="23">
        <f>IF(ISERROR(H27/D27),0,(H27/D27))</f>
        <v>0</v>
      </c>
      <c r="J27" s="23">
        <f t="shared" ref="J27:J46" si="9">G27/$G$46</f>
        <v>3.6067654076894246E-2</v>
      </c>
      <c r="K27" s="108">
        <f t="shared" ref="K27:K41" si="10">G27/$G$51</f>
        <v>3.5264670295313404E-2</v>
      </c>
    </row>
    <row r="28" spans="1:11" s="1" customFormat="1" x14ac:dyDescent="0.2">
      <c r="A28" s="119" t="s">
        <v>74</v>
      </c>
      <c r="B28" s="120">
        <f>B8-B4</f>
        <v>43.034999999999968</v>
      </c>
      <c r="C28" s="121">
        <f>0.65*C15+0.17*C16+0.18*C17</f>
        <v>0.11139</v>
      </c>
      <c r="D28" s="22">
        <f>B28*C28</f>
        <v>4.7936686499999963</v>
      </c>
      <c r="E28" s="73">
        <f>B28</f>
        <v>43.034999999999968</v>
      </c>
      <c r="F28" s="121">
        <f>C28</f>
        <v>0.11139</v>
      </c>
      <c r="G28" s="22">
        <f>E28*F28</f>
        <v>4.7936686499999963</v>
      </c>
      <c r="H28" s="22">
        <f t="shared" si="1"/>
        <v>0</v>
      </c>
      <c r="I28" s="23">
        <f>IF(ISERROR(H28/D28),0,(H28/D28))</f>
        <v>0</v>
      </c>
      <c r="J28" s="23">
        <f t="shared" si="9"/>
        <v>3.3203107335745864E-2</v>
      </c>
      <c r="K28" s="108">
        <f t="shared" si="10"/>
        <v>3.2463897720619507E-2</v>
      </c>
    </row>
    <row r="29" spans="1:11" s="1" customFormat="1" x14ac:dyDescent="0.2">
      <c r="A29" s="110" t="s">
        <v>78</v>
      </c>
      <c r="B29" s="74"/>
      <c r="C29" s="35"/>
      <c r="D29" s="35">
        <f>SUM(D25,D26:D27)</f>
        <v>38.367734999999996</v>
      </c>
      <c r="E29" s="73"/>
      <c r="F29" s="35"/>
      <c r="G29" s="35">
        <f>SUM(G25,G26:G27)</f>
        <v>39.882735000000004</v>
      </c>
      <c r="H29" s="35">
        <f t="shared" si="1"/>
        <v>1.5150000000000077</v>
      </c>
      <c r="I29" s="36">
        <f>IF(ISERROR(H29/D29),0,(H29/D29))</f>
        <v>3.9486302748911496E-2</v>
      </c>
      <c r="J29" s="36">
        <f t="shared" si="9"/>
        <v>0.27624577911702541</v>
      </c>
      <c r="K29" s="111">
        <f t="shared" si="10"/>
        <v>0.27009564581785872</v>
      </c>
    </row>
    <row r="30" spans="1:11" s="1" customFormat="1" x14ac:dyDescent="0.2">
      <c r="A30" s="110" t="s">
        <v>77</v>
      </c>
      <c r="B30" s="74"/>
      <c r="C30" s="35"/>
      <c r="D30" s="35">
        <f>SUM(D25,D26,D28)</f>
        <v>37.954168649999993</v>
      </c>
      <c r="E30" s="73"/>
      <c r="F30" s="35"/>
      <c r="G30" s="35">
        <f>SUM(G25,G26,G28)</f>
        <v>39.46916865</v>
      </c>
      <c r="H30" s="35">
        <f t="shared" si="1"/>
        <v>1.5150000000000077</v>
      </c>
      <c r="I30" s="36">
        <f>IF(ISERROR(H30/D30),0,(H30/D30))</f>
        <v>3.9916563947712973E-2</v>
      </c>
      <c r="J30" s="36">
        <f t="shared" si="9"/>
        <v>0.27338123237587703</v>
      </c>
      <c r="K30" s="111">
        <f t="shared" si="10"/>
        <v>0.26729487324316475</v>
      </c>
    </row>
    <row r="31" spans="1:11" x14ac:dyDescent="0.2">
      <c r="A31" s="107" t="s">
        <v>40</v>
      </c>
      <c r="B31" s="73">
        <f>B8</f>
        <v>798.03499999999997</v>
      </c>
      <c r="C31" s="78">
        <f>VLOOKUP($B$3,'Data for Bill Impacts'!$A$3:$Y$15,15,0)</f>
        <v>6.7000000000000002E-3</v>
      </c>
      <c r="D31" s="22">
        <f>B31*C31</f>
        <v>5.3468344999999999</v>
      </c>
      <c r="E31" s="73">
        <f t="shared" si="6"/>
        <v>798.03499999999997</v>
      </c>
      <c r="F31" s="126">
        <f>VLOOKUP($B$3,'Data for Bill Impacts'!$A$3:$Y$15,24,0)</f>
        <v>7.8279999999999999E-3</v>
      </c>
      <c r="G31" s="22">
        <f>E31*F31</f>
        <v>6.2470179799999999</v>
      </c>
      <c r="H31" s="22">
        <f t="shared" si="1"/>
        <v>0.90018347999999992</v>
      </c>
      <c r="I31" s="23">
        <f t="shared" si="2"/>
        <v>0.16835820895522388</v>
      </c>
      <c r="J31" s="23">
        <f t="shared" si="9"/>
        <v>4.3269659140557089E-2</v>
      </c>
      <c r="K31" s="108">
        <f t="shared" si="10"/>
        <v>4.2306335203537944E-2</v>
      </c>
    </row>
    <row r="32" spans="1:11" x14ac:dyDescent="0.2">
      <c r="A32" s="107" t="s">
        <v>41</v>
      </c>
      <c r="B32" s="73">
        <f>B8</f>
        <v>798.03499999999997</v>
      </c>
      <c r="C32" s="78">
        <f>VLOOKUP($B$3,'Data for Bill Impacts'!$A$3:$Y$15,16,0)</f>
        <v>4.7000000000000002E-3</v>
      </c>
      <c r="D32" s="22">
        <f>B32*C32</f>
        <v>3.7507644999999998</v>
      </c>
      <c r="E32" s="73">
        <f t="shared" si="6"/>
        <v>798.03499999999997</v>
      </c>
      <c r="F32" s="126">
        <f>VLOOKUP($B$3,'Data for Bill Impacts'!$A$3:$Y$15,25,0)</f>
        <v>6.4380000000000001E-3</v>
      </c>
      <c r="G32" s="22">
        <f>E32*F32</f>
        <v>5.1377493300000001</v>
      </c>
      <c r="H32" s="22">
        <f t="shared" si="1"/>
        <v>1.3869848300000003</v>
      </c>
      <c r="I32" s="23">
        <f t="shared" si="2"/>
        <v>0.36978723404255326</v>
      </c>
      <c r="J32" s="23">
        <f t="shared" si="9"/>
        <v>3.5586365041761187E-2</v>
      </c>
      <c r="K32" s="108">
        <f t="shared" si="10"/>
        <v>3.4794096326057393E-2</v>
      </c>
    </row>
    <row r="33" spans="1:11" s="1" customFormat="1" x14ac:dyDescent="0.2">
      <c r="A33" s="110" t="s">
        <v>76</v>
      </c>
      <c r="B33" s="74"/>
      <c r="C33" s="35"/>
      <c r="D33" s="35">
        <f>SUM(D31:D32)</f>
        <v>9.0975989999999989</v>
      </c>
      <c r="E33" s="73"/>
      <c r="F33" s="35"/>
      <c r="G33" s="35">
        <f>SUM(G31:G32)</f>
        <v>11.384767310000001</v>
      </c>
      <c r="H33" s="35">
        <f t="shared" si="1"/>
        <v>2.287168310000002</v>
      </c>
      <c r="I33" s="36">
        <f t="shared" si="2"/>
        <v>0.25140350877193007</v>
      </c>
      <c r="J33" s="36">
        <f t="shared" si="9"/>
        <v>7.8856024182318282E-2</v>
      </c>
      <c r="K33" s="111">
        <f t="shared" si="10"/>
        <v>7.7100431529595351E-2</v>
      </c>
    </row>
    <row r="34" spans="1:11" s="1" customFormat="1" x14ac:dyDescent="0.2">
      <c r="A34" s="110" t="s">
        <v>91</v>
      </c>
      <c r="B34" s="74"/>
      <c r="C34" s="35"/>
      <c r="D34" s="35">
        <f>D29+D33</f>
        <v>47.465333999999999</v>
      </c>
      <c r="E34" s="73"/>
      <c r="F34" s="35"/>
      <c r="G34" s="35">
        <f>G29+G33</f>
        <v>51.267502310000005</v>
      </c>
      <c r="H34" s="35">
        <f t="shared" si="1"/>
        <v>3.8021683100000061</v>
      </c>
      <c r="I34" s="36">
        <f t="shared" si="2"/>
        <v>8.0104109453859651E-2</v>
      </c>
      <c r="J34" s="36">
        <f t="shared" si="9"/>
        <v>0.35510180329934371</v>
      </c>
      <c r="K34" s="111">
        <f t="shared" si="10"/>
        <v>0.34719607734745406</v>
      </c>
    </row>
    <row r="35" spans="1:11" s="1" customFormat="1" x14ac:dyDescent="0.2">
      <c r="A35" s="110" t="s">
        <v>92</v>
      </c>
      <c r="B35" s="74"/>
      <c r="C35" s="35"/>
      <c r="D35" s="35">
        <f>D30+D33</f>
        <v>47.051767649999988</v>
      </c>
      <c r="E35" s="73"/>
      <c r="F35" s="35"/>
      <c r="G35" s="35">
        <f>G30+G33</f>
        <v>50.853935960000001</v>
      </c>
      <c r="H35" s="35">
        <f t="shared" si="1"/>
        <v>3.8021683100000132</v>
      </c>
      <c r="I35" s="36">
        <f t="shared" si="2"/>
        <v>8.0808192760851869E-2</v>
      </c>
      <c r="J35" s="36">
        <f t="shared" si="9"/>
        <v>0.35223725655819527</v>
      </c>
      <c r="K35" s="111">
        <f t="shared" si="10"/>
        <v>0.34439530477276009</v>
      </c>
    </row>
    <row r="36" spans="1:11" x14ac:dyDescent="0.2">
      <c r="A36" s="107" t="s">
        <v>42</v>
      </c>
      <c r="B36" s="73">
        <f>B8</f>
        <v>798.03499999999997</v>
      </c>
      <c r="C36" s="34">
        <v>3.5999999999999999E-3</v>
      </c>
      <c r="D36" s="22">
        <f>B36*C36</f>
        <v>2.8729259999999996</v>
      </c>
      <c r="E36" s="73">
        <f t="shared" si="6"/>
        <v>798.03499999999997</v>
      </c>
      <c r="F36" s="34">
        <v>3.5999999999999999E-3</v>
      </c>
      <c r="G36" s="22">
        <f>E36*F36</f>
        <v>2.8729259999999996</v>
      </c>
      <c r="H36" s="22">
        <f t="shared" si="1"/>
        <v>0</v>
      </c>
      <c r="I36" s="23">
        <f t="shared" si="2"/>
        <v>0</v>
      </c>
      <c r="J36" s="23">
        <f t="shared" si="9"/>
        <v>1.9899178960910258E-2</v>
      </c>
      <c r="K36" s="108">
        <f t="shared" si="10"/>
        <v>1.9456158243834516E-2</v>
      </c>
    </row>
    <row r="37" spans="1:11" x14ac:dyDescent="0.2">
      <c r="A37" s="107" t="s">
        <v>43</v>
      </c>
      <c r="B37" s="73">
        <f>B8</f>
        <v>798.03499999999997</v>
      </c>
      <c r="C37" s="34">
        <v>2.0999999999999999E-3</v>
      </c>
      <c r="D37" s="22">
        <f>B37*C37</f>
        <v>1.6758734999999998</v>
      </c>
      <c r="E37" s="73">
        <f t="shared" si="6"/>
        <v>798.03499999999997</v>
      </c>
      <c r="F37" s="34">
        <v>2.0999999999999999E-3</v>
      </c>
      <c r="G37" s="22">
        <f>E37*F37</f>
        <v>1.6758734999999998</v>
      </c>
      <c r="H37" s="22">
        <f>G37-D37</f>
        <v>0</v>
      </c>
      <c r="I37" s="23">
        <f t="shared" si="2"/>
        <v>0</v>
      </c>
      <c r="J37" s="23">
        <f t="shared" si="9"/>
        <v>1.1607854393864317E-2</v>
      </c>
      <c r="K37" s="108">
        <f t="shared" si="10"/>
        <v>1.13494256422368E-2</v>
      </c>
    </row>
    <row r="38" spans="1:11" x14ac:dyDescent="0.2">
      <c r="A38" s="107" t="s">
        <v>96</v>
      </c>
      <c r="B38" s="73">
        <f>B8</f>
        <v>798.03499999999997</v>
      </c>
      <c r="C38" s="34">
        <v>1.1000000000000001E-3</v>
      </c>
      <c r="D38" s="22">
        <f>B38*C38</f>
        <v>0.87783849999999997</v>
      </c>
      <c r="E38" s="73">
        <f t="shared" si="6"/>
        <v>798.03499999999997</v>
      </c>
      <c r="F38" s="34">
        <v>1.1000000000000001E-3</v>
      </c>
      <c r="G38" s="22">
        <f>E38*F38</f>
        <v>0.87783849999999997</v>
      </c>
      <c r="H38" s="22">
        <f>G38-D38</f>
        <v>0</v>
      </c>
      <c r="I38" s="23">
        <f t="shared" si="2"/>
        <v>0</v>
      </c>
      <c r="J38" s="23">
        <f t="shared" si="9"/>
        <v>6.0803046825003574E-3</v>
      </c>
      <c r="K38" s="108">
        <f t="shared" si="10"/>
        <v>5.9449372411716581E-3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1.7316125581471869E-3</v>
      </c>
      <c r="K39" s="108">
        <f t="shared" si="10"/>
        <v>1.6930612069223604E-3</v>
      </c>
    </row>
    <row r="40" spans="1:11" s="1" customFormat="1" x14ac:dyDescent="0.2">
      <c r="A40" s="110" t="s">
        <v>45</v>
      </c>
      <c r="B40" s="74"/>
      <c r="C40" s="35"/>
      <c r="D40" s="35">
        <f>SUM(D36:D39)</f>
        <v>5.6766379999999996</v>
      </c>
      <c r="E40" s="73"/>
      <c r="F40" s="35"/>
      <c r="G40" s="35">
        <f>SUM(G36:G39)</f>
        <v>5.6766379999999996</v>
      </c>
      <c r="H40" s="35">
        <f t="shared" si="1"/>
        <v>0</v>
      </c>
      <c r="I40" s="36">
        <f t="shared" si="2"/>
        <v>0</v>
      </c>
      <c r="J40" s="36">
        <f t="shared" si="9"/>
        <v>3.931895059542212E-2</v>
      </c>
      <c r="K40" s="111">
        <f t="shared" si="10"/>
        <v>3.8443582334165338E-2</v>
      </c>
    </row>
    <row r="41" spans="1:11" s="1" customFormat="1" ht="13.5" thickBot="1" x14ac:dyDescent="0.25">
      <c r="A41" s="112" t="s">
        <v>46</v>
      </c>
      <c r="B41" s="113">
        <f>B4</f>
        <v>755</v>
      </c>
      <c r="C41" s="114">
        <v>0</v>
      </c>
      <c r="D41" s="115">
        <f>B41*C41</f>
        <v>0</v>
      </c>
      <c r="E41" s="116">
        <f t="shared" si="6"/>
        <v>755</v>
      </c>
      <c r="F41" s="114">
        <f>C41</f>
        <v>0</v>
      </c>
      <c r="G41" s="115">
        <f>E41*F41</f>
        <v>0</v>
      </c>
      <c r="H41" s="115">
        <f t="shared" si="1"/>
        <v>0</v>
      </c>
      <c r="I41" s="117">
        <f t="shared" si="2"/>
        <v>0</v>
      </c>
      <c r="J41" s="117">
        <f t="shared" si="9"/>
        <v>0</v>
      </c>
      <c r="K41" s="118">
        <f t="shared" si="10"/>
        <v>0</v>
      </c>
    </row>
    <row r="42" spans="1:11" s="1" customFormat="1" x14ac:dyDescent="0.2">
      <c r="A42" s="37" t="s">
        <v>105</v>
      </c>
      <c r="B42" s="38"/>
      <c r="C42" s="39"/>
      <c r="D42" s="39">
        <f>SUM(D14,D25,D26,D27,D33,D40,D41)</f>
        <v>133.69697199999999</v>
      </c>
      <c r="E42" s="38"/>
      <c r="F42" s="39"/>
      <c r="G42" s="39">
        <f>SUM(G14,G25,G26,G27,G33,G40,G41)</f>
        <v>137.49914031</v>
      </c>
      <c r="H42" s="39">
        <f t="shared" si="1"/>
        <v>3.8021683100000132</v>
      </c>
      <c r="I42" s="40">
        <f>IF(ISERROR(H42/D42),0,(H42/D42))</f>
        <v>2.8438701738136698E-2</v>
      </c>
      <c r="J42" s="40">
        <f t="shared" si="9"/>
        <v>0.95238095238095233</v>
      </c>
      <c r="K42" s="41"/>
    </row>
    <row r="43" spans="1:11" x14ac:dyDescent="0.2">
      <c r="A43" s="154" t="s">
        <v>106</v>
      </c>
      <c r="B43" s="43"/>
      <c r="C43" s="26">
        <v>0.13</v>
      </c>
      <c r="D43" s="26">
        <f>D42*C43</f>
        <v>17.380606359999998</v>
      </c>
      <c r="E43" s="26"/>
      <c r="F43" s="26">
        <f>C43</f>
        <v>0.13</v>
      </c>
      <c r="G43" s="26">
        <f>G42*F43</f>
        <v>17.874888240300002</v>
      </c>
      <c r="H43" s="26">
        <f t="shared" si="1"/>
        <v>0.49428188030000442</v>
      </c>
      <c r="I43" s="44">
        <f t="shared" si="2"/>
        <v>2.8438701738136854E-2</v>
      </c>
      <c r="J43" s="44">
        <f t="shared" si="9"/>
        <v>0.12380952380952383</v>
      </c>
      <c r="K43" s="45"/>
    </row>
    <row r="44" spans="1:11" s="1" customFormat="1" x14ac:dyDescent="0.2">
      <c r="A44" s="46" t="s">
        <v>107</v>
      </c>
      <c r="B44" s="24"/>
      <c r="C44" s="25"/>
      <c r="D44" s="25">
        <f>SUM(D42:D43)</f>
        <v>151.07757835999999</v>
      </c>
      <c r="E44" s="25"/>
      <c r="F44" s="25"/>
      <c r="G44" s="25">
        <f>SUM(G42:G43)</f>
        <v>155.37402855030001</v>
      </c>
      <c r="H44" s="25">
        <f t="shared" si="1"/>
        <v>4.2964501903000212</v>
      </c>
      <c r="I44" s="27">
        <f t="shared" si="2"/>
        <v>2.8438701738136739E-2</v>
      </c>
      <c r="J44" s="27">
        <f t="shared" si="9"/>
        <v>1.0761904761904761</v>
      </c>
      <c r="K44" s="47"/>
    </row>
    <row r="45" spans="1:11" x14ac:dyDescent="0.2">
      <c r="A45" s="42" t="s">
        <v>108</v>
      </c>
      <c r="B45" s="43"/>
      <c r="C45" s="26">
        <v>-0.08</v>
      </c>
      <c r="D45" s="26">
        <f>D42*C45</f>
        <v>-10.695757759999999</v>
      </c>
      <c r="E45" s="26"/>
      <c r="F45" s="26">
        <f>C45</f>
        <v>-0.08</v>
      </c>
      <c r="G45" s="26">
        <f>G42*F45</f>
        <v>-10.999931224800001</v>
      </c>
      <c r="H45" s="26">
        <f t="shared" si="1"/>
        <v>-0.30417346480000163</v>
      </c>
      <c r="I45" s="44">
        <f t="shared" si="2"/>
        <v>2.843870173813675E-2</v>
      </c>
      <c r="J45" s="44">
        <f t="shared" si="9"/>
        <v>-7.6190476190476197E-2</v>
      </c>
      <c r="K45" s="45"/>
    </row>
    <row r="46" spans="1:11" s="1" customFormat="1" ht="13.5" thickBot="1" x14ac:dyDescent="0.25">
      <c r="A46" s="48" t="s">
        <v>109</v>
      </c>
      <c r="B46" s="49"/>
      <c r="C46" s="50"/>
      <c r="D46" s="50">
        <f>SUM(D44:D45)</f>
        <v>140.3818206</v>
      </c>
      <c r="E46" s="50"/>
      <c r="F46" s="50"/>
      <c r="G46" s="50">
        <f>SUM(G44:G45)</f>
        <v>144.3740973255</v>
      </c>
      <c r="H46" s="50">
        <f t="shared" si="1"/>
        <v>3.9922767255000053</v>
      </c>
      <c r="I46" s="51">
        <f t="shared" si="2"/>
        <v>2.8438701738136635E-2</v>
      </c>
      <c r="J46" s="51">
        <f t="shared" si="9"/>
        <v>1</v>
      </c>
      <c r="K46" s="52"/>
    </row>
    <row r="47" spans="1:11" x14ac:dyDescent="0.2">
      <c r="A47" s="53" t="s">
        <v>110</v>
      </c>
      <c r="B47" s="54"/>
      <c r="C47" s="55"/>
      <c r="D47" s="55">
        <f>SUM(D18,D25,D26,D28,D33,D40,D41)</f>
        <v>136.82785565</v>
      </c>
      <c r="E47" s="55"/>
      <c r="F47" s="55"/>
      <c r="G47" s="55">
        <f>SUM(G18,G25,G26,G28,G33,G40,G41)</f>
        <v>140.63002396000002</v>
      </c>
      <c r="H47" s="55">
        <f>G47-D47</f>
        <v>3.8021683100000132</v>
      </c>
      <c r="I47" s="56">
        <f>IF(ISERROR(H47/D47),0,(H47/D47))</f>
        <v>2.7787969722523478E-2</v>
      </c>
      <c r="J47" s="56"/>
      <c r="K47" s="57">
        <f>G47/$G$51</f>
        <v>0.95238095238095233</v>
      </c>
    </row>
    <row r="48" spans="1:11" x14ac:dyDescent="0.2">
      <c r="A48" s="155" t="s">
        <v>106</v>
      </c>
      <c r="B48" s="59"/>
      <c r="C48" s="31">
        <v>0.13</v>
      </c>
      <c r="D48" s="31">
        <f>D47*C48</f>
        <v>17.787621234500001</v>
      </c>
      <c r="E48" s="31"/>
      <c r="F48" s="31">
        <f>C48</f>
        <v>0.13</v>
      </c>
      <c r="G48" s="31">
        <f>G47*F48</f>
        <v>18.281903114800002</v>
      </c>
      <c r="H48" s="31">
        <f>G48-D48</f>
        <v>0.49428188030000086</v>
      </c>
      <c r="I48" s="32">
        <f>IF(ISERROR(H48/D48),0,(H48/D48))</f>
        <v>2.7787969722523429E-2</v>
      </c>
      <c r="J48" s="32"/>
      <c r="K48" s="60">
        <f>G48/$G$51</f>
        <v>0.12380952380952381</v>
      </c>
    </row>
    <row r="49" spans="1:11" x14ac:dyDescent="0.2">
      <c r="A49" s="61" t="s">
        <v>111</v>
      </c>
      <c r="B49" s="29"/>
      <c r="C49" s="30"/>
      <c r="D49" s="30">
        <f>SUM(D47:D48)</f>
        <v>154.6154768845</v>
      </c>
      <c r="E49" s="30"/>
      <c r="F49" s="30"/>
      <c r="G49" s="30">
        <f>SUM(G47:G48)</f>
        <v>158.91192707480002</v>
      </c>
      <c r="H49" s="30">
        <f>G49-D49</f>
        <v>4.2964501903000212</v>
      </c>
      <c r="I49" s="33">
        <f>IF(ISERROR(H49/D49),0,(H49/D49))</f>
        <v>2.7787969722523519E-2</v>
      </c>
      <c r="J49" s="33"/>
      <c r="K49" s="62">
        <f>G49/$G$51</f>
        <v>1.0761904761904761</v>
      </c>
    </row>
    <row r="50" spans="1:11" x14ac:dyDescent="0.2">
      <c r="A50" s="58" t="s">
        <v>108</v>
      </c>
      <c r="B50" s="59"/>
      <c r="C50" s="31">
        <v>-0.08</v>
      </c>
      <c r="D50" s="31">
        <f>D47*C50</f>
        <v>-10.946228452</v>
      </c>
      <c r="E50" s="31"/>
      <c r="F50" s="31">
        <f>C50</f>
        <v>-0.08</v>
      </c>
      <c r="G50" s="31">
        <f>G47*F50</f>
        <v>-11.250401916800001</v>
      </c>
      <c r="H50" s="31">
        <f>G50-D50</f>
        <v>-0.30417346480000163</v>
      </c>
      <c r="I50" s="32">
        <f>IF(ISERROR(H50/D50),0,(H50/D50))</f>
        <v>2.7787969722523533E-2</v>
      </c>
      <c r="J50" s="32"/>
      <c r="K50" s="60">
        <f>G50/$G$51</f>
        <v>-7.6190476190476197E-2</v>
      </c>
    </row>
    <row r="51" spans="1:11" ht="13.5" thickBot="1" x14ac:dyDescent="0.25">
      <c r="A51" s="63" t="s">
        <v>121</v>
      </c>
      <c r="B51" s="64"/>
      <c r="C51" s="65"/>
      <c r="D51" s="65">
        <f>SUM(D49:D50)</f>
        <v>143.66924843250001</v>
      </c>
      <c r="E51" s="65"/>
      <c r="F51" s="65"/>
      <c r="G51" s="65">
        <f>SUM(G49:G50)</f>
        <v>147.66152515800002</v>
      </c>
      <c r="H51" s="65">
        <f>G51-D51</f>
        <v>3.9922767255000053</v>
      </c>
      <c r="I51" s="66">
        <f>IF(ISERROR(H51/D51),0,(H51/D51))</f>
        <v>2.7787969722523419E-2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101</v>
      </c>
      <c r="B1" s="192"/>
      <c r="C1" s="192"/>
      <c r="D1" s="192"/>
      <c r="E1" s="192"/>
      <c r="F1" s="192"/>
      <c r="G1" s="192"/>
      <c r="H1" s="192"/>
      <c r="I1" s="192"/>
      <c r="J1" s="192"/>
      <c r="K1" s="193"/>
    </row>
    <row r="3" spans="1:11" ht="12" customHeight="1" x14ac:dyDescent="0.2">
      <c r="A3" s="13" t="s">
        <v>13</v>
      </c>
      <c r="B3" s="13" t="s">
        <v>0</v>
      </c>
    </row>
    <row r="4" spans="1:11" x14ac:dyDescent="0.2">
      <c r="A4" s="15" t="s">
        <v>62</v>
      </c>
      <c r="B4" s="15">
        <v>1400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5">
        <f>B4*B6</f>
        <v>1479.8</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0.24566876609684515</v>
      </c>
      <c r="K12" s="106"/>
    </row>
    <row r="13" spans="1:11" x14ac:dyDescent="0.2">
      <c r="A13" s="107" t="s">
        <v>32</v>
      </c>
      <c r="B13" s="73">
        <f>IF(B4&gt;B7,(B4)-B7,0)</f>
        <v>800</v>
      </c>
      <c r="C13" s="21">
        <v>0.121</v>
      </c>
      <c r="D13" s="22">
        <f>B13*C13</f>
        <v>96.8</v>
      </c>
      <c r="E13" s="73">
        <f t="shared" ref="E13" si="0">B13</f>
        <v>800</v>
      </c>
      <c r="F13" s="21">
        <f>C13</f>
        <v>0.121</v>
      </c>
      <c r="G13" s="22">
        <f>E13*F13</f>
        <v>96.8</v>
      </c>
      <c r="H13" s="22">
        <f t="shared" ref="H13:H46" si="1">G13-D13</f>
        <v>0</v>
      </c>
      <c r="I13" s="23">
        <f t="shared" ref="I13:I46" si="2">IF(ISERROR(H13/D13),0,(H13/D13))</f>
        <v>0</v>
      </c>
      <c r="J13" s="23">
        <f>G13/$G$46</f>
        <v>0.3848015624300099</v>
      </c>
      <c r="K13" s="108"/>
    </row>
    <row r="14" spans="1:11" s="1" customFormat="1" x14ac:dyDescent="0.2">
      <c r="A14" s="46" t="s">
        <v>33</v>
      </c>
      <c r="B14" s="24"/>
      <c r="C14" s="25"/>
      <c r="D14" s="25">
        <f>SUM(D12:D13)</f>
        <v>158.6</v>
      </c>
      <c r="E14" s="76"/>
      <c r="F14" s="25"/>
      <c r="G14" s="25">
        <f>SUM(G12:G13)</f>
        <v>158.6</v>
      </c>
      <c r="H14" s="25">
        <f t="shared" si="1"/>
        <v>0</v>
      </c>
      <c r="I14" s="27">
        <f t="shared" si="2"/>
        <v>0</v>
      </c>
      <c r="J14" s="27">
        <f>G14/$G$46</f>
        <v>0.63047032852685503</v>
      </c>
      <c r="K14" s="108"/>
    </row>
    <row r="15" spans="1:11" s="1" customFormat="1" x14ac:dyDescent="0.2">
      <c r="A15" s="109" t="s">
        <v>34</v>
      </c>
      <c r="B15" s="75">
        <f>B4*0.65</f>
        <v>910</v>
      </c>
      <c r="C15" s="28">
        <v>8.6999999999999994E-2</v>
      </c>
      <c r="D15" s="22">
        <f>B15*C15</f>
        <v>79.169999999999987</v>
      </c>
      <c r="E15" s="73">
        <f t="shared" ref="E15:F17" si="3">B15</f>
        <v>910</v>
      </c>
      <c r="F15" s="28">
        <f t="shared" si="3"/>
        <v>8.6999999999999994E-2</v>
      </c>
      <c r="G15" s="22">
        <f>E15*F15</f>
        <v>79.169999999999987</v>
      </c>
      <c r="H15" s="22">
        <f t="shared" si="1"/>
        <v>0</v>
      </c>
      <c r="I15" s="23">
        <f t="shared" si="2"/>
        <v>0</v>
      </c>
      <c r="J15" s="23"/>
      <c r="K15" s="108">
        <f t="shared" ref="K15:K26" si="4">G15/$G$51</f>
        <v>0.31927724601752527</v>
      </c>
    </row>
    <row r="16" spans="1:11" s="1" customFormat="1" x14ac:dyDescent="0.2">
      <c r="A16" s="109" t="s">
        <v>35</v>
      </c>
      <c r="B16" s="75">
        <f>B4*0.17</f>
        <v>238.00000000000003</v>
      </c>
      <c r="C16" s="28">
        <v>0.13200000000000001</v>
      </c>
      <c r="D16" s="22">
        <f>B16*C16</f>
        <v>31.416000000000004</v>
      </c>
      <c r="E16" s="73">
        <f t="shared" si="3"/>
        <v>238.00000000000003</v>
      </c>
      <c r="F16" s="28">
        <f t="shared" si="3"/>
        <v>0.13200000000000001</v>
      </c>
      <c r="G16" s="22">
        <f>E16*F16</f>
        <v>31.416000000000004</v>
      </c>
      <c r="H16" s="22">
        <f t="shared" si="1"/>
        <v>0</v>
      </c>
      <c r="I16" s="23">
        <f t="shared" si="2"/>
        <v>0</v>
      </c>
      <c r="J16" s="23"/>
      <c r="K16" s="108">
        <f t="shared" si="4"/>
        <v>0.12669463131093314</v>
      </c>
    </row>
    <row r="17" spans="1:11" s="1" customFormat="1" x14ac:dyDescent="0.2">
      <c r="A17" s="109" t="s">
        <v>36</v>
      </c>
      <c r="B17" s="75">
        <f>B4*0.18</f>
        <v>252</v>
      </c>
      <c r="C17" s="28">
        <v>0.18</v>
      </c>
      <c r="D17" s="22">
        <f>B17*C17</f>
        <v>45.36</v>
      </c>
      <c r="E17" s="73">
        <f t="shared" si="3"/>
        <v>252</v>
      </c>
      <c r="F17" s="28">
        <f t="shared" si="3"/>
        <v>0.18</v>
      </c>
      <c r="G17" s="22">
        <f>E17*F17</f>
        <v>45.36</v>
      </c>
      <c r="H17" s="22">
        <f t="shared" si="1"/>
        <v>0</v>
      </c>
      <c r="I17" s="23">
        <f t="shared" si="2"/>
        <v>0</v>
      </c>
      <c r="J17" s="23"/>
      <c r="K17" s="108">
        <f t="shared" si="4"/>
        <v>0.18292807729386068</v>
      </c>
    </row>
    <row r="18" spans="1:11" s="1" customFormat="1" x14ac:dyDescent="0.2">
      <c r="A18" s="61" t="s">
        <v>37</v>
      </c>
      <c r="B18" s="29"/>
      <c r="C18" s="30"/>
      <c r="D18" s="30">
        <f>SUM(D15:D17)</f>
        <v>155.94599999999997</v>
      </c>
      <c r="E18" s="77"/>
      <c r="F18" s="30"/>
      <c r="G18" s="30">
        <f>SUM(G15:G17)</f>
        <v>155.94599999999997</v>
      </c>
      <c r="H18" s="31">
        <f t="shared" si="1"/>
        <v>0</v>
      </c>
      <c r="I18" s="32">
        <f t="shared" si="2"/>
        <v>0</v>
      </c>
      <c r="J18" s="33">
        <f t="shared" ref="J18:J26" si="5">G18/$G$46</f>
        <v>0.61992008734204873</v>
      </c>
      <c r="K18" s="62">
        <f t="shared" si="4"/>
        <v>0.62889995462231907</v>
      </c>
    </row>
    <row r="19" spans="1:11" x14ac:dyDescent="0.2">
      <c r="A19" s="107" t="s">
        <v>38</v>
      </c>
      <c r="B19" s="73">
        <v>1</v>
      </c>
      <c r="C19" s="78">
        <f>VLOOKUP($B$3,'Data for Bill Impacts'!$A$3:$Y$15,7,0)</f>
        <v>24.78</v>
      </c>
      <c r="D19" s="22">
        <f>B19*C19</f>
        <v>24.78</v>
      </c>
      <c r="E19" s="73">
        <f t="shared" ref="E19:E41" si="6">B19</f>
        <v>1</v>
      </c>
      <c r="F19" s="78">
        <f>VLOOKUP($B$3,'Data for Bill Impacts'!$A$3:$Y$15,17,0)</f>
        <v>27.76</v>
      </c>
      <c r="G19" s="22">
        <f>E19*F19</f>
        <v>27.76</v>
      </c>
      <c r="H19" s="22">
        <f t="shared" si="1"/>
        <v>2.9800000000000004</v>
      </c>
      <c r="I19" s="23">
        <f t="shared" si="2"/>
        <v>0.12025827280064569</v>
      </c>
      <c r="J19" s="23">
        <f t="shared" si="5"/>
        <v>0.11035218360596152</v>
      </c>
      <c r="K19" s="108">
        <f t="shared" si="4"/>
        <v>0.11195069280594296</v>
      </c>
    </row>
    <row r="20" spans="1:11" hidden="1" x14ac:dyDescent="0.2">
      <c r="A20" s="107" t="s">
        <v>113</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0.72</v>
      </c>
      <c r="D21" s="22">
        <f t="shared" si="7"/>
        <v>0.72</v>
      </c>
      <c r="E21" s="73">
        <f t="shared" si="6"/>
        <v>1</v>
      </c>
      <c r="F21" s="122">
        <f>VLOOKUP($B$3,'Data for Bill Impacts'!$A$3:$Y$15,22,0)</f>
        <v>0.01</v>
      </c>
      <c r="G21" s="22">
        <f t="shared" si="8"/>
        <v>0.01</v>
      </c>
      <c r="H21" s="22">
        <f t="shared" si="1"/>
        <v>-0.71</v>
      </c>
      <c r="I21" s="23">
        <f t="shared" si="2"/>
        <v>-0.98611111111111105</v>
      </c>
      <c r="J21" s="23">
        <f t="shared" si="5"/>
        <v>3.9752227523761355E-5</v>
      </c>
      <c r="K21" s="108">
        <f t="shared" si="4"/>
        <v>4.0328059368135073E-5</v>
      </c>
    </row>
    <row r="22" spans="1:11" hidden="1" x14ac:dyDescent="0.2">
      <c r="A22" s="107" t="s">
        <v>123</v>
      </c>
      <c r="B22" s="73">
        <f>B4</f>
        <v>1400</v>
      </c>
      <c r="C22" s="78">
        <v>0</v>
      </c>
      <c r="D22" s="22">
        <f>B22*C22</f>
        <v>0</v>
      </c>
      <c r="E22" s="73">
        <f>B22</f>
        <v>1400</v>
      </c>
      <c r="F22" s="78">
        <f>C22</f>
        <v>0</v>
      </c>
      <c r="G22" s="22">
        <f>E22*F22</f>
        <v>0</v>
      </c>
      <c r="H22" s="22">
        <f>G22-D22</f>
        <v>0</v>
      </c>
      <c r="I22" s="23">
        <f>IF(ISERROR(H22/D22),0,(H22/D22))</f>
        <v>0</v>
      </c>
      <c r="J22" s="23">
        <f t="shared" si="5"/>
        <v>0</v>
      </c>
      <c r="K22" s="108">
        <f t="shared" si="4"/>
        <v>0</v>
      </c>
    </row>
    <row r="23" spans="1:11" x14ac:dyDescent="0.2">
      <c r="A23" s="107" t="s">
        <v>39</v>
      </c>
      <c r="B23" s="73">
        <f>IF($B$9="kWh",$B$4,$B$5)</f>
        <v>1400</v>
      </c>
      <c r="C23" s="78">
        <f>VLOOKUP($B$3,'Data for Bill Impacts'!$A$3:$Y$15,10,0)</f>
        <v>9.4000000000000004E-3</v>
      </c>
      <c r="D23" s="22">
        <f>B23*C23</f>
        <v>13.16</v>
      </c>
      <c r="E23" s="73">
        <f t="shared" si="6"/>
        <v>1400</v>
      </c>
      <c r="F23" s="78">
        <f>VLOOKUP($B$3,'Data for Bill Impacts'!$A$3:$Y$15,19,0)</f>
        <v>7.9000000000000008E-3</v>
      </c>
      <c r="G23" s="22">
        <f>E23*F23</f>
        <v>11.06</v>
      </c>
      <c r="H23" s="22">
        <f t="shared" si="1"/>
        <v>-2.0999999999999996</v>
      </c>
      <c r="I23" s="23">
        <f t="shared" si="2"/>
        <v>-0.15957446808510636</v>
      </c>
      <c r="J23" s="23">
        <f t="shared" si="5"/>
        <v>4.3965963641280061E-2</v>
      </c>
      <c r="K23" s="108">
        <f t="shared" si="4"/>
        <v>4.4602833661157387E-2</v>
      </c>
    </row>
    <row r="24" spans="1:11" x14ac:dyDescent="0.2">
      <c r="A24" s="107" t="s">
        <v>124</v>
      </c>
      <c r="B24" s="73">
        <f>IF($B$9="kWh",$B$4,$B$5)</f>
        <v>1400</v>
      </c>
      <c r="C24" s="78">
        <f>VLOOKUP($B$3,'Data for Bill Impacts'!$A$3:$Y$15,14,0)</f>
        <v>-2.9999999999999997E-4</v>
      </c>
      <c r="D24" s="22">
        <f>B24*C24</f>
        <v>-0.42</v>
      </c>
      <c r="E24" s="73">
        <f>B24</f>
        <v>1400</v>
      </c>
      <c r="F24" s="126">
        <f>VLOOKUP($B$3,'Data for Bill Impacts'!$A$3:$Y$15,23,0)</f>
        <v>2.0000000000000001E-4</v>
      </c>
      <c r="G24" s="22">
        <f>E24*F24</f>
        <v>0.28000000000000003</v>
      </c>
      <c r="H24" s="22">
        <f>G24-D24</f>
        <v>0.7</v>
      </c>
      <c r="I24" s="23">
        <f>IF(ISERROR(H24/D24),0,(H24/D24))</f>
        <v>-1.6666666666666665</v>
      </c>
      <c r="J24" s="23">
        <f t="shared" si="5"/>
        <v>1.113062370665318E-3</v>
      </c>
      <c r="K24" s="108">
        <f t="shared" si="4"/>
        <v>1.129185662307782E-3</v>
      </c>
    </row>
    <row r="25" spans="1:11" s="1" customFormat="1" x14ac:dyDescent="0.2">
      <c r="A25" s="110" t="s">
        <v>72</v>
      </c>
      <c r="B25" s="74"/>
      <c r="C25" s="35"/>
      <c r="D25" s="35">
        <f>SUM(D19:D24)</f>
        <v>38.239999999999995</v>
      </c>
      <c r="E25" s="73"/>
      <c r="F25" s="35"/>
      <c r="G25" s="35">
        <f>SUM(G19:G24)</f>
        <v>39.110000000000007</v>
      </c>
      <c r="H25" s="35">
        <f t="shared" si="1"/>
        <v>0.87000000000001165</v>
      </c>
      <c r="I25" s="36">
        <f t="shared" si="2"/>
        <v>2.2751046025104912E-2</v>
      </c>
      <c r="J25" s="36">
        <f t="shared" si="5"/>
        <v>0.15547096184543069</v>
      </c>
      <c r="K25" s="111">
        <f t="shared" si="4"/>
        <v>0.15772304018877628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3.1404259743771472E-3</v>
      </c>
      <c r="K26" s="108">
        <f t="shared" si="4"/>
        <v>3.1859166900826707E-3</v>
      </c>
    </row>
    <row r="27" spans="1:11" s="1" customFormat="1" x14ac:dyDescent="0.2">
      <c r="A27" s="119" t="s">
        <v>75</v>
      </c>
      <c r="B27" s="120">
        <f>B8-B4</f>
        <v>79.799999999999955</v>
      </c>
      <c r="C27" s="121">
        <f>IF(B4&gt;B7,C13,C12)</f>
        <v>0.121</v>
      </c>
      <c r="D27" s="22">
        <f>B27*C27</f>
        <v>9.6557999999999939</v>
      </c>
      <c r="E27" s="73">
        <f>B27</f>
        <v>79.799999999999955</v>
      </c>
      <c r="F27" s="121">
        <f>C27</f>
        <v>0.121</v>
      </c>
      <c r="G27" s="22">
        <f>E27*F27</f>
        <v>9.6557999999999939</v>
      </c>
      <c r="H27" s="22">
        <f t="shared" si="1"/>
        <v>0</v>
      </c>
      <c r="I27" s="23">
        <f>IF(ISERROR(H27/D27),0,(H27/D27))</f>
        <v>0</v>
      </c>
      <c r="J27" s="23">
        <f t="shared" ref="J27:J46" si="9">G27/$G$46</f>
        <v>3.8383955852393466E-2</v>
      </c>
      <c r="K27" s="108">
        <f t="shared" ref="K27:K41" si="10">G27/$G$51</f>
        <v>3.8939967564683833E-2</v>
      </c>
    </row>
    <row r="28" spans="1:11" s="1" customFormat="1" x14ac:dyDescent="0.2">
      <c r="A28" s="119" t="s">
        <v>74</v>
      </c>
      <c r="B28" s="120">
        <f>B8-B4</f>
        <v>79.799999999999955</v>
      </c>
      <c r="C28" s="121">
        <f>0.65*C15+0.17*C16+0.18*C17</f>
        <v>0.11139</v>
      </c>
      <c r="D28" s="22">
        <f>B28*C28</f>
        <v>8.8889219999999955</v>
      </c>
      <c r="E28" s="73">
        <f>B28</f>
        <v>79.799999999999955</v>
      </c>
      <c r="F28" s="121">
        <f>C28</f>
        <v>0.11139</v>
      </c>
      <c r="G28" s="22">
        <f>E28*F28</f>
        <v>8.8889219999999955</v>
      </c>
      <c r="H28" s="22">
        <f t="shared" si="1"/>
        <v>0</v>
      </c>
      <c r="I28" s="23">
        <f>IF(ISERROR(H28/D28),0,(H28/D28))</f>
        <v>0</v>
      </c>
      <c r="J28" s="23">
        <f t="shared" si="9"/>
        <v>3.5335444978496763E-2</v>
      </c>
      <c r="K28" s="108">
        <f t="shared" si="10"/>
        <v>3.5847297413472173E-2</v>
      </c>
    </row>
    <row r="29" spans="1:11" s="1" customFormat="1" x14ac:dyDescent="0.2">
      <c r="A29" s="110" t="s">
        <v>78</v>
      </c>
      <c r="B29" s="74"/>
      <c r="C29" s="35"/>
      <c r="D29" s="35">
        <f>SUM(D25,D26:D27)</f>
        <v>48.685799999999986</v>
      </c>
      <c r="E29" s="73"/>
      <c r="F29" s="35"/>
      <c r="G29" s="35">
        <f>SUM(G25,G26:G27)</f>
        <v>49.555799999999998</v>
      </c>
      <c r="H29" s="35">
        <f t="shared" si="1"/>
        <v>0.87000000000001165</v>
      </c>
      <c r="I29" s="36">
        <f>IF(ISERROR(H29/D29),0,(H29/D29))</f>
        <v>1.7869686849143116E-2</v>
      </c>
      <c r="J29" s="36">
        <f t="shared" si="9"/>
        <v>0.19699534367220128</v>
      </c>
      <c r="K29" s="111">
        <f t="shared" si="10"/>
        <v>0.19984892444354277</v>
      </c>
    </row>
    <row r="30" spans="1:11" s="1" customFormat="1" x14ac:dyDescent="0.2">
      <c r="A30" s="110" t="s">
        <v>77</v>
      </c>
      <c r="B30" s="74"/>
      <c r="C30" s="35"/>
      <c r="D30" s="35">
        <f>SUM(D25,D26,D28)</f>
        <v>47.918921999999988</v>
      </c>
      <c r="E30" s="73"/>
      <c r="F30" s="35"/>
      <c r="G30" s="35">
        <f>SUM(G25,G26,G28)</f>
        <v>48.788921999999999</v>
      </c>
      <c r="H30" s="35">
        <f t="shared" si="1"/>
        <v>0.87000000000001165</v>
      </c>
      <c r="I30" s="36">
        <f>IF(ISERROR(H30/D30),0,(H30/D30))</f>
        <v>1.8155667191344829E-2</v>
      </c>
      <c r="J30" s="36">
        <f t="shared" si="9"/>
        <v>0.19394683279830457</v>
      </c>
      <c r="K30" s="111">
        <f t="shared" si="10"/>
        <v>0.19675625429233112</v>
      </c>
    </row>
    <row r="31" spans="1:11" x14ac:dyDescent="0.2">
      <c r="A31" s="107" t="s">
        <v>40</v>
      </c>
      <c r="B31" s="73">
        <f>B8</f>
        <v>1479.8</v>
      </c>
      <c r="C31" s="78">
        <f>VLOOKUP($B$3,'Data for Bill Impacts'!$A$3:$Y$15,15,0)</f>
        <v>6.7000000000000002E-3</v>
      </c>
      <c r="D31" s="22">
        <f>B31*C31</f>
        <v>9.9146599999999996</v>
      </c>
      <c r="E31" s="73">
        <f t="shared" si="6"/>
        <v>1479.8</v>
      </c>
      <c r="F31" s="126">
        <f>VLOOKUP($B$3,'Data for Bill Impacts'!$A$3:$Y$15,24,0)</f>
        <v>7.8279999999999999E-3</v>
      </c>
      <c r="G31" s="22">
        <f>E31*F31</f>
        <v>11.583874399999999</v>
      </c>
      <c r="H31" s="22">
        <f t="shared" si="1"/>
        <v>1.6692143999999995</v>
      </c>
      <c r="I31" s="23">
        <f t="shared" si="2"/>
        <v>0.16835820895522385</v>
      </c>
      <c r="J31" s="23">
        <f t="shared" si="9"/>
        <v>4.6048481075547452E-2</v>
      </c>
      <c r="K31" s="108">
        <f t="shared" si="10"/>
        <v>4.6715517451621995E-2</v>
      </c>
    </row>
    <row r="32" spans="1:11" x14ac:dyDescent="0.2">
      <c r="A32" s="107" t="s">
        <v>41</v>
      </c>
      <c r="B32" s="73">
        <f>B8</f>
        <v>1479.8</v>
      </c>
      <c r="C32" s="78">
        <f>VLOOKUP($B$3,'Data for Bill Impacts'!$A$3:$Y$15,16,0)</f>
        <v>4.7000000000000002E-3</v>
      </c>
      <c r="D32" s="22">
        <f>B32*C32</f>
        <v>6.9550600000000005</v>
      </c>
      <c r="E32" s="73">
        <f t="shared" si="6"/>
        <v>1479.8</v>
      </c>
      <c r="F32" s="126">
        <f>VLOOKUP($B$3,'Data for Bill Impacts'!$A$3:$Y$15,25,0)</f>
        <v>6.4380000000000001E-3</v>
      </c>
      <c r="G32" s="22">
        <f>E32*F32</f>
        <v>9.5269524000000008</v>
      </c>
      <c r="H32" s="22">
        <f t="shared" si="1"/>
        <v>2.5718924000000003</v>
      </c>
      <c r="I32" s="23">
        <f t="shared" si="2"/>
        <v>0.3697872340425532</v>
      </c>
      <c r="J32" s="23">
        <f t="shared" si="9"/>
        <v>3.7871757941284431E-2</v>
      </c>
      <c r="K32" s="108">
        <f t="shared" si="10"/>
        <v>3.8420350198459692E-2</v>
      </c>
    </row>
    <row r="33" spans="1:11" s="1" customFormat="1" x14ac:dyDescent="0.2">
      <c r="A33" s="110" t="s">
        <v>76</v>
      </c>
      <c r="B33" s="74"/>
      <c r="C33" s="35"/>
      <c r="D33" s="35">
        <f>SUM(D31:D32)</f>
        <v>16.869720000000001</v>
      </c>
      <c r="E33" s="73"/>
      <c r="F33" s="35"/>
      <c r="G33" s="35">
        <f>SUM(G31:G32)</f>
        <v>21.110826799999998</v>
      </c>
      <c r="H33" s="35">
        <f t="shared" si="1"/>
        <v>4.2411067999999972</v>
      </c>
      <c r="I33" s="36">
        <f t="shared" si="2"/>
        <v>0.25140350877192963</v>
      </c>
      <c r="J33" s="36">
        <f t="shared" si="9"/>
        <v>8.3920239016831877E-2</v>
      </c>
      <c r="K33" s="111">
        <f t="shared" si="10"/>
        <v>8.5135867650081687E-2</v>
      </c>
    </row>
    <row r="34" spans="1:11" s="1" customFormat="1" x14ac:dyDescent="0.2">
      <c r="A34" s="110" t="s">
        <v>91</v>
      </c>
      <c r="B34" s="74"/>
      <c r="C34" s="35"/>
      <c r="D34" s="35">
        <f>D29+D33</f>
        <v>65.555519999999987</v>
      </c>
      <c r="E34" s="73"/>
      <c r="F34" s="35"/>
      <c r="G34" s="35">
        <f>G29+G33</f>
        <v>70.666626799999989</v>
      </c>
      <c r="H34" s="35">
        <f t="shared" si="1"/>
        <v>5.1111068000000017</v>
      </c>
      <c r="I34" s="36">
        <f t="shared" si="2"/>
        <v>7.7966078218889928E-2</v>
      </c>
      <c r="J34" s="36">
        <f t="shared" si="9"/>
        <v>0.28091558268903311</v>
      </c>
      <c r="K34" s="111">
        <f t="shared" si="10"/>
        <v>0.28498479209362443</v>
      </c>
    </row>
    <row r="35" spans="1:11" s="1" customFormat="1" x14ac:dyDescent="0.2">
      <c r="A35" s="110" t="s">
        <v>92</v>
      </c>
      <c r="B35" s="74"/>
      <c r="C35" s="35"/>
      <c r="D35" s="35">
        <f>D30+D33</f>
        <v>64.788641999999982</v>
      </c>
      <c r="E35" s="73"/>
      <c r="F35" s="35"/>
      <c r="G35" s="35">
        <f>G30+G33</f>
        <v>69.899748799999998</v>
      </c>
      <c r="H35" s="35">
        <f t="shared" si="1"/>
        <v>5.1111068000000159</v>
      </c>
      <c r="I35" s="36">
        <f t="shared" si="2"/>
        <v>7.8888932415036847E-2</v>
      </c>
      <c r="J35" s="36">
        <f t="shared" si="9"/>
        <v>0.27786707181513648</v>
      </c>
      <c r="K35" s="111">
        <f t="shared" si="10"/>
        <v>0.28189212194241281</v>
      </c>
    </row>
    <row r="36" spans="1:11" x14ac:dyDescent="0.2">
      <c r="A36" s="107" t="s">
        <v>42</v>
      </c>
      <c r="B36" s="73">
        <f>B8</f>
        <v>1479.8</v>
      </c>
      <c r="C36" s="34">
        <v>3.5999999999999999E-3</v>
      </c>
      <c r="D36" s="22">
        <f>B36*C36</f>
        <v>5.32728</v>
      </c>
      <c r="E36" s="73">
        <f t="shared" si="6"/>
        <v>1479.8</v>
      </c>
      <c r="F36" s="34">
        <v>3.5999999999999999E-3</v>
      </c>
      <c r="G36" s="22">
        <f>E36*F36</f>
        <v>5.32728</v>
      </c>
      <c r="H36" s="22">
        <f t="shared" si="1"/>
        <v>0</v>
      </c>
      <c r="I36" s="23">
        <f t="shared" si="2"/>
        <v>0</v>
      </c>
      <c r="J36" s="23">
        <f t="shared" si="9"/>
        <v>2.1177124664278339E-2</v>
      </c>
      <c r="K36" s="108">
        <f t="shared" si="10"/>
        <v>2.1483886411067861E-2</v>
      </c>
    </row>
    <row r="37" spans="1:11" x14ac:dyDescent="0.2">
      <c r="A37" s="107" t="s">
        <v>43</v>
      </c>
      <c r="B37" s="73">
        <f>B8</f>
        <v>1479.8</v>
      </c>
      <c r="C37" s="34">
        <v>2.0999999999999999E-3</v>
      </c>
      <c r="D37" s="22">
        <f>B37*C37</f>
        <v>3.1075799999999996</v>
      </c>
      <c r="E37" s="73">
        <f t="shared" si="6"/>
        <v>1479.8</v>
      </c>
      <c r="F37" s="34">
        <v>2.0999999999999999E-3</v>
      </c>
      <c r="G37" s="22">
        <f>E37*F37</f>
        <v>3.1075799999999996</v>
      </c>
      <c r="H37" s="22">
        <f>G37-D37</f>
        <v>0</v>
      </c>
      <c r="I37" s="23">
        <f t="shared" si="2"/>
        <v>0</v>
      </c>
      <c r="J37" s="23">
        <f t="shared" si="9"/>
        <v>1.2353322720829028E-2</v>
      </c>
      <c r="K37" s="108">
        <f t="shared" si="10"/>
        <v>1.2532267073122917E-2</v>
      </c>
    </row>
    <row r="38" spans="1:11" x14ac:dyDescent="0.2">
      <c r="A38" s="107" t="s">
        <v>96</v>
      </c>
      <c r="B38" s="73">
        <f>B8</f>
        <v>1479.8</v>
      </c>
      <c r="C38" s="34">
        <v>1.1000000000000001E-3</v>
      </c>
      <c r="D38" s="22">
        <f>B38*C38</f>
        <v>1.62778</v>
      </c>
      <c r="E38" s="73">
        <f t="shared" si="6"/>
        <v>1479.8</v>
      </c>
      <c r="F38" s="34">
        <v>1.1000000000000001E-3</v>
      </c>
      <c r="G38" s="22">
        <f>E38*F38</f>
        <v>1.62778</v>
      </c>
      <c r="H38" s="22">
        <f>G38-D38</f>
        <v>0</v>
      </c>
      <c r="I38" s="23">
        <f t="shared" ref="I38" si="11">IF(ISERROR(H38/D38),0,(H38/D38))</f>
        <v>0</v>
      </c>
      <c r="J38" s="23">
        <f t="shared" ref="J38" si="12">G38/$G$46</f>
        <v>6.4707880918628254E-3</v>
      </c>
      <c r="K38" s="108">
        <f t="shared" ref="K38" si="13">G38/$G$51</f>
        <v>6.5645208478262908E-3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9.9380568809403374E-4</v>
      </c>
      <c r="K39" s="108">
        <f t="shared" si="10"/>
        <v>1.0082014842033768E-3</v>
      </c>
    </row>
    <row r="40" spans="1:11" s="1" customFormat="1" x14ac:dyDescent="0.2">
      <c r="A40" s="110" t="s">
        <v>45</v>
      </c>
      <c r="B40" s="74"/>
      <c r="C40" s="35"/>
      <c r="D40" s="35">
        <f>SUM(D36:D39)</f>
        <v>10.31264</v>
      </c>
      <c r="E40" s="73"/>
      <c r="F40" s="35"/>
      <c r="G40" s="35">
        <f>SUM(G36:G39)</f>
        <v>10.31264</v>
      </c>
      <c r="H40" s="35">
        <f t="shared" si="1"/>
        <v>0</v>
      </c>
      <c r="I40" s="36">
        <f t="shared" si="2"/>
        <v>0</v>
      </c>
      <c r="J40" s="36">
        <f t="shared" si="9"/>
        <v>4.0995041165064229E-2</v>
      </c>
      <c r="K40" s="111">
        <f t="shared" si="10"/>
        <v>4.1588875816220443E-2</v>
      </c>
    </row>
    <row r="41" spans="1:11" s="1" customFormat="1" ht="13.5" thickBot="1" x14ac:dyDescent="0.25">
      <c r="A41" s="112" t="s">
        <v>46</v>
      </c>
      <c r="B41" s="113">
        <f>B4</f>
        <v>1400</v>
      </c>
      <c r="C41" s="114">
        <v>0</v>
      </c>
      <c r="D41" s="115">
        <f>B41*C41</f>
        <v>0</v>
      </c>
      <c r="E41" s="116">
        <f t="shared" si="6"/>
        <v>1400</v>
      </c>
      <c r="F41" s="114">
        <f>C41</f>
        <v>0</v>
      </c>
      <c r="G41" s="115">
        <f>E41*F41</f>
        <v>0</v>
      </c>
      <c r="H41" s="115">
        <f t="shared" si="1"/>
        <v>0</v>
      </c>
      <c r="I41" s="117">
        <f t="shared" si="2"/>
        <v>0</v>
      </c>
      <c r="J41" s="117">
        <f t="shared" si="9"/>
        <v>0</v>
      </c>
      <c r="K41" s="118">
        <f t="shared" si="10"/>
        <v>0</v>
      </c>
    </row>
    <row r="42" spans="1:11" s="1" customFormat="1" x14ac:dyDescent="0.2">
      <c r="A42" s="37" t="s">
        <v>105</v>
      </c>
      <c r="B42" s="38"/>
      <c r="C42" s="39"/>
      <c r="D42" s="39">
        <f>SUM(D14,D25,D26,D27,D33,D40,D41)</f>
        <v>234.46815999999995</v>
      </c>
      <c r="E42" s="38"/>
      <c r="F42" s="39"/>
      <c r="G42" s="39">
        <f>SUM(G14,G25,G26,G27,G33,G40,G41)</f>
        <v>239.57926679999997</v>
      </c>
      <c r="H42" s="39">
        <f t="shared" si="1"/>
        <v>5.1111068000000159</v>
      </c>
      <c r="I42" s="40">
        <f>IF(ISERROR(H42/D42),0,(H42/D42))</f>
        <v>2.1798724398229666E-2</v>
      </c>
      <c r="J42" s="40">
        <f t="shared" si="9"/>
        <v>0.95238095238095233</v>
      </c>
      <c r="K42" s="41"/>
    </row>
    <row r="43" spans="1:11" x14ac:dyDescent="0.2">
      <c r="A43" s="154" t="s">
        <v>106</v>
      </c>
      <c r="B43" s="43"/>
      <c r="C43" s="26">
        <v>0.13</v>
      </c>
      <c r="D43" s="26">
        <f>D42*C43</f>
        <v>30.480860799999995</v>
      </c>
      <c r="E43" s="26"/>
      <c r="F43" s="26">
        <f>C43</f>
        <v>0.13</v>
      </c>
      <c r="G43" s="26">
        <f>G42*F43</f>
        <v>31.145304683999996</v>
      </c>
      <c r="H43" s="26">
        <f t="shared" si="1"/>
        <v>0.66444388400000065</v>
      </c>
      <c r="I43" s="44">
        <f t="shared" si="2"/>
        <v>2.1798724398229618E-2</v>
      </c>
      <c r="J43" s="44">
        <f t="shared" si="9"/>
        <v>0.1238095238095238</v>
      </c>
      <c r="K43" s="45"/>
    </row>
    <row r="44" spans="1:11" s="1" customFormat="1" x14ac:dyDescent="0.2">
      <c r="A44" s="46" t="s">
        <v>107</v>
      </c>
      <c r="B44" s="24"/>
      <c r="C44" s="25"/>
      <c r="D44" s="25">
        <f>SUM(D42:D43)</f>
        <v>264.94902079999997</v>
      </c>
      <c r="E44" s="25"/>
      <c r="F44" s="25"/>
      <c r="G44" s="25">
        <f>SUM(G42:G43)</f>
        <v>270.72457148399997</v>
      </c>
      <c r="H44" s="25">
        <f t="shared" si="1"/>
        <v>5.7755506839999953</v>
      </c>
      <c r="I44" s="27">
        <f t="shared" si="2"/>
        <v>2.1798724398229576E-2</v>
      </c>
      <c r="J44" s="27">
        <f t="shared" si="9"/>
        <v>1.0761904761904761</v>
      </c>
      <c r="K44" s="47"/>
    </row>
    <row r="45" spans="1:11" x14ac:dyDescent="0.2">
      <c r="A45" s="42" t="s">
        <v>108</v>
      </c>
      <c r="B45" s="43"/>
      <c r="C45" s="26">
        <v>-0.08</v>
      </c>
      <c r="D45" s="26">
        <f>D42*C45</f>
        <v>-18.757452799999996</v>
      </c>
      <c r="E45" s="26"/>
      <c r="F45" s="26">
        <f>C45</f>
        <v>-0.08</v>
      </c>
      <c r="G45" s="26">
        <f>G42*F45</f>
        <v>-19.166341343999999</v>
      </c>
      <c r="H45" s="26">
        <f t="shared" si="1"/>
        <v>-0.40888854400000341</v>
      </c>
      <c r="I45" s="44">
        <f t="shared" si="2"/>
        <v>2.1798724398229781E-2</v>
      </c>
      <c r="J45" s="44">
        <f t="shared" si="9"/>
        <v>-7.6190476190476197E-2</v>
      </c>
      <c r="K45" s="45"/>
    </row>
    <row r="46" spans="1:11" s="1" customFormat="1" ht="13.5" thickBot="1" x14ac:dyDescent="0.25">
      <c r="A46" s="48" t="s">
        <v>109</v>
      </c>
      <c r="B46" s="49"/>
      <c r="C46" s="50"/>
      <c r="D46" s="50">
        <f>SUM(D44:D45)</f>
        <v>246.19156799999996</v>
      </c>
      <c r="E46" s="50"/>
      <c r="F46" s="50"/>
      <c r="G46" s="50">
        <f>SUM(G44:G45)</f>
        <v>251.55823013999998</v>
      </c>
      <c r="H46" s="50">
        <f t="shared" si="1"/>
        <v>5.3666621400000167</v>
      </c>
      <c r="I46" s="51">
        <f t="shared" si="2"/>
        <v>2.1798724398229663E-2</v>
      </c>
      <c r="J46" s="51">
        <f t="shared" si="9"/>
        <v>1</v>
      </c>
      <c r="K46" s="52"/>
    </row>
    <row r="47" spans="1:11" x14ac:dyDescent="0.2">
      <c r="A47" s="53" t="s">
        <v>110</v>
      </c>
      <c r="B47" s="54"/>
      <c r="C47" s="55"/>
      <c r="D47" s="55">
        <f>SUM(D18,D25,D26,D28,D33,D40,D41)</f>
        <v>231.04728199999997</v>
      </c>
      <c r="E47" s="55"/>
      <c r="F47" s="55"/>
      <c r="G47" s="55">
        <f>SUM(G18,G25,G26,G28,G33,G40,G41)</f>
        <v>236.15838879999995</v>
      </c>
      <c r="H47" s="55">
        <f>G47-D47</f>
        <v>5.1111067999999875</v>
      </c>
      <c r="I47" s="56">
        <f>IF(ISERROR(H47/D47),0,(H47/D47))</f>
        <v>2.2121475551484689E-2</v>
      </c>
      <c r="J47" s="56"/>
      <c r="K47" s="57">
        <f>G47/$G$51</f>
        <v>0.95238095238095222</v>
      </c>
    </row>
    <row r="48" spans="1:11" x14ac:dyDescent="0.2">
      <c r="A48" s="58" t="s">
        <v>106</v>
      </c>
      <c r="B48" s="59"/>
      <c r="C48" s="31">
        <v>0.13</v>
      </c>
      <c r="D48" s="31">
        <f>D47*C48</f>
        <v>30.036146659999996</v>
      </c>
      <c r="E48" s="31"/>
      <c r="F48" s="31">
        <f>C48</f>
        <v>0.13</v>
      </c>
      <c r="G48" s="31">
        <f>G47*F48</f>
        <v>30.700590543999994</v>
      </c>
      <c r="H48" s="31">
        <f>G48-D48</f>
        <v>0.6644438839999971</v>
      </c>
      <c r="I48" s="32">
        <f>IF(ISERROR(H48/D48),0,(H48/D48))</f>
        <v>2.2121475551484644E-2</v>
      </c>
      <c r="J48" s="32"/>
      <c r="K48" s="60">
        <f>G48/$G$51</f>
        <v>0.12380952380952379</v>
      </c>
    </row>
    <row r="49" spans="1:11" x14ac:dyDescent="0.2">
      <c r="A49" s="61" t="s">
        <v>111</v>
      </c>
      <c r="B49" s="29"/>
      <c r="C49" s="30"/>
      <c r="D49" s="30">
        <f>SUM(D47:D48)</f>
        <v>261.08342865999998</v>
      </c>
      <c r="E49" s="30"/>
      <c r="F49" s="30"/>
      <c r="G49" s="30">
        <f>SUM(G47:G48)</f>
        <v>266.85897934399998</v>
      </c>
      <c r="H49" s="30">
        <f>G49-D49</f>
        <v>5.7755506839999953</v>
      </c>
      <c r="I49" s="33">
        <f>IF(ISERROR(H49/D49),0,(H49/D49))</f>
        <v>2.2121475551484724E-2</v>
      </c>
      <c r="J49" s="33"/>
      <c r="K49" s="62">
        <f>G49/$G$51</f>
        <v>1.0761904761904761</v>
      </c>
    </row>
    <row r="50" spans="1:11" x14ac:dyDescent="0.2">
      <c r="A50" s="58" t="s">
        <v>108</v>
      </c>
      <c r="B50" s="59"/>
      <c r="C50" s="31">
        <v>-0.08</v>
      </c>
      <c r="D50" s="31">
        <f>D47*C50</f>
        <v>-18.483782559999998</v>
      </c>
      <c r="E50" s="31"/>
      <c r="F50" s="31">
        <f>C50</f>
        <v>-0.08</v>
      </c>
      <c r="G50" s="31">
        <f>G47*F50</f>
        <v>-18.892671103999998</v>
      </c>
      <c r="H50" s="31">
        <f>G50-D50</f>
        <v>-0.40888854399999985</v>
      </c>
      <c r="I50" s="32">
        <f>IF(ISERROR(H50/D50),0,(H50/D50))</f>
        <v>2.2121475551484734E-2</v>
      </c>
      <c r="J50" s="32"/>
      <c r="K50" s="60">
        <f>G50/$G$51</f>
        <v>-7.6190476190476183E-2</v>
      </c>
    </row>
    <row r="51" spans="1:11" ht="13.5" thickBot="1" x14ac:dyDescent="0.25">
      <c r="A51" s="63" t="s">
        <v>121</v>
      </c>
      <c r="B51" s="64"/>
      <c r="C51" s="65"/>
      <c r="D51" s="65">
        <f>SUM(D49:D50)</f>
        <v>242.59964609999997</v>
      </c>
      <c r="E51" s="65"/>
      <c r="F51" s="65"/>
      <c r="G51" s="65">
        <f>SUM(G49:G50)</f>
        <v>247.96630823999999</v>
      </c>
      <c r="H51" s="65">
        <f>G51-D51</f>
        <v>5.3666621400000167</v>
      </c>
      <c r="I51" s="66">
        <f>IF(ISERROR(H51/D51),0,(H51/D51))</f>
        <v>2.2121475551484811E-2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98</v>
      </c>
      <c r="B1" s="192"/>
      <c r="C1" s="192"/>
      <c r="D1" s="192"/>
      <c r="E1" s="192"/>
      <c r="F1" s="192"/>
      <c r="G1" s="192"/>
      <c r="H1" s="192"/>
      <c r="I1" s="192"/>
      <c r="J1" s="192"/>
      <c r="K1" s="193"/>
    </row>
    <row r="3" spans="1:11" x14ac:dyDescent="0.2">
      <c r="A3" s="13" t="s">
        <v>13</v>
      </c>
      <c r="B3" s="13" t="s">
        <v>1</v>
      </c>
    </row>
    <row r="4" spans="1:11" x14ac:dyDescent="0.2">
      <c r="A4" s="15" t="s">
        <v>62</v>
      </c>
      <c r="B4" s="15">
        <v>400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69">
        <f>B4*B6</f>
        <v>430.40000000000003</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400</v>
      </c>
      <c r="C12" s="103">
        <v>0.10299999999999999</v>
      </c>
      <c r="D12" s="104">
        <f>B12*C12</f>
        <v>41.199999999999996</v>
      </c>
      <c r="E12" s="102">
        <f>B12</f>
        <v>400</v>
      </c>
      <c r="F12" s="103">
        <f>C12</f>
        <v>0.10299999999999999</v>
      </c>
      <c r="G12" s="104">
        <f>E12*F12</f>
        <v>41.199999999999996</v>
      </c>
      <c r="H12" s="104">
        <f>G12-D12</f>
        <v>0</v>
      </c>
      <c r="I12" s="105">
        <f>IF(ISERROR(H12/D12),0,(H12/D12))</f>
        <v>0</v>
      </c>
      <c r="J12" s="105">
        <f>G12/$G$46</f>
        <v>0.38963021914057144</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41.199999999999996</v>
      </c>
      <c r="E14" s="76"/>
      <c r="F14" s="25"/>
      <c r="G14" s="25">
        <f>SUM(G12:G13)</f>
        <v>41.199999999999996</v>
      </c>
      <c r="H14" s="25">
        <f t="shared" si="1"/>
        <v>0</v>
      </c>
      <c r="I14" s="27">
        <f t="shared" si="2"/>
        <v>0</v>
      </c>
      <c r="J14" s="27">
        <f>G14/$G$46</f>
        <v>0.38963021914057144</v>
      </c>
      <c r="K14" s="108"/>
    </row>
    <row r="15" spans="1:11" s="1" customFormat="1" x14ac:dyDescent="0.2">
      <c r="A15" s="109" t="s">
        <v>34</v>
      </c>
      <c r="B15" s="75">
        <f>B4*0.65</f>
        <v>260</v>
      </c>
      <c r="C15" s="28">
        <v>8.6999999999999994E-2</v>
      </c>
      <c r="D15" s="22">
        <f>B15*C15</f>
        <v>22.619999999999997</v>
      </c>
      <c r="E15" s="73">
        <f t="shared" ref="E15:F17" si="3">B15</f>
        <v>260</v>
      </c>
      <c r="F15" s="28">
        <f t="shared" si="3"/>
        <v>8.6999999999999994E-2</v>
      </c>
      <c r="G15" s="22">
        <f>E15*F15</f>
        <v>22.619999999999997</v>
      </c>
      <c r="H15" s="22">
        <f t="shared" si="1"/>
        <v>0</v>
      </c>
      <c r="I15" s="23">
        <f t="shared" si="2"/>
        <v>0</v>
      </c>
      <c r="J15" s="23"/>
      <c r="K15" s="108">
        <f t="shared" ref="K15:K26" si="4">G15/$G$51</f>
        <v>0.20651330609491847</v>
      </c>
    </row>
    <row r="16" spans="1:11" s="1" customFormat="1" x14ac:dyDescent="0.2">
      <c r="A16" s="109" t="s">
        <v>35</v>
      </c>
      <c r="B16" s="75">
        <f>B4*0.17</f>
        <v>68</v>
      </c>
      <c r="C16" s="28">
        <v>0.13200000000000001</v>
      </c>
      <c r="D16" s="22">
        <f>B16*C16</f>
        <v>8.9760000000000009</v>
      </c>
      <c r="E16" s="73">
        <f t="shared" si="3"/>
        <v>68</v>
      </c>
      <c r="F16" s="28">
        <f t="shared" si="3"/>
        <v>0.13200000000000001</v>
      </c>
      <c r="G16" s="22">
        <f>E16*F16</f>
        <v>8.9760000000000009</v>
      </c>
      <c r="H16" s="22">
        <f t="shared" si="1"/>
        <v>0</v>
      </c>
      <c r="I16" s="23">
        <f t="shared" si="2"/>
        <v>0</v>
      </c>
      <c r="J16" s="23"/>
      <c r="K16" s="108">
        <f t="shared" si="4"/>
        <v>8.1947985654641398E-2</v>
      </c>
    </row>
    <row r="17" spans="1:11" s="1" customFormat="1" x14ac:dyDescent="0.2">
      <c r="A17" s="109" t="s">
        <v>36</v>
      </c>
      <c r="B17" s="75">
        <f>B4*0.18</f>
        <v>72</v>
      </c>
      <c r="C17" s="28">
        <v>0.18</v>
      </c>
      <c r="D17" s="22">
        <f>B17*C17</f>
        <v>12.959999999999999</v>
      </c>
      <c r="E17" s="73">
        <f t="shared" si="3"/>
        <v>72</v>
      </c>
      <c r="F17" s="28">
        <f t="shared" si="3"/>
        <v>0.18</v>
      </c>
      <c r="G17" s="22">
        <f>E17*F17</f>
        <v>12.959999999999999</v>
      </c>
      <c r="H17" s="22">
        <f t="shared" si="1"/>
        <v>0</v>
      </c>
      <c r="I17" s="23">
        <f t="shared" si="2"/>
        <v>0</v>
      </c>
      <c r="J17" s="23"/>
      <c r="K17" s="108">
        <f t="shared" si="4"/>
        <v>0.11832062099868008</v>
      </c>
    </row>
    <row r="18" spans="1:11" s="1" customFormat="1" x14ac:dyDescent="0.2">
      <c r="A18" s="61" t="s">
        <v>37</v>
      </c>
      <c r="B18" s="29"/>
      <c r="C18" s="30"/>
      <c r="D18" s="30">
        <f>SUM(D15:D17)</f>
        <v>44.555999999999997</v>
      </c>
      <c r="E18" s="77"/>
      <c r="F18" s="30"/>
      <c r="G18" s="30">
        <f>SUM(G15:G17)</f>
        <v>44.555999999999997</v>
      </c>
      <c r="H18" s="31">
        <f t="shared" si="1"/>
        <v>0</v>
      </c>
      <c r="I18" s="32">
        <f t="shared" si="2"/>
        <v>0</v>
      </c>
      <c r="J18" s="33">
        <f t="shared" ref="J18:J26" si="5">G18/$G$46</f>
        <v>0.42136805932105098</v>
      </c>
      <c r="K18" s="62">
        <f t="shared" si="4"/>
        <v>0.40678191274823994</v>
      </c>
    </row>
    <row r="19" spans="1:11" x14ac:dyDescent="0.2">
      <c r="A19" s="107" t="s">
        <v>38</v>
      </c>
      <c r="B19" s="73">
        <v>1</v>
      </c>
      <c r="C19" s="78">
        <f>VLOOKUP($B$3,'Data for Bill Impacts'!$A$3:$Y$15,7,0)</f>
        <v>33.770000000000003</v>
      </c>
      <c r="D19" s="22">
        <f>B19*C19</f>
        <v>33.770000000000003</v>
      </c>
      <c r="E19" s="73">
        <f t="shared" ref="E19:E41" si="6">B19</f>
        <v>1</v>
      </c>
      <c r="F19" s="78">
        <f>VLOOKUP($B$3,'Data for Bill Impacts'!$A$3:$Y$15,17,0)</f>
        <v>37.83</v>
      </c>
      <c r="G19" s="22">
        <f>E19*F19</f>
        <v>37.83</v>
      </c>
      <c r="H19" s="22">
        <f t="shared" si="1"/>
        <v>4.0599999999999952</v>
      </c>
      <c r="I19" s="23">
        <f t="shared" si="2"/>
        <v>0.12022505182114288</v>
      </c>
      <c r="J19" s="23">
        <f t="shared" si="5"/>
        <v>0.35775998034193734</v>
      </c>
      <c r="K19" s="108">
        <f t="shared" si="4"/>
        <v>0.34537570157253605</v>
      </c>
    </row>
    <row r="20" spans="1:11" hidden="1" x14ac:dyDescent="0.2">
      <c r="A20" s="107" t="s">
        <v>113</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0.82</v>
      </c>
      <c r="D21" s="22">
        <f t="shared" si="7"/>
        <v>0.82</v>
      </c>
      <c r="E21" s="73">
        <f t="shared" si="6"/>
        <v>1</v>
      </c>
      <c r="F21" s="122">
        <f>VLOOKUP($B$3,'Data for Bill Impacts'!$A$3:$Y$15,22,0)</f>
        <v>0</v>
      </c>
      <c r="G21" s="22">
        <f t="shared" si="8"/>
        <v>0</v>
      </c>
      <c r="H21" s="22">
        <f t="shared" si="1"/>
        <v>-0.82</v>
      </c>
      <c r="I21" s="23">
        <f t="shared" si="2"/>
        <v>-1</v>
      </c>
      <c r="J21" s="23">
        <f t="shared" si="5"/>
        <v>0</v>
      </c>
      <c r="K21" s="108">
        <f t="shared" si="4"/>
        <v>0</v>
      </c>
    </row>
    <row r="22" spans="1:11" hidden="1" x14ac:dyDescent="0.2">
      <c r="A22" s="107" t="s">
        <v>123</v>
      </c>
      <c r="B22" s="73">
        <f>B4</f>
        <v>400</v>
      </c>
      <c r="C22" s="78">
        <v>0</v>
      </c>
      <c r="D22" s="22">
        <f>B22*C22</f>
        <v>0</v>
      </c>
      <c r="E22" s="73">
        <f>B22</f>
        <v>400</v>
      </c>
      <c r="F22" s="78">
        <f>C22</f>
        <v>0</v>
      </c>
      <c r="G22" s="22">
        <f>E22*F22</f>
        <v>0</v>
      </c>
      <c r="H22" s="22">
        <f>G22-D22</f>
        <v>0</v>
      </c>
      <c r="I22" s="23">
        <f>IF(ISERROR(H22/D22),0,(H22/D22))</f>
        <v>0</v>
      </c>
      <c r="J22" s="23">
        <f t="shared" si="5"/>
        <v>0</v>
      </c>
      <c r="K22" s="108">
        <f t="shared" si="4"/>
        <v>0</v>
      </c>
    </row>
    <row r="23" spans="1:11" x14ac:dyDescent="0.2">
      <c r="A23" s="107" t="s">
        <v>39</v>
      </c>
      <c r="B23" s="73">
        <f>IF($B$9="kWh",$B$4,$B$5)</f>
        <v>400</v>
      </c>
      <c r="C23" s="78">
        <f>VLOOKUP($B$3,'Data for Bill Impacts'!$A$3:$Y$15,10,0)</f>
        <v>2.3E-2</v>
      </c>
      <c r="D23" s="22">
        <f>B23*C23</f>
        <v>9.1999999999999993</v>
      </c>
      <c r="E23" s="73">
        <f t="shared" si="6"/>
        <v>400</v>
      </c>
      <c r="F23" s="126">
        <f>VLOOKUP($B$3,'Data for Bill Impacts'!$A$3:$Y$15,19,0)</f>
        <v>2.1999999999999999E-2</v>
      </c>
      <c r="G23" s="22">
        <f>E23*F23</f>
        <v>8.7999999999999989</v>
      </c>
      <c r="H23" s="22">
        <f t="shared" si="1"/>
        <v>-0.40000000000000036</v>
      </c>
      <c r="I23" s="23">
        <f t="shared" si="2"/>
        <v>-4.3478260869565258E-2</v>
      </c>
      <c r="J23" s="23">
        <f t="shared" si="5"/>
        <v>8.3221988554296814E-2</v>
      </c>
      <c r="K23" s="108">
        <f t="shared" si="4"/>
        <v>8.0341162406511166E-2</v>
      </c>
    </row>
    <row r="24" spans="1:11" x14ac:dyDescent="0.2">
      <c r="A24" s="107" t="s">
        <v>124</v>
      </c>
      <c r="B24" s="73">
        <f>IF($B$9="kWh",$B$4,$B$5)</f>
        <v>400</v>
      </c>
      <c r="C24" s="126">
        <f>VLOOKUP($B$3,'Data for Bill Impacts'!$A$3:$Y$15,14,0)</f>
        <v>-2.0000000000000001E-4</v>
      </c>
      <c r="D24" s="22">
        <f>B24*C24</f>
        <v>-0.08</v>
      </c>
      <c r="E24" s="73">
        <f>B24</f>
        <v>400</v>
      </c>
      <c r="F24" s="126">
        <f>VLOOKUP($B$3,'Data for Bill Impacts'!$A$3:$Y$15,23,0)</f>
        <v>2.0000000000000001E-4</v>
      </c>
      <c r="G24" s="22">
        <f>E24*F24</f>
        <v>0.08</v>
      </c>
      <c r="H24" s="22">
        <f>G24-D24</f>
        <v>0.16</v>
      </c>
      <c r="I24" s="23">
        <f>IF(ISERROR(H24/D24),0,(H24/D24))</f>
        <v>-2</v>
      </c>
      <c r="J24" s="23">
        <f t="shared" si="5"/>
        <v>7.5656353231178929E-4</v>
      </c>
      <c r="K24" s="108">
        <f t="shared" si="4"/>
        <v>7.3037420369555608E-4</v>
      </c>
    </row>
    <row r="25" spans="1:11" s="1" customFormat="1" x14ac:dyDescent="0.2">
      <c r="A25" s="110" t="s">
        <v>72</v>
      </c>
      <c r="B25" s="74"/>
      <c r="C25" s="35"/>
      <c r="D25" s="35">
        <f>SUM(D19:D24)</f>
        <v>43.710000000000008</v>
      </c>
      <c r="E25" s="73"/>
      <c r="F25" s="35"/>
      <c r="G25" s="35">
        <f>SUM(G19:G24)</f>
        <v>46.709999999999994</v>
      </c>
      <c r="H25" s="35">
        <f t="shared" si="1"/>
        <v>2.9999999999999858</v>
      </c>
      <c r="I25" s="36">
        <f t="shared" si="2"/>
        <v>6.8634179821550789E-2</v>
      </c>
      <c r="J25" s="36">
        <f t="shared" si="5"/>
        <v>0.44173853242854588</v>
      </c>
      <c r="K25" s="111">
        <f t="shared" si="4"/>
        <v>0.42644723818274277</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7.4710648815789196E-3</v>
      </c>
      <c r="K26" s="108">
        <f t="shared" si="4"/>
        <v>7.2124452614936172E-3</v>
      </c>
    </row>
    <row r="27" spans="1:11" s="1" customFormat="1" x14ac:dyDescent="0.2">
      <c r="A27" s="119" t="s">
        <v>75</v>
      </c>
      <c r="B27" s="120">
        <f>B8-B4</f>
        <v>30.400000000000034</v>
      </c>
      <c r="C27" s="121">
        <f>IF(B4&gt;B7,C13,C12)</f>
        <v>0.10299999999999999</v>
      </c>
      <c r="D27" s="22">
        <f>B27*C27</f>
        <v>3.1312000000000033</v>
      </c>
      <c r="E27" s="73">
        <f>B27</f>
        <v>30.400000000000034</v>
      </c>
      <c r="F27" s="121">
        <f>C27</f>
        <v>0.10299999999999999</v>
      </c>
      <c r="G27" s="22">
        <f>E27*F27</f>
        <v>3.1312000000000033</v>
      </c>
      <c r="H27" s="22">
        <f t="shared" si="1"/>
        <v>0</v>
      </c>
      <c r="I27" s="23">
        <f>IF(ISERROR(H27/D27),0,(H27/D27))</f>
        <v>0</v>
      </c>
      <c r="J27" s="23">
        <f t="shared" ref="J27:J46" si="9">G27/$G$46</f>
        <v>2.9611896654683462E-2</v>
      </c>
      <c r="K27" s="108">
        <f t="shared" ref="K27:K41" si="10">G27/$G$51</f>
        <v>2.8586846332644095E-2</v>
      </c>
    </row>
    <row r="28" spans="1:11" s="1" customFormat="1" x14ac:dyDescent="0.2">
      <c r="A28" s="119" t="s">
        <v>74</v>
      </c>
      <c r="B28" s="120">
        <f>B8-B4</f>
        <v>30.400000000000034</v>
      </c>
      <c r="C28" s="121">
        <f>0.65*C15+0.17*C16+0.18*C17</f>
        <v>0.11139</v>
      </c>
      <c r="D28" s="22">
        <f>B28*C28</f>
        <v>3.3862560000000039</v>
      </c>
      <c r="E28" s="73">
        <f>B28</f>
        <v>30.400000000000034</v>
      </c>
      <c r="F28" s="121">
        <f>C28</f>
        <v>0.11139</v>
      </c>
      <c r="G28" s="22">
        <f>E28*F28</f>
        <v>3.3862560000000039</v>
      </c>
      <c r="H28" s="22">
        <f t="shared" si="1"/>
        <v>0</v>
      </c>
      <c r="I28" s="23">
        <f>IF(ISERROR(H28/D28),0,(H28/D28))</f>
        <v>0</v>
      </c>
      <c r="J28" s="23">
        <f t="shared" si="9"/>
        <v>3.2023972508399917E-2</v>
      </c>
      <c r="K28" s="108">
        <f t="shared" si="10"/>
        <v>3.0915425368866274E-2</v>
      </c>
    </row>
    <row r="29" spans="1:11" s="1" customFormat="1" x14ac:dyDescent="0.2">
      <c r="A29" s="110" t="s">
        <v>78</v>
      </c>
      <c r="B29" s="74"/>
      <c r="C29" s="35"/>
      <c r="D29" s="35">
        <f>SUM(D25,D26:D27)</f>
        <v>47.631200000000007</v>
      </c>
      <c r="E29" s="73"/>
      <c r="F29" s="35"/>
      <c r="G29" s="35">
        <f>SUM(G25,G26:G27)</f>
        <v>50.631199999999993</v>
      </c>
      <c r="H29" s="35">
        <f t="shared" si="1"/>
        <v>2.9999999999999858</v>
      </c>
      <c r="I29" s="36">
        <f>IF(ISERROR(H29/D29),0,(H29/D29))</f>
        <v>6.2983926501956389E-2</v>
      </c>
      <c r="J29" s="36">
        <f t="shared" si="9"/>
        <v>0.47882149396480822</v>
      </c>
      <c r="K29" s="111">
        <f t="shared" si="10"/>
        <v>0.46224652977688041</v>
      </c>
    </row>
    <row r="30" spans="1:11" s="1" customFormat="1" x14ac:dyDescent="0.2">
      <c r="A30" s="110" t="s">
        <v>77</v>
      </c>
      <c r="B30" s="74"/>
      <c r="C30" s="35"/>
      <c r="D30" s="35">
        <f>SUM(D25,D26,D28)</f>
        <v>47.88625600000001</v>
      </c>
      <c r="E30" s="73"/>
      <c r="F30" s="35"/>
      <c r="G30" s="35">
        <f>SUM(G25,G26,G28)</f>
        <v>50.886255999999996</v>
      </c>
      <c r="H30" s="35">
        <f t="shared" si="1"/>
        <v>2.9999999999999858</v>
      </c>
      <c r="I30" s="36">
        <f>IF(ISERROR(H30/D30),0,(H30/D30))</f>
        <v>6.2648455957801025E-2</v>
      </c>
      <c r="J30" s="36">
        <f t="shared" si="9"/>
        <v>0.48123356981852472</v>
      </c>
      <c r="K30" s="111">
        <f t="shared" si="10"/>
        <v>0.46457510881310266</v>
      </c>
    </row>
    <row r="31" spans="1:11" x14ac:dyDescent="0.2">
      <c r="A31" s="107" t="s">
        <v>40</v>
      </c>
      <c r="B31" s="73">
        <f>B8</f>
        <v>430.40000000000003</v>
      </c>
      <c r="C31" s="78">
        <f>VLOOKUP($B$3,'Data for Bill Impacts'!$A$3:$Y$15,15,0)</f>
        <v>6.4000000000000003E-3</v>
      </c>
      <c r="D31" s="22">
        <f>B31*C31</f>
        <v>2.7545600000000006</v>
      </c>
      <c r="E31" s="73">
        <f t="shared" si="6"/>
        <v>430.40000000000003</v>
      </c>
      <c r="F31" s="126">
        <f>VLOOKUP($B$3,'Data for Bill Impacts'!$A$3:$Y$15,24,0)</f>
        <v>7.2069999999999999E-3</v>
      </c>
      <c r="G31" s="22">
        <f>E31*F31</f>
        <v>3.1018928000000003</v>
      </c>
      <c r="H31" s="22">
        <f t="shared" si="1"/>
        <v>0.34733279999999978</v>
      </c>
      <c r="I31" s="23">
        <f t="shared" si="2"/>
        <v>0.12609374999999989</v>
      </c>
      <c r="J31" s="23">
        <f t="shared" si="9"/>
        <v>2.9334737170256333E-2</v>
      </c>
      <c r="K31" s="108">
        <f t="shared" si="10"/>
        <v>2.8319281046862238E-2</v>
      </c>
    </row>
    <row r="32" spans="1:11" x14ac:dyDescent="0.2">
      <c r="A32" s="107" t="s">
        <v>41</v>
      </c>
      <c r="B32" s="73">
        <f>B8</f>
        <v>430.40000000000003</v>
      </c>
      <c r="C32" s="78">
        <f>VLOOKUP($B$3,'Data for Bill Impacts'!$A$3:$Y$15,16,0)</f>
        <v>4.7000000000000002E-3</v>
      </c>
      <c r="D32" s="22">
        <f>B32*C32</f>
        <v>2.0228800000000002</v>
      </c>
      <c r="E32" s="73">
        <f t="shared" si="6"/>
        <v>430.40000000000003</v>
      </c>
      <c r="F32" s="126">
        <f>VLOOKUP($B$3,'Data for Bill Impacts'!$A$3:$Y$15,25,0)</f>
        <v>6.0319999999999992E-3</v>
      </c>
      <c r="G32" s="22">
        <f>E32*F32</f>
        <v>2.5961727999999997</v>
      </c>
      <c r="H32" s="22">
        <f t="shared" si="1"/>
        <v>0.57329279999999949</v>
      </c>
      <c r="I32" s="23">
        <f t="shared" si="2"/>
        <v>0.28340425531914865</v>
      </c>
      <c r="J32" s="23">
        <f t="shared" si="9"/>
        <v>2.4552120800747354E-2</v>
      </c>
      <c r="K32" s="108">
        <f t="shared" si="10"/>
        <v>2.3702220518200777E-2</v>
      </c>
    </row>
    <row r="33" spans="1:11" s="1" customFormat="1" x14ac:dyDescent="0.2">
      <c r="A33" s="110" t="s">
        <v>76</v>
      </c>
      <c r="B33" s="74"/>
      <c r="C33" s="35"/>
      <c r="D33" s="35">
        <f>SUM(D31:D32)</f>
        <v>4.7774400000000004</v>
      </c>
      <c r="E33" s="73"/>
      <c r="F33" s="35"/>
      <c r="G33" s="35">
        <f>SUM(G31:G32)</f>
        <v>5.6980655999999996</v>
      </c>
      <c r="H33" s="35">
        <f t="shared" si="1"/>
        <v>0.92062559999999927</v>
      </c>
      <c r="I33" s="36">
        <f t="shared" si="2"/>
        <v>0.19270270270270254</v>
      </c>
      <c r="J33" s="36">
        <f t="shared" si="9"/>
        <v>5.3886857971003684E-2</v>
      </c>
      <c r="K33" s="111">
        <f t="shared" si="10"/>
        <v>5.2021501565063008E-2</v>
      </c>
    </row>
    <row r="34" spans="1:11" s="1" customFormat="1" x14ac:dyDescent="0.2">
      <c r="A34" s="110" t="s">
        <v>91</v>
      </c>
      <c r="B34" s="74"/>
      <c r="C34" s="35"/>
      <c r="D34" s="35">
        <f>D29+D33</f>
        <v>52.408640000000005</v>
      </c>
      <c r="E34" s="73"/>
      <c r="F34" s="35"/>
      <c r="G34" s="35">
        <f>G29+G33</f>
        <v>56.329265599999992</v>
      </c>
      <c r="H34" s="35">
        <f t="shared" si="1"/>
        <v>3.9206255999999868</v>
      </c>
      <c r="I34" s="36">
        <f t="shared" si="2"/>
        <v>7.4808764356411206E-2</v>
      </c>
      <c r="J34" s="36">
        <f t="shared" si="9"/>
        <v>0.5327083519358119</v>
      </c>
      <c r="K34" s="111">
        <f t="shared" si="10"/>
        <v>0.51426803134194343</v>
      </c>
    </row>
    <row r="35" spans="1:11" s="1" customFormat="1" x14ac:dyDescent="0.2">
      <c r="A35" s="110" t="s">
        <v>92</v>
      </c>
      <c r="B35" s="74"/>
      <c r="C35" s="35"/>
      <c r="D35" s="35">
        <f>D30+D33</f>
        <v>52.663696000000009</v>
      </c>
      <c r="E35" s="73"/>
      <c r="F35" s="35"/>
      <c r="G35" s="35">
        <f>G30+G33</f>
        <v>56.584321599999996</v>
      </c>
      <c r="H35" s="35">
        <f t="shared" si="1"/>
        <v>3.9206255999999868</v>
      </c>
      <c r="I35" s="36">
        <f t="shared" si="2"/>
        <v>7.4446457384988438E-2</v>
      </c>
      <c r="J35" s="36">
        <f t="shared" si="9"/>
        <v>0.5351204277895284</v>
      </c>
      <c r="K35" s="111">
        <f t="shared" si="10"/>
        <v>0.51659661037816562</v>
      </c>
    </row>
    <row r="36" spans="1:11" x14ac:dyDescent="0.2">
      <c r="A36" s="107" t="s">
        <v>42</v>
      </c>
      <c r="B36" s="73">
        <f>B8</f>
        <v>430.40000000000003</v>
      </c>
      <c r="C36" s="34">
        <v>3.5999999999999999E-3</v>
      </c>
      <c r="D36" s="22">
        <f>B36*C36</f>
        <v>1.5494400000000002</v>
      </c>
      <c r="E36" s="73">
        <f t="shared" si="6"/>
        <v>430.40000000000003</v>
      </c>
      <c r="F36" s="34">
        <v>3.5999999999999999E-3</v>
      </c>
      <c r="G36" s="22">
        <f>E36*F36</f>
        <v>1.5494400000000002</v>
      </c>
      <c r="H36" s="22">
        <f t="shared" si="1"/>
        <v>0</v>
      </c>
      <c r="I36" s="23">
        <f t="shared" si="2"/>
        <v>0</v>
      </c>
      <c r="J36" s="23">
        <f t="shared" si="9"/>
        <v>1.4653122493814735E-2</v>
      </c>
      <c r="K36" s="108">
        <f t="shared" si="10"/>
        <v>1.4145887577175532E-2</v>
      </c>
    </row>
    <row r="37" spans="1:11" x14ac:dyDescent="0.2">
      <c r="A37" s="107" t="s">
        <v>43</v>
      </c>
      <c r="B37" s="73">
        <f>B8</f>
        <v>430.40000000000003</v>
      </c>
      <c r="C37" s="34">
        <v>2.0999999999999999E-3</v>
      </c>
      <c r="D37" s="22">
        <f>B37*C37</f>
        <v>0.90383999999999998</v>
      </c>
      <c r="E37" s="73">
        <f t="shared" si="6"/>
        <v>430.40000000000003</v>
      </c>
      <c r="F37" s="34">
        <v>2.0999999999999999E-3</v>
      </c>
      <c r="G37" s="22">
        <f>E37*F37</f>
        <v>0.90383999999999998</v>
      </c>
      <c r="H37" s="22">
        <f>G37-D37</f>
        <v>0</v>
      </c>
      <c r="I37" s="23">
        <f t="shared" si="2"/>
        <v>0</v>
      </c>
      <c r="J37" s="23">
        <f t="shared" si="9"/>
        <v>8.5476547880585941E-3</v>
      </c>
      <c r="K37" s="108">
        <f t="shared" si="10"/>
        <v>8.2517677533523928E-3</v>
      </c>
    </row>
    <row r="38" spans="1:11" x14ac:dyDescent="0.2">
      <c r="A38" s="107" t="s">
        <v>96</v>
      </c>
      <c r="B38" s="73">
        <f>B8</f>
        <v>430.40000000000003</v>
      </c>
      <c r="C38" s="34">
        <v>1.1000000000000001E-3</v>
      </c>
      <c r="D38" s="22">
        <f>B38*C38</f>
        <v>0.47344000000000008</v>
      </c>
      <c r="E38" s="73">
        <f t="shared" si="6"/>
        <v>430.40000000000003</v>
      </c>
      <c r="F38" s="34">
        <v>1.1000000000000001E-3</v>
      </c>
      <c r="G38" s="22">
        <f>E38*F38</f>
        <v>0.47344000000000008</v>
      </c>
      <c r="H38" s="22">
        <f>G38-D38</f>
        <v>0</v>
      </c>
      <c r="I38" s="23">
        <f t="shared" ref="I38" si="11">IF(ISERROR(H38/D38),0,(H38/D38))</f>
        <v>0</v>
      </c>
      <c r="J38" s="23">
        <f t="shared" ref="J38" si="12">G38/$G$46</f>
        <v>4.4773429842211694E-3</v>
      </c>
      <c r="K38" s="108">
        <f t="shared" ref="K38" si="13">G38/$G$51</f>
        <v>4.3223545374703014E-3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2.3642610384743416E-3</v>
      </c>
      <c r="K39" s="108">
        <f t="shared" si="10"/>
        <v>2.2824193865486129E-3</v>
      </c>
    </row>
    <row r="40" spans="1:11" s="1" customFormat="1" x14ac:dyDescent="0.2">
      <c r="A40" s="110" t="s">
        <v>45</v>
      </c>
      <c r="B40" s="74"/>
      <c r="C40" s="35"/>
      <c r="D40" s="35">
        <f>SUM(D36:D39)</f>
        <v>3.1767200000000004</v>
      </c>
      <c r="E40" s="73"/>
      <c r="F40" s="35"/>
      <c r="G40" s="35">
        <f>SUM(G36:G39)</f>
        <v>3.1767200000000004</v>
      </c>
      <c r="H40" s="35">
        <f t="shared" si="1"/>
        <v>0</v>
      </c>
      <c r="I40" s="36">
        <f t="shared" si="2"/>
        <v>0</v>
      </c>
      <c r="J40" s="36">
        <f t="shared" si="9"/>
        <v>3.0042381304568842E-2</v>
      </c>
      <c r="K40" s="111">
        <f t="shared" si="10"/>
        <v>2.9002429254546842E-2</v>
      </c>
    </row>
    <row r="41" spans="1:11" s="1" customFormat="1" ht="13.5" thickBot="1" x14ac:dyDescent="0.25">
      <c r="A41" s="112" t="s">
        <v>46</v>
      </c>
      <c r="B41" s="113">
        <f>B4</f>
        <v>400</v>
      </c>
      <c r="C41" s="114">
        <v>0</v>
      </c>
      <c r="D41" s="115">
        <f>B41*C41</f>
        <v>0</v>
      </c>
      <c r="E41" s="116">
        <f t="shared" si="6"/>
        <v>400</v>
      </c>
      <c r="F41" s="114">
        <f>C41</f>
        <v>0</v>
      </c>
      <c r="G41" s="115">
        <f>E41*F41</f>
        <v>0</v>
      </c>
      <c r="H41" s="115">
        <f t="shared" si="1"/>
        <v>0</v>
      </c>
      <c r="I41" s="117">
        <f t="shared" si="2"/>
        <v>0</v>
      </c>
      <c r="J41" s="117">
        <f t="shared" si="9"/>
        <v>0</v>
      </c>
      <c r="K41" s="118">
        <f t="shared" si="10"/>
        <v>0</v>
      </c>
    </row>
    <row r="42" spans="1:11" s="1" customFormat="1" x14ac:dyDescent="0.2">
      <c r="A42" s="37" t="s">
        <v>105</v>
      </c>
      <c r="B42" s="38"/>
      <c r="C42" s="39"/>
      <c r="D42" s="39">
        <f>SUM(D14,D25,D26,D27,D33,D40,D41)</f>
        <v>96.785360000000011</v>
      </c>
      <c r="E42" s="38"/>
      <c r="F42" s="39"/>
      <c r="G42" s="39">
        <f>SUM(G14,G25,G26,G27,G33,G40,G41)</f>
        <v>100.70598560000001</v>
      </c>
      <c r="H42" s="39">
        <f t="shared" si="1"/>
        <v>3.9206255999999939</v>
      </c>
      <c r="I42" s="40">
        <f>IF(ISERROR(H42/D42),0,(H42/D42))</f>
        <v>4.0508457064167488E-2</v>
      </c>
      <c r="J42" s="40">
        <f t="shared" si="9"/>
        <v>0.95238095238095233</v>
      </c>
      <c r="K42" s="41"/>
    </row>
    <row r="43" spans="1:11" x14ac:dyDescent="0.2">
      <c r="A43" s="154" t="s">
        <v>106</v>
      </c>
      <c r="B43" s="43"/>
      <c r="C43" s="26">
        <v>0.13</v>
      </c>
      <c r="D43" s="26">
        <f>D42*C43</f>
        <v>12.582096800000002</v>
      </c>
      <c r="E43" s="26"/>
      <c r="F43" s="26">
        <f>C43</f>
        <v>0.13</v>
      </c>
      <c r="G43" s="26">
        <f>G42*F43</f>
        <v>13.091778128000001</v>
      </c>
      <c r="H43" s="26">
        <f t="shared" si="1"/>
        <v>0.50968132799999921</v>
      </c>
      <c r="I43" s="44">
        <f t="shared" si="2"/>
        <v>4.0508457064167488E-2</v>
      </c>
      <c r="J43" s="44">
        <f t="shared" si="9"/>
        <v>0.12380952380952381</v>
      </c>
      <c r="K43" s="45"/>
    </row>
    <row r="44" spans="1:11" s="1" customFormat="1" x14ac:dyDescent="0.2">
      <c r="A44" s="46" t="s">
        <v>107</v>
      </c>
      <c r="B44" s="24"/>
      <c r="C44" s="25"/>
      <c r="D44" s="25">
        <f>SUM(D42:D43)</f>
        <v>109.36745680000001</v>
      </c>
      <c r="E44" s="25"/>
      <c r="F44" s="25"/>
      <c r="G44" s="25">
        <f>SUM(G42:G43)</f>
        <v>113.79776372800001</v>
      </c>
      <c r="H44" s="25">
        <f t="shared" si="1"/>
        <v>4.4303069279999931</v>
      </c>
      <c r="I44" s="27">
        <f t="shared" si="2"/>
        <v>4.0508457064167488E-2</v>
      </c>
      <c r="J44" s="27">
        <f t="shared" si="9"/>
        <v>1.0761904761904761</v>
      </c>
      <c r="K44" s="47"/>
    </row>
    <row r="45" spans="1:11" x14ac:dyDescent="0.2">
      <c r="A45" s="42" t="s">
        <v>108</v>
      </c>
      <c r="B45" s="43"/>
      <c r="C45" s="26">
        <v>-0.08</v>
      </c>
      <c r="D45" s="26">
        <f>D42*C45</f>
        <v>-7.7428288000000007</v>
      </c>
      <c r="E45" s="26"/>
      <c r="F45" s="26">
        <f>C45</f>
        <v>-0.08</v>
      </c>
      <c r="G45" s="26">
        <f>G42*F45</f>
        <v>-8.0564788480000011</v>
      </c>
      <c r="H45" s="26">
        <f t="shared" si="1"/>
        <v>-0.3136500480000004</v>
      </c>
      <c r="I45" s="44">
        <f t="shared" si="2"/>
        <v>4.0508457064167606E-2</v>
      </c>
      <c r="J45" s="44">
        <f t="shared" si="9"/>
        <v>-7.6190476190476197E-2</v>
      </c>
      <c r="K45" s="45"/>
    </row>
    <row r="46" spans="1:11" s="1" customFormat="1" ht="13.5" thickBot="1" x14ac:dyDescent="0.25">
      <c r="A46" s="48" t="s">
        <v>109</v>
      </c>
      <c r="B46" s="49"/>
      <c r="C46" s="50"/>
      <c r="D46" s="50">
        <f>SUM(D44:D45)</f>
        <v>101.62462800000002</v>
      </c>
      <c r="E46" s="50"/>
      <c r="F46" s="50"/>
      <c r="G46" s="50">
        <f>SUM(G44:G45)</f>
        <v>105.74128488000001</v>
      </c>
      <c r="H46" s="50">
        <f t="shared" si="1"/>
        <v>4.1166568799999936</v>
      </c>
      <c r="I46" s="51">
        <f t="shared" si="2"/>
        <v>4.0508457064167488E-2</v>
      </c>
      <c r="J46" s="51">
        <f t="shared" si="9"/>
        <v>1</v>
      </c>
      <c r="K46" s="52"/>
    </row>
    <row r="47" spans="1:11" x14ac:dyDescent="0.2">
      <c r="A47" s="53" t="s">
        <v>110</v>
      </c>
      <c r="B47" s="54"/>
      <c r="C47" s="55"/>
      <c r="D47" s="55">
        <f>SUM(D18,D25,D26,D28,D33,D40,D41)</f>
        <v>100.39641600000002</v>
      </c>
      <c r="E47" s="55"/>
      <c r="F47" s="55"/>
      <c r="G47" s="55">
        <f>SUM(G18,G25,G26,G28,G33,G40,G41)</f>
        <v>104.3170416</v>
      </c>
      <c r="H47" s="55">
        <f>G47-D47</f>
        <v>3.9206255999999797</v>
      </c>
      <c r="I47" s="56">
        <f>IF(ISERROR(H47/D47),0,(H47/D47))</f>
        <v>3.9051449804741824E-2</v>
      </c>
      <c r="J47" s="56"/>
      <c r="K47" s="57">
        <f>G47/$G$51</f>
        <v>0.95238095238095244</v>
      </c>
    </row>
    <row r="48" spans="1:11" x14ac:dyDescent="0.2">
      <c r="A48" s="155" t="s">
        <v>106</v>
      </c>
      <c r="B48" s="59"/>
      <c r="C48" s="31">
        <v>0.13</v>
      </c>
      <c r="D48" s="31">
        <f>D47*C48</f>
        <v>13.051534080000003</v>
      </c>
      <c r="E48" s="31"/>
      <c r="F48" s="31">
        <f>C48</f>
        <v>0.13</v>
      </c>
      <c r="G48" s="31">
        <f>G47*F48</f>
        <v>13.561215408000001</v>
      </c>
      <c r="H48" s="31">
        <f>G48-D48</f>
        <v>0.50968132799999744</v>
      </c>
      <c r="I48" s="32">
        <f>IF(ISERROR(H48/D48),0,(H48/D48))</f>
        <v>3.9051449804741831E-2</v>
      </c>
      <c r="J48" s="32"/>
      <c r="K48" s="60">
        <f>G48/$G$51</f>
        <v>0.12380952380952383</v>
      </c>
    </row>
    <row r="49" spans="1:11" x14ac:dyDescent="0.2">
      <c r="A49" s="61" t="s">
        <v>111</v>
      </c>
      <c r="B49" s="29"/>
      <c r="C49" s="30"/>
      <c r="D49" s="30">
        <f>SUM(D47:D48)</f>
        <v>113.44795008000003</v>
      </c>
      <c r="E49" s="30"/>
      <c r="F49" s="30"/>
      <c r="G49" s="30">
        <f>SUM(G47:G48)</f>
        <v>117.87825700799999</v>
      </c>
      <c r="H49" s="30">
        <f>G49-D49</f>
        <v>4.4303069279999647</v>
      </c>
      <c r="I49" s="33">
        <f>IF(ISERROR(H49/D49),0,(H49/D49))</f>
        <v>3.9051449804741713E-2</v>
      </c>
      <c r="J49" s="33"/>
      <c r="K49" s="62">
        <f>G49/$G$51</f>
        <v>1.0761904761904761</v>
      </c>
    </row>
    <row r="50" spans="1:11" x14ac:dyDescent="0.2">
      <c r="A50" s="58" t="s">
        <v>108</v>
      </c>
      <c r="B50" s="59"/>
      <c r="C50" s="31">
        <v>-0.08</v>
      </c>
      <c r="D50" s="31">
        <f>D47*C50</f>
        <v>-8.0317132800000017</v>
      </c>
      <c r="E50" s="31"/>
      <c r="F50" s="31">
        <f>C50</f>
        <v>-0.08</v>
      </c>
      <c r="G50" s="31">
        <f>G47*F50</f>
        <v>-8.3453633279999995</v>
      </c>
      <c r="H50" s="31">
        <f>G50-D50</f>
        <v>-0.31365004799999774</v>
      </c>
      <c r="I50" s="32">
        <f>IF(ISERROR(H50/D50),0,(H50/D50))</f>
        <v>3.905144980474174E-2</v>
      </c>
      <c r="J50" s="32"/>
      <c r="K50" s="60">
        <f>G50/$G$51</f>
        <v>-7.6190476190476197E-2</v>
      </c>
    </row>
    <row r="51" spans="1:11" ht="13.5" thickBot="1" x14ac:dyDescent="0.25">
      <c r="A51" s="63" t="s">
        <v>121</v>
      </c>
      <c r="B51" s="64"/>
      <c r="C51" s="65"/>
      <c r="D51" s="65">
        <f>SUM(D49:D50)</f>
        <v>105.41623680000002</v>
      </c>
      <c r="E51" s="65"/>
      <c r="F51" s="65"/>
      <c r="G51" s="65">
        <f>SUM(G49:G50)</f>
        <v>109.53289367999999</v>
      </c>
      <c r="H51" s="65">
        <f>G51-D51</f>
        <v>4.1166568799999652</v>
      </c>
      <c r="I51" s="66">
        <f>IF(ISERROR(H51/D51),0,(H51/D51))</f>
        <v>3.9051449804741699E-2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100</v>
      </c>
      <c r="B1" s="192"/>
      <c r="C1" s="192"/>
      <c r="D1" s="192"/>
      <c r="E1" s="192"/>
      <c r="F1" s="192"/>
      <c r="G1" s="192"/>
      <c r="H1" s="192"/>
      <c r="I1" s="192"/>
      <c r="J1" s="192"/>
      <c r="K1" s="193"/>
    </row>
    <row r="3" spans="1:11" x14ac:dyDescent="0.2">
      <c r="A3" s="13" t="s">
        <v>13</v>
      </c>
      <c r="B3" s="13" t="s">
        <v>1</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5">
        <f>B4*B6</f>
        <v>807</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0.37124832694170629</v>
      </c>
      <c r="K12" s="106"/>
    </row>
    <row r="13" spans="1:11" x14ac:dyDescent="0.2">
      <c r="A13" s="107" t="s">
        <v>32</v>
      </c>
      <c r="B13" s="73">
        <f>IF(B4&gt;B7,(B4)-B7,0)</f>
        <v>150</v>
      </c>
      <c r="C13" s="21">
        <v>0.121</v>
      </c>
      <c r="D13" s="22">
        <f>B13*C13</f>
        <v>18.149999999999999</v>
      </c>
      <c r="E13" s="73">
        <f t="shared" ref="E13" si="0">B13</f>
        <v>150</v>
      </c>
      <c r="F13" s="21">
        <f>C13</f>
        <v>0.121</v>
      </c>
      <c r="G13" s="22">
        <f>E13*F13</f>
        <v>18.149999999999999</v>
      </c>
      <c r="H13" s="22">
        <f t="shared" ref="H13:H46" si="1">G13-D13</f>
        <v>0</v>
      </c>
      <c r="I13" s="23">
        <f t="shared" ref="I13:I46" si="2">IF(ISERROR(H13/D13),0,(H13/D13))</f>
        <v>0</v>
      </c>
      <c r="J13" s="23">
        <f>G13/$G$46</f>
        <v>0.1090316688348215</v>
      </c>
      <c r="K13" s="108"/>
    </row>
    <row r="14" spans="1:11" s="1" customFormat="1" x14ac:dyDescent="0.2">
      <c r="A14" s="46" t="s">
        <v>33</v>
      </c>
      <c r="B14" s="24"/>
      <c r="C14" s="25"/>
      <c r="D14" s="25">
        <f>SUM(D12:D13)</f>
        <v>79.949999999999989</v>
      </c>
      <c r="E14" s="76"/>
      <c r="F14" s="25"/>
      <c r="G14" s="25">
        <f>SUM(G12:G13)</f>
        <v>79.949999999999989</v>
      </c>
      <c r="H14" s="25">
        <f t="shared" si="1"/>
        <v>0</v>
      </c>
      <c r="I14" s="27">
        <f t="shared" si="2"/>
        <v>0</v>
      </c>
      <c r="J14" s="27">
        <f>G14/$G$46</f>
        <v>0.48027999577652775</v>
      </c>
      <c r="K14" s="108"/>
    </row>
    <row r="15" spans="1:11" s="1" customFormat="1" x14ac:dyDescent="0.2">
      <c r="A15" s="109" t="s">
        <v>34</v>
      </c>
      <c r="B15" s="75">
        <f>B4*0.65</f>
        <v>487.5</v>
      </c>
      <c r="C15" s="28">
        <v>8.6999999999999994E-2</v>
      </c>
      <c r="D15" s="22">
        <f>B15*C15</f>
        <v>42.412499999999994</v>
      </c>
      <c r="E15" s="73">
        <f t="shared" ref="E15:F17" si="3">B15</f>
        <v>487.5</v>
      </c>
      <c r="F15" s="28">
        <f t="shared" si="3"/>
        <v>8.6999999999999994E-2</v>
      </c>
      <c r="G15" s="22">
        <f>E15*F15</f>
        <v>42.412499999999994</v>
      </c>
      <c r="H15" s="22">
        <f t="shared" si="1"/>
        <v>0</v>
      </c>
      <c r="I15" s="23">
        <f t="shared" si="2"/>
        <v>0</v>
      </c>
      <c r="J15" s="23"/>
      <c r="K15" s="108">
        <f t="shared" ref="K15:K26" si="4">G15/$G$51</f>
        <v>0.2499817827157266</v>
      </c>
    </row>
    <row r="16" spans="1:11" s="1" customFormat="1" x14ac:dyDescent="0.2">
      <c r="A16" s="109" t="s">
        <v>35</v>
      </c>
      <c r="B16" s="75">
        <f>B4*0.17</f>
        <v>127.50000000000001</v>
      </c>
      <c r="C16" s="28">
        <v>0.13200000000000001</v>
      </c>
      <c r="D16" s="22">
        <f>B16*C16</f>
        <v>16.830000000000002</v>
      </c>
      <c r="E16" s="73">
        <f t="shared" si="3"/>
        <v>127.50000000000001</v>
      </c>
      <c r="F16" s="28">
        <f t="shared" si="3"/>
        <v>0.13200000000000001</v>
      </c>
      <c r="G16" s="22">
        <f>E16*F16</f>
        <v>16.830000000000002</v>
      </c>
      <c r="H16" s="22">
        <f t="shared" si="1"/>
        <v>0</v>
      </c>
      <c r="I16" s="23">
        <f t="shared" si="2"/>
        <v>0</v>
      </c>
      <c r="J16" s="23"/>
      <c r="K16" s="108">
        <f t="shared" si="4"/>
        <v>9.9197015104171643E-2</v>
      </c>
    </row>
    <row r="17" spans="1:11" s="1" customFormat="1" x14ac:dyDescent="0.2">
      <c r="A17" s="109" t="s">
        <v>36</v>
      </c>
      <c r="B17" s="75">
        <f>B4*0.18</f>
        <v>135</v>
      </c>
      <c r="C17" s="28">
        <v>0.18</v>
      </c>
      <c r="D17" s="22">
        <f>B17*C17</f>
        <v>24.3</v>
      </c>
      <c r="E17" s="73">
        <f t="shared" si="3"/>
        <v>135</v>
      </c>
      <c r="F17" s="28">
        <f t="shared" si="3"/>
        <v>0.18</v>
      </c>
      <c r="G17" s="22">
        <f>E17*F17</f>
        <v>24.3</v>
      </c>
      <c r="H17" s="22">
        <f t="shared" si="1"/>
        <v>0</v>
      </c>
      <c r="I17" s="23">
        <f t="shared" si="2"/>
        <v>0</v>
      </c>
      <c r="J17" s="23"/>
      <c r="K17" s="108">
        <f t="shared" si="4"/>
        <v>0.14322563678142428</v>
      </c>
    </row>
    <row r="18" spans="1:11" s="1" customFormat="1" x14ac:dyDescent="0.2">
      <c r="A18" s="61" t="s">
        <v>37</v>
      </c>
      <c r="B18" s="29"/>
      <c r="C18" s="30"/>
      <c r="D18" s="30">
        <f>SUM(D15:D17)</f>
        <v>83.54249999999999</v>
      </c>
      <c r="E18" s="77"/>
      <c r="F18" s="30"/>
      <c r="G18" s="30">
        <f>SUM(G15:G17)</f>
        <v>83.54249999999999</v>
      </c>
      <c r="H18" s="31">
        <f t="shared" si="1"/>
        <v>0</v>
      </c>
      <c r="I18" s="32">
        <f t="shared" si="2"/>
        <v>0</v>
      </c>
      <c r="J18" s="33">
        <f t="shared" ref="J18:J26" si="5">G18/$G$46</f>
        <v>0.50186105750044485</v>
      </c>
      <c r="K18" s="62">
        <f t="shared" si="4"/>
        <v>0.49240443460132249</v>
      </c>
    </row>
    <row r="19" spans="1:11" x14ac:dyDescent="0.2">
      <c r="A19" s="107" t="s">
        <v>38</v>
      </c>
      <c r="B19" s="73">
        <v>1</v>
      </c>
      <c r="C19" s="78">
        <f>VLOOKUP($B$3,'Data for Bill Impacts'!$A$3:$Y$15,7,0)</f>
        <v>33.770000000000003</v>
      </c>
      <c r="D19" s="22">
        <f>B19*C19</f>
        <v>33.770000000000003</v>
      </c>
      <c r="E19" s="73">
        <f t="shared" ref="E19:E41" si="6">B19</f>
        <v>1</v>
      </c>
      <c r="F19" s="78">
        <f>VLOOKUP($B$3,'Data for Bill Impacts'!$A$3:$Y$15,17,0)</f>
        <v>37.83</v>
      </c>
      <c r="G19" s="22">
        <f>E19*F19</f>
        <v>37.83</v>
      </c>
      <c r="H19" s="22">
        <f t="shared" si="1"/>
        <v>4.0599999999999952</v>
      </c>
      <c r="I19" s="23">
        <f t="shared" si="2"/>
        <v>0.12022505182114288</v>
      </c>
      <c r="J19" s="23">
        <f t="shared" si="5"/>
        <v>0.22725443702596682</v>
      </c>
      <c r="K19" s="108">
        <f t="shared" si="4"/>
        <v>0.22297225676713087</v>
      </c>
    </row>
    <row r="20" spans="1:11" hidden="1" x14ac:dyDescent="0.2">
      <c r="A20" s="107" t="s">
        <v>113</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0.82</v>
      </c>
      <c r="D21" s="22">
        <f t="shared" si="7"/>
        <v>0.82</v>
      </c>
      <c r="E21" s="73">
        <f t="shared" si="6"/>
        <v>1</v>
      </c>
      <c r="F21" s="122">
        <f>VLOOKUP($B$3,'Data for Bill Impacts'!$A$3:$Y$15,22,0)</f>
        <v>0</v>
      </c>
      <c r="G21" s="22">
        <f t="shared" si="8"/>
        <v>0</v>
      </c>
      <c r="H21" s="22">
        <f t="shared" si="1"/>
        <v>-0.82</v>
      </c>
      <c r="I21" s="23">
        <f t="shared" si="2"/>
        <v>-1</v>
      </c>
      <c r="J21" s="23">
        <f t="shared" si="5"/>
        <v>0</v>
      </c>
      <c r="K21" s="108">
        <f t="shared" si="4"/>
        <v>0</v>
      </c>
    </row>
    <row r="22" spans="1:11" hidden="1" x14ac:dyDescent="0.2">
      <c r="A22" s="107" t="s">
        <v>123</v>
      </c>
      <c r="B22" s="73">
        <f>B4</f>
        <v>750</v>
      </c>
      <c r="C22" s="78">
        <v>0</v>
      </c>
      <c r="D22" s="22">
        <f>B22*C22</f>
        <v>0</v>
      </c>
      <c r="E22" s="73">
        <f>B22</f>
        <v>750</v>
      </c>
      <c r="F22" s="78">
        <f>C22</f>
        <v>0</v>
      </c>
      <c r="G22" s="22">
        <f>E22*F22</f>
        <v>0</v>
      </c>
      <c r="H22" s="22">
        <f>G22-D22</f>
        <v>0</v>
      </c>
      <c r="I22" s="23">
        <f>IF(ISERROR(H22/D22),0,(H22/D22))</f>
        <v>0</v>
      </c>
      <c r="J22" s="23">
        <f t="shared" si="5"/>
        <v>0</v>
      </c>
      <c r="K22" s="108">
        <f t="shared" si="4"/>
        <v>0</v>
      </c>
    </row>
    <row r="23" spans="1:11" x14ac:dyDescent="0.2">
      <c r="A23" s="107" t="s">
        <v>39</v>
      </c>
      <c r="B23" s="73">
        <f>IF($B$9="kWh",$B$4,$B$5)</f>
        <v>750</v>
      </c>
      <c r="C23" s="78">
        <f>VLOOKUP($B$3,'Data for Bill Impacts'!$A$3:$Y$15,10,0)</f>
        <v>2.3E-2</v>
      </c>
      <c r="D23" s="22">
        <f>B23*C23</f>
        <v>17.25</v>
      </c>
      <c r="E23" s="73">
        <f t="shared" si="6"/>
        <v>750</v>
      </c>
      <c r="F23" s="126">
        <f>VLOOKUP($B$3,'Data for Bill Impacts'!$A$3:$Y$15,19,0)</f>
        <v>2.1999999999999999E-2</v>
      </c>
      <c r="G23" s="22">
        <f>E23*F23</f>
        <v>16.5</v>
      </c>
      <c r="H23" s="22">
        <f t="shared" si="1"/>
        <v>-0.75</v>
      </c>
      <c r="I23" s="23">
        <f t="shared" si="2"/>
        <v>-4.3478260869565216E-2</v>
      </c>
      <c r="J23" s="23">
        <f t="shared" si="5"/>
        <v>9.9119698940746834E-2</v>
      </c>
      <c r="K23" s="108">
        <f t="shared" si="4"/>
        <v>9.7251975592325124E-2</v>
      </c>
    </row>
    <row r="24" spans="1:11" x14ac:dyDescent="0.2">
      <c r="A24" s="107" t="s">
        <v>124</v>
      </c>
      <c r="B24" s="73">
        <f>IF($B$9="kWh",$B$4,$B$5)</f>
        <v>750</v>
      </c>
      <c r="C24" s="126">
        <f>VLOOKUP($B$3,'Data for Bill Impacts'!$A$3:$Y$15,14,0)</f>
        <v>-2.0000000000000001E-4</v>
      </c>
      <c r="D24" s="22">
        <f>B24*C24</f>
        <v>-0.15</v>
      </c>
      <c r="E24" s="73">
        <f>B24</f>
        <v>750</v>
      </c>
      <c r="F24" s="126">
        <f>VLOOKUP($B$3,'Data for Bill Impacts'!$A$3:$Y$15,23,0)</f>
        <v>2.0000000000000001E-4</v>
      </c>
      <c r="G24" s="22">
        <f>E24*F24</f>
        <v>0.15</v>
      </c>
      <c r="H24" s="22">
        <f>G24-D24</f>
        <v>0.3</v>
      </c>
      <c r="I24" s="23">
        <f>IF(ISERROR(H24/D24),0,(H24/D24))</f>
        <v>-2</v>
      </c>
      <c r="J24" s="23">
        <f t="shared" si="5"/>
        <v>9.0108817218860753E-4</v>
      </c>
      <c r="K24" s="108">
        <f t="shared" si="4"/>
        <v>8.8410886902113748E-4</v>
      </c>
    </row>
    <row r="25" spans="1:11" s="1" customFormat="1" x14ac:dyDescent="0.2">
      <c r="A25" s="110" t="s">
        <v>72</v>
      </c>
      <c r="B25" s="74"/>
      <c r="C25" s="35"/>
      <c r="D25" s="35">
        <f>SUM(D19:D24)</f>
        <v>51.690000000000005</v>
      </c>
      <c r="E25" s="73"/>
      <c r="F25" s="35"/>
      <c r="G25" s="35">
        <f>SUM(G19:G24)</f>
        <v>54.48</v>
      </c>
      <c r="H25" s="35">
        <f t="shared" si="1"/>
        <v>2.789999999999992</v>
      </c>
      <c r="I25" s="36">
        <f t="shared" si="2"/>
        <v>5.3975623911781616E-2</v>
      </c>
      <c r="J25" s="36">
        <f t="shared" si="5"/>
        <v>0.32727522413890225</v>
      </c>
      <c r="K25" s="111">
        <f t="shared" si="4"/>
        <v>0.32110834122847715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4.7457310401933335E-3</v>
      </c>
      <c r="K26" s="108">
        <f t="shared" si="4"/>
        <v>4.6563067101779909E-3</v>
      </c>
    </row>
    <row r="27" spans="1:11" s="1" customFormat="1" x14ac:dyDescent="0.2">
      <c r="A27" s="119" t="s">
        <v>75</v>
      </c>
      <c r="B27" s="120">
        <f>B8-B4</f>
        <v>57</v>
      </c>
      <c r="C27" s="121">
        <f>IF(B4&gt;B7,C13,C12)</f>
        <v>0.121</v>
      </c>
      <c r="D27" s="22">
        <f>B27*C27</f>
        <v>6.8970000000000002</v>
      </c>
      <c r="E27" s="73">
        <f>B27</f>
        <v>57</v>
      </c>
      <c r="F27" s="121">
        <f>C27</f>
        <v>0.121</v>
      </c>
      <c r="G27" s="22">
        <f>E27*F27</f>
        <v>6.8970000000000002</v>
      </c>
      <c r="H27" s="22">
        <f t="shared" si="1"/>
        <v>0</v>
      </c>
      <c r="I27" s="23">
        <f>IF(ISERROR(H27/D27),0,(H27/D27))</f>
        <v>0</v>
      </c>
      <c r="J27" s="23">
        <f t="shared" ref="J27:J46" si="9">G27/$G$46</f>
        <v>4.1432034157232178E-2</v>
      </c>
      <c r="K27" s="108">
        <f t="shared" ref="K27:K41" si="10">G27/$G$51</f>
        <v>4.0651325797591904E-2</v>
      </c>
    </row>
    <row r="28" spans="1:11" s="1" customFormat="1" x14ac:dyDescent="0.2">
      <c r="A28" s="119" t="s">
        <v>74</v>
      </c>
      <c r="B28" s="120">
        <f>B8-B4</f>
        <v>57</v>
      </c>
      <c r="C28" s="121">
        <f>0.65*C15+0.17*C16+0.18*C17</f>
        <v>0.11139</v>
      </c>
      <c r="D28" s="22">
        <f>B28*C28</f>
        <v>6.3492300000000004</v>
      </c>
      <c r="E28" s="73">
        <f>B28</f>
        <v>57</v>
      </c>
      <c r="F28" s="121">
        <f>C28</f>
        <v>0.11139</v>
      </c>
      <c r="G28" s="22">
        <f>E28*F28</f>
        <v>6.3492300000000004</v>
      </c>
      <c r="H28" s="22">
        <f t="shared" si="1"/>
        <v>0</v>
      </c>
      <c r="I28" s="23">
        <f>IF(ISERROR(H28/D28),0,(H28/D28))</f>
        <v>0</v>
      </c>
      <c r="J28" s="23">
        <f t="shared" si="9"/>
        <v>3.8141440370033822E-2</v>
      </c>
      <c r="K28" s="108">
        <f t="shared" si="10"/>
        <v>3.7422737029700517E-2</v>
      </c>
    </row>
    <row r="29" spans="1:11" s="1" customFormat="1" x14ac:dyDescent="0.2">
      <c r="A29" s="110" t="s">
        <v>78</v>
      </c>
      <c r="B29" s="74"/>
      <c r="C29" s="35"/>
      <c r="D29" s="35">
        <f>SUM(D25,D26:D27)</f>
        <v>59.377000000000002</v>
      </c>
      <c r="E29" s="73"/>
      <c r="F29" s="35"/>
      <c r="G29" s="35">
        <f>SUM(G25,G26:G27)</f>
        <v>62.166999999999994</v>
      </c>
      <c r="H29" s="35">
        <f t="shared" si="1"/>
        <v>2.789999999999992</v>
      </c>
      <c r="I29" s="36">
        <f>IF(ISERROR(H29/D29),0,(H29/D29))</f>
        <v>4.6987890934199972E-2</v>
      </c>
      <c r="J29" s="36">
        <f t="shared" si="9"/>
        <v>0.3734529893363277</v>
      </c>
      <c r="K29" s="111">
        <f t="shared" si="10"/>
        <v>0.36641597373624701</v>
      </c>
    </row>
    <row r="30" spans="1:11" s="1" customFormat="1" x14ac:dyDescent="0.2">
      <c r="A30" s="110" t="s">
        <v>77</v>
      </c>
      <c r="B30" s="74"/>
      <c r="C30" s="35"/>
      <c r="D30" s="35">
        <f>SUM(D25,D26,D28)</f>
        <v>58.829230000000003</v>
      </c>
      <c r="E30" s="73"/>
      <c r="F30" s="35"/>
      <c r="G30" s="35">
        <f>SUM(G25,G26,G28)</f>
        <v>61.619229999999995</v>
      </c>
      <c r="H30" s="35">
        <f t="shared" si="1"/>
        <v>2.789999999999992</v>
      </c>
      <c r="I30" s="36">
        <f>IF(ISERROR(H30/D30),0,(H30/D30))</f>
        <v>4.7425404004097824E-2</v>
      </c>
      <c r="J30" s="36">
        <f t="shared" si="9"/>
        <v>0.37016239554912939</v>
      </c>
      <c r="K30" s="111">
        <f t="shared" si="10"/>
        <v>0.36318738496835562</v>
      </c>
    </row>
    <row r="31" spans="1:11" x14ac:dyDescent="0.2">
      <c r="A31" s="107" t="s">
        <v>40</v>
      </c>
      <c r="B31" s="73">
        <f>B8</f>
        <v>807</v>
      </c>
      <c r="C31" s="78">
        <f>VLOOKUP($B$3,'Data for Bill Impacts'!$A$3:$Y$15,15,0)</f>
        <v>6.4000000000000003E-3</v>
      </c>
      <c r="D31" s="22">
        <f>B31*C31</f>
        <v>5.1648000000000005</v>
      </c>
      <c r="E31" s="73">
        <f t="shared" si="6"/>
        <v>807</v>
      </c>
      <c r="F31" s="126">
        <f>VLOOKUP($B$3,'Data for Bill Impacts'!$A$3:$Y$15,24,0)</f>
        <v>7.2069999999999999E-3</v>
      </c>
      <c r="G31" s="22">
        <f>E31*F31</f>
        <v>5.8160489999999996</v>
      </c>
      <c r="H31" s="22">
        <f t="shared" si="1"/>
        <v>0.65124899999999908</v>
      </c>
      <c r="I31" s="23">
        <f t="shared" si="2"/>
        <v>0.12609374999999981</v>
      </c>
      <c r="J31" s="23">
        <f t="shared" si="9"/>
        <v>3.4938486418462519E-2</v>
      </c>
      <c r="K31" s="108">
        <f t="shared" si="10"/>
        <v>3.4280136690410114E-2</v>
      </c>
    </row>
    <row r="32" spans="1:11" x14ac:dyDescent="0.2">
      <c r="A32" s="107" t="s">
        <v>41</v>
      </c>
      <c r="B32" s="73">
        <f>B8</f>
        <v>807</v>
      </c>
      <c r="C32" s="78">
        <f>VLOOKUP($B$3,'Data for Bill Impacts'!$A$3:$Y$15,16,0)</f>
        <v>4.7000000000000002E-3</v>
      </c>
      <c r="D32" s="22">
        <f>B32*C32</f>
        <v>3.7928999999999999</v>
      </c>
      <c r="E32" s="73">
        <f t="shared" si="6"/>
        <v>807</v>
      </c>
      <c r="F32" s="126">
        <f>VLOOKUP($B$3,'Data for Bill Impacts'!$A$3:$Y$15,25,0)</f>
        <v>6.0319999999999992E-3</v>
      </c>
      <c r="G32" s="22">
        <f>E32*F32</f>
        <v>4.8678239999999997</v>
      </c>
      <c r="H32" s="22">
        <f t="shared" si="1"/>
        <v>1.0749239999999998</v>
      </c>
      <c r="I32" s="23">
        <f t="shared" si="2"/>
        <v>0.28340425531914887</v>
      </c>
      <c r="J32" s="23">
        <f t="shared" si="9"/>
        <v>2.924225753797224E-2</v>
      </c>
      <c r="K32" s="108">
        <f t="shared" si="10"/>
        <v>2.8691242474892995E-2</v>
      </c>
    </row>
    <row r="33" spans="1:11" s="1" customFormat="1" x14ac:dyDescent="0.2">
      <c r="A33" s="110" t="s">
        <v>76</v>
      </c>
      <c r="B33" s="74"/>
      <c r="C33" s="35"/>
      <c r="D33" s="35">
        <f>SUM(D31:D32)</f>
        <v>8.9577000000000009</v>
      </c>
      <c r="E33" s="73"/>
      <c r="F33" s="35"/>
      <c r="G33" s="35">
        <f>SUM(G31:G32)</f>
        <v>10.683872999999998</v>
      </c>
      <c r="H33" s="35">
        <f t="shared" si="1"/>
        <v>1.7261729999999975</v>
      </c>
      <c r="I33" s="36">
        <f t="shared" si="2"/>
        <v>0.1927027027027024</v>
      </c>
      <c r="J33" s="36">
        <f t="shared" si="9"/>
        <v>6.4180743956434749E-2</v>
      </c>
      <c r="K33" s="111">
        <f t="shared" si="10"/>
        <v>6.2971379165303112E-2</v>
      </c>
    </row>
    <row r="34" spans="1:11" s="1" customFormat="1" x14ac:dyDescent="0.2">
      <c r="A34" s="110" t="s">
        <v>91</v>
      </c>
      <c r="B34" s="74"/>
      <c r="C34" s="35"/>
      <c r="D34" s="35">
        <f>D29+D33</f>
        <v>68.334699999999998</v>
      </c>
      <c r="E34" s="73"/>
      <c r="F34" s="35"/>
      <c r="G34" s="35">
        <f>G29+G33</f>
        <v>72.850872999999993</v>
      </c>
      <c r="H34" s="35">
        <f t="shared" si="1"/>
        <v>4.5161729999999949</v>
      </c>
      <c r="I34" s="36">
        <f t="shared" si="2"/>
        <v>6.6089014805069679E-2</v>
      </c>
      <c r="J34" s="36">
        <f t="shared" si="9"/>
        <v>0.43763373329276251</v>
      </c>
      <c r="K34" s="111">
        <f t="shared" si="10"/>
        <v>0.42938735290155011</v>
      </c>
    </row>
    <row r="35" spans="1:11" s="1" customFormat="1" x14ac:dyDescent="0.2">
      <c r="A35" s="110" t="s">
        <v>92</v>
      </c>
      <c r="B35" s="74"/>
      <c r="C35" s="35"/>
      <c r="D35" s="35">
        <f>D30+D33</f>
        <v>67.786929999999998</v>
      </c>
      <c r="E35" s="73"/>
      <c r="F35" s="35"/>
      <c r="G35" s="35">
        <f>G30+G33</f>
        <v>72.303102999999993</v>
      </c>
      <c r="H35" s="35">
        <f t="shared" si="1"/>
        <v>4.5161729999999949</v>
      </c>
      <c r="I35" s="36">
        <f t="shared" si="2"/>
        <v>6.6623064357686584E-2</v>
      </c>
      <c r="J35" s="36">
        <f t="shared" si="9"/>
        <v>0.43434313950556414</v>
      </c>
      <c r="K35" s="111">
        <f t="shared" si="10"/>
        <v>0.42615876413365872</v>
      </c>
    </row>
    <row r="36" spans="1:11" x14ac:dyDescent="0.2">
      <c r="A36" s="107" t="s">
        <v>42</v>
      </c>
      <c r="B36" s="73">
        <f>B8</f>
        <v>807</v>
      </c>
      <c r="C36" s="34">
        <v>3.5999999999999999E-3</v>
      </c>
      <c r="D36" s="22">
        <f>B36*C36</f>
        <v>2.9051999999999998</v>
      </c>
      <c r="E36" s="73">
        <f t="shared" si="6"/>
        <v>807</v>
      </c>
      <c r="F36" s="34">
        <v>3.5999999999999999E-3</v>
      </c>
      <c r="G36" s="22">
        <f>E36*F36</f>
        <v>2.9051999999999998</v>
      </c>
      <c r="H36" s="22">
        <f t="shared" si="1"/>
        <v>0</v>
      </c>
      <c r="I36" s="23">
        <f t="shared" si="2"/>
        <v>0</v>
      </c>
      <c r="J36" s="23">
        <f t="shared" si="9"/>
        <v>1.7452275718948949E-2</v>
      </c>
      <c r="K36" s="108">
        <f t="shared" si="10"/>
        <v>1.712342057520139E-2</v>
      </c>
    </row>
    <row r="37" spans="1:11" x14ac:dyDescent="0.2">
      <c r="A37" s="107" t="s">
        <v>43</v>
      </c>
      <c r="B37" s="73">
        <f>B8</f>
        <v>807</v>
      </c>
      <c r="C37" s="34">
        <v>2.0999999999999999E-3</v>
      </c>
      <c r="D37" s="22">
        <f>B37*C37</f>
        <v>1.6946999999999999</v>
      </c>
      <c r="E37" s="73">
        <f t="shared" si="6"/>
        <v>807</v>
      </c>
      <c r="F37" s="34">
        <v>2.0999999999999999E-3</v>
      </c>
      <c r="G37" s="22">
        <f>E37*F37</f>
        <v>1.6946999999999999</v>
      </c>
      <c r="H37" s="22">
        <f>G37-D37</f>
        <v>0</v>
      </c>
      <c r="I37" s="23">
        <f t="shared" si="2"/>
        <v>0</v>
      </c>
      <c r="J37" s="23">
        <f t="shared" si="9"/>
        <v>1.0180494169386886E-2</v>
      </c>
      <c r="K37" s="108">
        <f t="shared" si="10"/>
        <v>9.9886620022008113E-3</v>
      </c>
    </row>
    <row r="38" spans="1:11" x14ac:dyDescent="0.2">
      <c r="A38" s="107" t="s">
        <v>96</v>
      </c>
      <c r="B38" s="73">
        <f>B8</f>
        <v>807</v>
      </c>
      <c r="C38" s="34">
        <v>1.1000000000000001E-3</v>
      </c>
      <c r="D38" s="22">
        <f>B38*C38</f>
        <v>0.88770000000000004</v>
      </c>
      <c r="E38" s="73">
        <f t="shared" si="6"/>
        <v>807</v>
      </c>
      <c r="F38" s="34">
        <v>1.1000000000000001E-3</v>
      </c>
      <c r="G38" s="22">
        <f>E38*F38</f>
        <v>0.88770000000000004</v>
      </c>
      <c r="H38" s="22">
        <f>G38-D38</f>
        <v>0</v>
      </c>
      <c r="I38" s="23">
        <f t="shared" ref="I38" si="11">IF(ISERROR(H38/D38),0,(H38/D38))</f>
        <v>0</v>
      </c>
      <c r="J38" s="23">
        <f t="shared" ref="J38" si="12">G38/$G$46</f>
        <v>5.3326398030121794E-3</v>
      </c>
      <c r="K38" s="108">
        <f t="shared" ref="K38" si="13">G38/$G$51</f>
        <v>5.2321562868670925E-3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1.501813620314346E-3</v>
      </c>
      <c r="K39" s="108">
        <f t="shared" si="10"/>
        <v>1.4735147817018959E-3</v>
      </c>
    </row>
    <row r="40" spans="1:11" s="1" customFormat="1" x14ac:dyDescent="0.2">
      <c r="A40" s="110" t="s">
        <v>45</v>
      </c>
      <c r="B40" s="74"/>
      <c r="C40" s="35"/>
      <c r="D40" s="35">
        <f>SUM(D36:D39)</f>
        <v>5.7375999999999996</v>
      </c>
      <c r="E40" s="73"/>
      <c r="F40" s="35"/>
      <c r="G40" s="35">
        <f>SUM(G36:G39)</f>
        <v>5.7375999999999996</v>
      </c>
      <c r="H40" s="35">
        <f t="shared" si="1"/>
        <v>0</v>
      </c>
      <c r="I40" s="36">
        <f t="shared" si="2"/>
        <v>0</v>
      </c>
      <c r="J40" s="36">
        <f t="shared" si="9"/>
        <v>3.4467223311662361E-2</v>
      </c>
      <c r="K40" s="111">
        <f t="shared" si="10"/>
        <v>3.3817753645971192E-2</v>
      </c>
    </row>
    <row r="41" spans="1:11" s="1" customFormat="1" ht="13.5" thickBot="1" x14ac:dyDescent="0.25">
      <c r="A41" s="112" t="s">
        <v>46</v>
      </c>
      <c r="B41" s="113">
        <f>B4</f>
        <v>750</v>
      </c>
      <c r="C41" s="114">
        <v>0</v>
      </c>
      <c r="D41" s="115">
        <f>B41*C41</f>
        <v>0</v>
      </c>
      <c r="E41" s="116">
        <f t="shared" si="6"/>
        <v>750</v>
      </c>
      <c r="F41" s="114">
        <f>C41</f>
        <v>0</v>
      </c>
      <c r="G41" s="115">
        <f>E41*F41</f>
        <v>0</v>
      </c>
      <c r="H41" s="115">
        <f t="shared" si="1"/>
        <v>0</v>
      </c>
      <c r="I41" s="117">
        <f t="shared" si="2"/>
        <v>0</v>
      </c>
      <c r="J41" s="117">
        <f t="shared" si="9"/>
        <v>0</v>
      </c>
      <c r="K41" s="118">
        <f t="shared" si="10"/>
        <v>0</v>
      </c>
    </row>
    <row r="42" spans="1:11" s="1" customFormat="1" x14ac:dyDescent="0.2">
      <c r="A42" s="37" t="s">
        <v>105</v>
      </c>
      <c r="B42" s="38"/>
      <c r="C42" s="39"/>
      <c r="D42" s="39">
        <f>SUM(D14,D25,D26,D27,D33,D40,D41)</f>
        <v>154.02229999999994</v>
      </c>
      <c r="E42" s="38"/>
      <c r="F42" s="39"/>
      <c r="G42" s="39">
        <f>SUM(G14,G25,G26,G27,G33,G40,G41)</f>
        <v>158.53847299999995</v>
      </c>
      <c r="H42" s="39">
        <f t="shared" si="1"/>
        <v>4.5161730000000091</v>
      </c>
      <c r="I42" s="40">
        <f>IF(ISERROR(H42/D42),0,(H42/D42))</f>
        <v>2.9321552788135294E-2</v>
      </c>
      <c r="J42" s="40">
        <f t="shared" si="9"/>
        <v>0.95238095238095244</v>
      </c>
      <c r="K42" s="41"/>
    </row>
    <row r="43" spans="1:11" x14ac:dyDescent="0.2">
      <c r="A43" s="154" t="s">
        <v>106</v>
      </c>
      <c r="B43" s="43"/>
      <c r="C43" s="26">
        <v>0.13</v>
      </c>
      <c r="D43" s="26">
        <f>D42*C43</f>
        <v>20.022898999999992</v>
      </c>
      <c r="E43" s="26"/>
      <c r="F43" s="26">
        <f>C43</f>
        <v>0.13</v>
      </c>
      <c r="G43" s="26">
        <f>G42*F43</f>
        <v>20.610001489999995</v>
      </c>
      <c r="H43" s="26">
        <f t="shared" si="1"/>
        <v>0.58710249000000303</v>
      </c>
      <c r="I43" s="44">
        <f t="shared" si="2"/>
        <v>2.9321552788135388E-2</v>
      </c>
      <c r="J43" s="44">
        <f t="shared" si="9"/>
        <v>0.12380952380952381</v>
      </c>
      <c r="K43" s="45"/>
    </row>
    <row r="44" spans="1:11" s="1" customFormat="1" x14ac:dyDescent="0.2">
      <c r="A44" s="46" t="s">
        <v>107</v>
      </c>
      <c r="B44" s="24"/>
      <c r="C44" s="25"/>
      <c r="D44" s="25">
        <f>SUM(D42:D43)</f>
        <v>174.04519899999994</v>
      </c>
      <c r="E44" s="25"/>
      <c r="F44" s="25"/>
      <c r="G44" s="25">
        <f>SUM(G42:G43)</f>
        <v>179.14847448999996</v>
      </c>
      <c r="H44" s="25">
        <f t="shared" si="1"/>
        <v>5.1032754900000157</v>
      </c>
      <c r="I44" s="27">
        <f t="shared" si="2"/>
        <v>2.9321552788135325E-2</v>
      </c>
      <c r="J44" s="27">
        <f t="shared" si="9"/>
        <v>1.0761904761904764</v>
      </c>
      <c r="K44" s="47"/>
    </row>
    <row r="45" spans="1:11" x14ac:dyDescent="0.2">
      <c r="A45" s="42" t="s">
        <v>108</v>
      </c>
      <c r="B45" s="43"/>
      <c r="C45" s="26">
        <v>-0.08</v>
      </c>
      <c r="D45" s="26">
        <f>D42*C45</f>
        <v>-12.321783999999996</v>
      </c>
      <c r="E45" s="26"/>
      <c r="F45" s="26">
        <f>C45</f>
        <v>-0.08</v>
      </c>
      <c r="G45" s="26">
        <f>G42*F45</f>
        <v>-12.683077839999996</v>
      </c>
      <c r="H45" s="26">
        <f t="shared" si="1"/>
        <v>-0.36129384000000009</v>
      </c>
      <c r="I45" s="44">
        <f t="shared" si="2"/>
        <v>2.9321552788135242E-2</v>
      </c>
      <c r="J45" s="44">
        <f t="shared" si="9"/>
        <v>-7.6190476190476183E-2</v>
      </c>
      <c r="K45" s="45"/>
    </row>
    <row r="46" spans="1:11" s="1" customFormat="1" ht="13.5" thickBot="1" x14ac:dyDescent="0.25">
      <c r="A46" s="48" t="s">
        <v>109</v>
      </c>
      <c r="B46" s="49"/>
      <c r="C46" s="50"/>
      <c r="D46" s="50">
        <f>SUM(D44:D45)</f>
        <v>161.72341499999993</v>
      </c>
      <c r="E46" s="50"/>
      <c r="F46" s="50"/>
      <c r="G46" s="50">
        <f>SUM(G44:G45)</f>
        <v>166.46539664999995</v>
      </c>
      <c r="H46" s="50">
        <f t="shared" si="1"/>
        <v>4.7419816500000138</v>
      </c>
      <c r="I46" s="51">
        <f t="shared" si="2"/>
        <v>2.9321552788135322E-2</v>
      </c>
      <c r="J46" s="51">
        <f t="shared" si="9"/>
        <v>1</v>
      </c>
      <c r="K46" s="52"/>
    </row>
    <row r="47" spans="1:11" x14ac:dyDescent="0.2">
      <c r="A47" s="53" t="s">
        <v>110</v>
      </c>
      <c r="B47" s="54"/>
      <c r="C47" s="55"/>
      <c r="D47" s="55">
        <f>SUM(D18,D25,D26,D28,D33,D40,D41)</f>
        <v>157.06702999999996</v>
      </c>
      <c r="E47" s="55"/>
      <c r="F47" s="55"/>
      <c r="G47" s="55">
        <f>SUM(G18,G25,G26,G28,G33,G40,G41)</f>
        <v>161.58320299999997</v>
      </c>
      <c r="H47" s="55">
        <f>G47-D47</f>
        <v>4.5161730000000091</v>
      </c>
      <c r="I47" s="56">
        <f>IF(ISERROR(H47/D47),0,(H47/D47))</f>
        <v>2.8753157171177237E-2</v>
      </c>
      <c r="J47" s="56"/>
      <c r="K47" s="57">
        <f>G47/$G$51</f>
        <v>0.95238095238095233</v>
      </c>
    </row>
    <row r="48" spans="1:11" x14ac:dyDescent="0.2">
      <c r="A48" s="58" t="s">
        <v>106</v>
      </c>
      <c r="B48" s="59"/>
      <c r="C48" s="31">
        <v>0.13</v>
      </c>
      <c r="D48" s="31">
        <f>D47*C48</f>
        <v>20.418713899999997</v>
      </c>
      <c r="E48" s="31"/>
      <c r="F48" s="31">
        <f>C48</f>
        <v>0.13</v>
      </c>
      <c r="G48" s="31">
        <f>G47*F48</f>
        <v>21.005816389999996</v>
      </c>
      <c r="H48" s="31">
        <f>G48-D48</f>
        <v>0.58710248999999948</v>
      </c>
      <c r="I48" s="32">
        <f>IF(ISERROR(H48/D48),0,(H48/D48))</f>
        <v>2.875315717117715E-2</v>
      </c>
      <c r="J48" s="32"/>
      <c r="K48" s="60">
        <f>G48/$G$51</f>
        <v>0.1238095238095238</v>
      </c>
    </row>
    <row r="49" spans="1:11" x14ac:dyDescent="0.2">
      <c r="A49" s="61" t="s">
        <v>111</v>
      </c>
      <c r="B49" s="29"/>
      <c r="C49" s="30"/>
      <c r="D49" s="30">
        <f>SUM(D47:D48)</f>
        <v>177.48574389999996</v>
      </c>
      <c r="E49" s="30"/>
      <c r="F49" s="30"/>
      <c r="G49" s="30">
        <f>SUM(G47:G48)</f>
        <v>182.58901938999998</v>
      </c>
      <c r="H49" s="30">
        <f>G49-D49</f>
        <v>5.1032754900000157</v>
      </c>
      <c r="I49" s="33">
        <f>IF(ISERROR(H49/D49),0,(H49/D49))</f>
        <v>2.8753157171177268E-2</v>
      </c>
      <c r="J49" s="33"/>
      <c r="K49" s="62">
        <f>G49/$G$51</f>
        <v>1.0761904761904761</v>
      </c>
    </row>
    <row r="50" spans="1:11" x14ac:dyDescent="0.2">
      <c r="A50" s="58" t="s">
        <v>108</v>
      </c>
      <c r="B50" s="59"/>
      <c r="C50" s="31">
        <v>-0.08</v>
      </c>
      <c r="D50" s="31">
        <f>D47*C50</f>
        <v>-12.565362399999998</v>
      </c>
      <c r="E50" s="31"/>
      <c r="F50" s="31">
        <f>C50</f>
        <v>-0.08</v>
      </c>
      <c r="G50" s="31">
        <f>G47*F50</f>
        <v>-12.926656239999998</v>
      </c>
      <c r="H50" s="31">
        <f>G50-D50</f>
        <v>-0.36129384000000009</v>
      </c>
      <c r="I50" s="32">
        <f>IF(ISERROR(H50/D50),0,(H50/D50))</f>
        <v>2.8753157171177185E-2</v>
      </c>
      <c r="J50" s="32"/>
      <c r="K50" s="60">
        <f>G50/$G$51</f>
        <v>-7.6190476190476183E-2</v>
      </c>
    </row>
    <row r="51" spans="1:11" ht="13.5" thickBot="1" x14ac:dyDescent="0.25">
      <c r="A51" s="63" t="s">
        <v>121</v>
      </c>
      <c r="B51" s="64"/>
      <c r="C51" s="65"/>
      <c r="D51" s="65">
        <f>SUM(D49:D50)</f>
        <v>164.92038149999996</v>
      </c>
      <c r="E51" s="65"/>
      <c r="F51" s="65"/>
      <c r="G51" s="65">
        <f>SUM(G49:G50)</f>
        <v>169.66236314999998</v>
      </c>
      <c r="H51" s="65">
        <f>G51-D51</f>
        <v>4.7419816500000138</v>
      </c>
      <c r="I51" s="66">
        <f>IF(ISERROR(H51/D51),0,(H51/D51))</f>
        <v>2.8753157171177261E-2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1" tint="0.499984740745262"/>
    <pageSetUpPr fitToPage="1"/>
  </sheetPr>
  <dimension ref="A1:K68"/>
  <sheetViews>
    <sheetView tabSelected="1" view="pageBreakPreview" zoomScaleNormal="100" zoomScaleSheetLayoutView="100" workbookViewId="0">
      <selection activeCell="N25" sqref="N25"/>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91" t="s">
        <v>120</v>
      </c>
      <c r="B1" s="192"/>
      <c r="C1" s="192"/>
      <c r="D1" s="192"/>
      <c r="E1" s="192"/>
      <c r="F1" s="192"/>
      <c r="G1" s="192"/>
      <c r="H1" s="192"/>
      <c r="I1" s="192"/>
      <c r="J1" s="192"/>
      <c r="K1" s="193"/>
    </row>
    <row r="3" spans="1:11" x14ac:dyDescent="0.2">
      <c r="A3" s="13" t="s">
        <v>13</v>
      </c>
      <c r="B3" s="13" t="s">
        <v>1</v>
      </c>
    </row>
    <row r="4" spans="1:11" x14ac:dyDescent="0.2">
      <c r="A4" s="15" t="s">
        <v>62</v>
      </c>
      <c r="B4" s="15">
        <f>VLOOKUP(B3,'Data for Bill Impacts'!A19:D31,3,FALSE)</f>
        <v>920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69">
        <f>B4*B6</f>
        <v>989.92000000000007</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0.3128846297208302</v>
      </c>
      <c r="K12" s="106"/>
    </row>
    <row r="13" spans="1:11" x14ac:dyDescent="0.2">
      <c r="A13" s="107" t="s">
        <v>32</v>
      </c>
      <c r="B13" s="73">
        <f>IF(B4&gt;B7,(B4)-B7,0)</f>
        <v>320</v>
      </c>
      <c r="C13" s="21">
        <v>0.121</v>
      </c>
      <c r="D13" s="22">
        <f>B13*C13</f>
        <v>38.72</v>
      </c>
      <c r="E13" s="73">
        <f t="shared" ref="E13" si="0">B13</f>
        <v>320</v>
      </c>
      <c r="F13" s="21">
        <f>C13</f>
        <v>0.121</v>
      </c>
      <c r="G13" s="22">
        <f>E13*F13</f>
        <v>38.72</v>
      </c>
      <c r="H13" s="22">
        <f t="shared" ref="H13:H46" si="1">G13-D13</f>
        <v>0</v>
      </c>
      <c r="I13" s="23">
        <f t="shared" ref="I13:I46" si="2">IF(ISERROR(H13/D13),0,(H13/D13))</f>
        <v>0</v>
      </c>
      <c r="J13" s="23">
        <f>G13/$G$46</f>
        <v>0.19603386509369816</v>
      </c>
      <c r="K13" s="108"/>
    </row>
    <row r="14" spans="1:11" s="1" customFormat="1" x14ac:dyDescent="0.2">
      <c r="A14" s="46" t="s">
        <v>33</v>
      </c>
      <c r="B14" s="24"/>
      <c r="C14" s="25"/>
      <c r="D14" s="25">
        <f>SUM(D12:D13)</f>
        <v>100.52</v>
      </c>
      <c r="E14" s="76"/>
      <c r="F14" s="25"/>
      <c r="G14" s="25">
        <f>SUM(G12:G13)</f>
        <v>100.52</v>
      </c>
      <c r="H14" s="25">
        <f t="shared" si="1"/>
        <v>0</v>
      </c>
      <c r="I14" s="27">
        <f t="shared" si="2"/>
        <v>0</v>
      </c>
      <c r="J14" s="27">
        <f>G14/$G$46</f>
        <v>0.50891849481452833</v>
      </c>
      <c r="K14" s="108"/>
    </row>
    <row r="15" spans="1:11" s="1" customFormat="1" x14ac:dyDescent="0.2">
      <c r="A15" s="109" t="s">
        <v>34</v>
      </c>
      <c r="B15" s="75">
        <f>B4*0.65</f>
        <v>598</v>
      </c>
      <c r="C15" s="28">
        <v>8.6999999999999994E-2</v>
      </c>
      <c r="D15" s="22">
        <f>B15*C15</f>
        <v>52.025999999999996</v>
      </c>
      <c r="E15" s="73">
        <f t="shared" ref="E15:F17" si="3">B15</f>
        <v>598</v>
      </c>
      <c r="F15" s="28">
        <f t="shared" si="3"/>
        <v>8.6999999999999994E-2</v>
      </c>
      <c r="G15" s="22">
        <f>E15*F15</f>
        <v>52.025999999999996</v>
      </c>
      <c r="H15" s="22">
        <f t="shared" si="1"/>
        <v>0</v>
      </c>
      <c r="I15" s="23">
        <f t="shared" si="2"/>
        <v>0</v>
      </c>
      <c r="J15" s="23"/>
      <c r="K15" s="108">
        <f t="shared" ref="K15:K26" si="4">G15/$G$51</f>
        <v>0.26161057791852887</v>
      </c>
    </row>
    <row r="16" spans="1:11" s="1" customFormat="1" x14ac:dyDescent="0.2">
      <c r="A16" s="109" t="s">
        <v>35</v>
      </c>
      <c r="B16" s="75">
        <f>B4*0.17</f>
        <v>156.4</v>
      </c>
      <c r="C16" s="28">
        <v>0.13200000000000001</v>
      </c>
      <c r="D16" s="22">
        <f>B16*C16</f>
        <v>20.6448</v>
      </c>
      <c r="E16" s="73">
        <f t="shared" si="3"/>
        <v>156.4</v>
      </c>
      <c r="F16" s="28">
        <f t="shared" si="3"/>
        <v>0.13200000000000001</v>
      </c>
      <c r="G16" s="22">
        <f>E16*F16</f>
        <v>20.6448</v>
      </c>
      <c r="H16" s="22">
        <f t="shared" si="1"/>
        <v>0</v>
      </c>
      <c r="I16" s="23">
        <f t="shared" si="2"/>
        <v>0</v>
      </c>
      <c r="J16" s="23"/>
      <c r="K16" s="108">
        <f t="shared" si="4"/>
        <v>0.10381151845255152</v>
      </c>
    </row>
    <row r="17" spans="1:11" s="1" customFormat="1" x14ac:dyDescent="0.2">
      <c r="A17" s="109" t="s">
        <v>36</v>
      </c>
      <c r="B17" s="75">
        <f>B4*0.18</f>
        <v>165.6</v>
      </c>
      <c r="C17" s="28">
        <v>0.18</v>
      </c>
      <c r="D17" s="22">
        <f>B17*C17</f>
        <v>29.807999999999996</v>
      </c>
      <c r="E17" s="73">
        <f t="shared" si="3"/>
        <v>165.6</v>
      </c>
      <c r="F17" s="28">
        <f t="shared" si="3"/>
        <v>0.18</v>
      </c>
      <c r="G17" s="22">
        <f>E17*F17</f>
        <v>29.807999999999996</v>
      </c>
      <c r="H17" s="22">
        <f t="shared" si="1"/>
        <v>0</v>
      </c>
      <c r="I17" s="23">
        <f t="shared" si="2"/>
        <v>0</v>
      </c>
      <c r="J17" s="23"/>
      <c r="K17" s="108">
        <f t="shared" si="4"/>
        <v>0.149888288674807</v>
      </c>
    </row>
    <row r="18" spans="1:11" s="1" customFormat="1" x14ac:dyDescent="0.2">
      <c r="A18" s="61" t="s">
        <v>37</v>
      </c>
      <c r="B18" s="29"/>
      <c r="C18" s="30"/>
      <c r="D18" s="30">
        <f>SUM(D15:D17)</f>
        <v>102.47879999999999</v>
      </c>
      <c r="E18" s="77"/>
      <c r="F18" s="30"/>
      <c r="G18" s="30">
        <f>SUM(G15:G17)</f>
        <v>102.47879999999999</v>
      </c>
      <c r="H18" s="31">
        <f t="shared" si="1"/>
        <v>0</v>
      </c>
      <c r="I18" s="32">
        <f t="shared" si="2"/>
        <v>0</v>
      </c>
      <c r="J18" s="33">
        <f t="shared" ref="J18:J26" si="5">G18/$G$46</f>
        <v>0.51883562123357629</v>
      </c>
      <c r="K18" s="62">
        <f t="shared" si="4"/>
        <v>0.51531038504588733</v>
      </c>
    </row>
    <row r="19" spans="1:11" x14ac:dyDescent="0.2">
      <c r="A19" s="107" t="s">
        <v>38</v>
      </c>
      <c r="B19" s="73">
        <v>1</v>
      </c>
      <c r="C19" s="78">
        <f>VLOOKUP($B$3,'Data for Bill Impacts'!$A$3:$Y$15,7,0)</f>
        <v>33.770000000000003</v>
      </c>
      <c r="D19" s="22">
        <f>B19*C19</f>
        <v>33.770000000000003</v>
      </c>
      <c r="E19" s="73">
        <f t="shared" ref="E19:E41" si="6">B19</f>
        <v>1</v>
      </c>
      <c r="F19" s="78">
        <f>VLOOKUP($B$3,'Data for Bill Impacts'!$A$3:$Y$15,17,0)</f>
        <v>37.83</v>
      </c>
      <c r="G19" s="22">
        <f>E19*F19</f>
        <v>37.83</v>
      </c>
      <c r="H19" s="22">
        <f t="shared" si="1"/>
        <v>4.0599999999999952</v>
      </c>
      <c r="I19" s="23">
        <f t="shared" si="2"/>
        <v>0.12022505182114288</v>
      </c>
      <c r="J19" s="23">
        <f t="shared" si="5"/>
        <v>0.19152792139707131</v>
      </c>
      <c r="K19" s="108">
        <f t="shared" si="4"/>
        <v>0.19022658214465743</v>
      </c>
    </row>
    <row r="20" spans="1:11" hidden="1" x14ac:dyDescent="0.2">
      <c r="A20" s="107" t="s">
        <v>113</v>
      </c>
      <c r="B20" s="73">
        <v>1</v>
      </c>
      <c r="C20" s="78">
        <v>0</v>
      </c>
      <c r="D20" s="22">
        <f t="shared" ref="D20:D21" si="7">B20*C20</f>
        <v>0</v>
      </c>
      <c r="E20" s="73">
        <f t="shared" si="6"/>
        <v>1</v>
      </c>
      <c r="F20" s="122">
        <v>0</v>
      </c>
      <c r="G20" s="22">
        <f t="shared" ref="G20:G21" si="8">E20*F20</f>
        <v>0</v>
      </c>
      <c r="H20" s="22">
        <f t="shared" si="1"/>
        <v>0</v>
      </c>
      <c r="I20" s="23">
        <f t="shared" si="2"/>
        <v>0</v>
      </c>
      <c r="J20" s="23">
        <f t="shared" si="5"/>
        <v>0</v>
      </c>
      <c r="K20" s="108">
        <f t="shared" si="4"/>
        <v>0</v>
      </c>
    </row>
    <row r="21" spans="1:11" x14ac:dyDescent="0.2">
      <c r="A21" s="107" t="s">
        <v>85</v>
      </c>
      <c r="B21" s="73">
        <v>1</v>
      </c>
      <c r="C21" s="78">
        <f>VLOOKUP($B$3,'Data for Bill Impacts'!$A$3:$Y$15,13,0)</f>
        <v>0.82</v>
      </c>
      <c r="D21" s="22">
        <f t="shared" si="7"/>
        <v>0.82</v>
      </c>
      <c r="E21" s="73">
        <f t="shared" si="6"/>
        <v>1</v>
      </c>
      <c r="F21" s="122">
        <f>VLOOKUP($B$3,'Data for Bill Impacts'!$A$3:$Y$15,22,0)</f>
        <v>0</v>
      </c>
      <c r="G21" s="22">
        <f t="shared" si="8"/>
        <v>0</v>
      </c>
      <c r="H21" s="22">
        <f t="shared" si="1"/>
        <v>-0.82</v>
      </c>
      <c r="I21" s="23">
        <f t="shared" si="2"/>
        <v>-1</v>
      </c>
      <c r="J21" s="23">
        <f t="shared" si="5"/>
        <v>0</v>
      </c>
      <c r="K21" s="108">
        <f t="shared" si="4"/>
        <v>0</v>
      </c>
    </row>
    <row r="22" spans="1:11" hidden="1" x14ac:dyDescent="0.2">
      <c r="A22" s="107" t="s">
        <v>123</v>
      </c>
      <c r="B22" s="73">
        <f>B4</f>
        <v>920</v>
      </c>
      <c r="C22" s="78">
        <v>0</v>
      </c>
      <c r="D22" s="22">
        <f>B22*C22</f>
        <v>0</v>
      </c>
      <c r="E22" s="73">
        <f>B22</f>
        <v>920</v>
      </c>
      <c r="F22" s="78">
        <f>C22</f>
        <v>0</v>
      </c>
      <c r="G22" s="22">
        <f>E22*F22</f>
        <v>0</v>
      </c>
      <c r="H22" s="22">
        <f>G22-D22</f>
        <v>0</v>
      </c>
      <c r="I22" s="23">
        <f>IF(ISERROR(H22/D22),0,(H22/D22))</f>
        <v>0</v>
      </c>
      <c r="J22" s="23">
        <f t="shared" si="5"/>
        <v>0</v>
      </c>
      <c r="K22" s="108">
        <f t="shared" si="4"/>
        <v>0</v>
      </c>
    </row>
    <row r="23" spans="1:11" x14ac:dyDescent="0.2">
      <c r="A23" s="107" t="s">
        <v>39</v>
      </c>
      <c r="B23" s="73">
        <f>IF($B$9="kWh",$B$4,$B$5)</f>
        <v>920</v>
      </c>
      <c r="C23" s="78">
        <f>VLOOKUP($B$3,'Data for Bill Impacts'!$A$3:$Y$15,10,0)</f>
        <v>2.3E-2</v>
      </c>
      <c r="D23" s="22">
        <f>B23*C23</f>
        <v>21.16</v>
      </c>
      <c r="E23" s="73">
        <f t="shared" si="6"/>
        <v>920</v>
      </c>
      <c r="F23" s="126">
        <f>VLOOKUP($B$3,'Data for Bill Impacts'!$A$3:$Y$15,19,0)</f>
        <v>2.1999999999999999E-2</v>
      </c>
      <c r="G23" s="22">
        <f>E23*F23</f>
        <v>20.239999999999998</v>
      </c>
      <c r="H23" s="22">
        <f t="shared" si="1"/>
        <v>-0.92000000000000171</v>
      </c>
      <c r="I23" s="23">
        <f t="shared" si="2"/>
        <v>-4.3478260869565299E-2</v>
      </c>
      <c r="J23" s="23">
        <f t="shared" si="5"/>
        <v>0.10247224766261494</v>
      </c>
      <c r="K23" s="108">
        <f t="shared" si="4"/>
        <v>0.10177599848289363</v>
      </c>
    </row>
    <row r="24" spans="1:11" x14ac:dyDescent="0.2">
      <c r="A24" s="107" t="s">
        <v>124</v>
      </c>
      <c r="B24" s="73">
        <f>IF($B$9="kWh",$B$4,$B$5)</f>
        <v>920</v>
      </c>
      <c r="C24" s="126">
        <f>VLOOKUP($B$3,'Data for Bill Impacts'!$A$3:$Y$15,14,0)</f>
        <v>-2.0000000000000001E-4</v>
      </c>
      <c r="D24" s="22">
        <f>B24*C24</f>
        <v>-0.184</v>
      </c>
      <c r="E24" s="73">
        <f>B24</f>
        <v>920</v>
      </c>
      <c r="F24" s="126">
        <f>VLOOKUP($B$3,'Data for Bill Impacts'!$A$3:$Y$15,23,0)</f>
        <v>2.0000000000000001E-4</v>
      </c>
      <c r="G24" s="22">
        <f>E24*F24</f>
        <v>0.184</v>
      </c>
      <c r="H24" s="22">
        <f>G24-D24</f>
        <v>0.36799999999999999</v>
      </c>
      <c r="I24" s="23">
        <f>IF(ISERROR(H24/D24),0,(H24/D24))</f>
        <v>-2</v>
      </c>
      <c r="J24" s="23">
        <f t="shared" si="5"/>
        <v>9.3156588784195401E-4</v>
      </c>
      <c r="K24" s="108">
        <f t="shared" si="4"/>
        <v>9.2523634984448765E-4</v>
      </c>
    </row>
    <row r="25" spans="1:11" s="1" customFormat="1" x14ac:dyDescent="0.2">
      <c r="A25" s="110" t="s">
        <v>72</v>
      </c>
      <c r="B25" s="74"/>
      <c r="C25" s="35"/>
      <c r="D25" s="35">
        <f>SUM(D19:D24)</f>
        <v>55.566000000000003</v>
      </c>
      <c r="E25" s="73"/>
      <c r="F25" s="35"/>
      <c r="G25" s="35">
        <f>SUM(G19:G24)</f>
        <v>58.253999999999991</v>
      </c>
      <c r="H25" s="35">
        <f t="shared" si="1"/>
        <v>2.6879999999999882</v>
      </c>
      <c r="I25" s="36">
        <f t="shared" si="2"/>
        <v>4.8374905517762447E-2</v>
      </c>
      <c r="J25" s="36">
        <f t="shared" si="5"/>
        <v>0.29493173494752817</v>
      </c>
      <c r="K25" s="111">
        <f t="shared" si="4"/>
        <v>0.29292781697739551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3.9996578880170854E-3</v>
      </c>
      <c r="K26" s="108">
        <f t="shared" si="4"/>
        <v>3.9724821542236159E-3</v>
      </c>
    </row>
    <row r="27" spans="1:11" s="1" customFormat="1" x14ac:dyDescent="0.2">
      <c r="A27" s="119" t="s">
        <v>75</v>
      </c>
      <c r="B27" s="120">
        <f>B8-B4</f>
        <v>69.920000000000073</v>
      </c>
      <c r="C27" s="121">
        <f>IF(B4&gt;B7,C13,C12)</f>
        <v>0.121</v>
      </c>
      <c r="D27" s="22">
        <f>B27*C27</f>
        <v>8.4603200000000083</v>
      </c>
      <c r="E27" s="73">
        <f>B27</f>
        <v>69.920000000000073</v>
      </c>
      <c r="F27" s="121">
        <f>C27</f>
        <v>0.121</v>
      </c>
      <c r="G27" s="22">
        <f>E27*F27</f>
        <v>8.4603200000000083</v>
      </c>
      <c r="H27" s="22">
        <f t="shared" si="1"/>
        <v>0</v>
      </c>
      <c r="I27" s="23">
        <f>IF(ISERROR(H27/D27),0,(H27/D27))</f>
        <v>0</v>
      </c>
      <c r="J27" s="23">
        <f t="shared" ref="J27:J46" si="9">G27/$G$46</f>
        <v>4.283339952297309E-2</v>
      </c>
      <c r="K27" s="108">
        <f t="shared" ref="K27:K41" si="10">G27/$G$51</f>
        <v>4.2542367365849584E-2</v>
      </c>
    </row>
    <row r="28" spans="1:11" s="1" customFormat="1" x14ac:dyDescent="0.2">
      <c r="A28" s="119" t="s">
        <v>74</v>
      </c>
      <c r="B28" s="120">
        <f>B8-B4</f>
        <v>69.920000000000073</v>
      </c>
      <c r="C28" s="121">
        <f>0.65*C15+0.17*C16+0.18*C17</f>
        <v>0.11139</v>
      </c>
      <c r="D28" s="22">
        <f>B28*C28</f>
        <v>7.7883888000000079</v>
      </c>
      <c r="E28" s="73">
        <f>B28</f>
        <v>69.920000000000073</v>
      </c>
      <c r="F28" s="121">
        <f>C28</f>
        <v>0.11139</v>
      </c>
      <c r="G28" s="22">
        <f>E28*F28</f>
        <v>7.7883888000000079</v>
      </c>
      <c r="H28" s="22">
        <f t="shared" si="1"/>
        <v>0</v>
      </c>
      <c r="I28" s="23">
        <f>IF(ISERROR(H28/D28),0,(H28/D28))</f>
        <v>0</v>
      </c>
      <c r="J28" s="23">
        <f t="shared" si="9"/>
        <v>3.943150721375184E-2</v>
      </c>
      <c r="K28" s="108">
        <f t="shared" si="10"/>
        <v>3.916358926348748E-2</v>
      </c>
    </row>
    <row r="29" spans="1:11" s="1" customFormat="1" x14ac:dyDescent="0.2">
      <c r="A29" s="110" t="s">
        <v>78</v>
      </c>
      <c r="B29" s="74"/>
      <c r="C29" s="35"/>
      <c r="D29" s="35">
        <f>SUM(D25,D26:D27)</f>
        <v>64.816320000000005</v>
      </c>
      <c r="E29" s="73"/>
      <c r="F29" s="35"/>
      <c r="G29" s="35">
        <f>SUM(G25,G26:G27)</f>
        <v>67.504319999999993</v>
      </c>
      <c r="H29" s="35">
        <f t="shared" si="1"/>
        <v>2.6879999999999882</v>
      </c>
      <c r="I29" s="36">
        <f>IF(ISERROR(H29/D29),0,(H29/D29))</f>
        <v>4.1471036924033762E-2</v>
      </c>
      <c r="J29" s="36">
        <f t="shared" si="9"/>
        <v>0.34176479235851831</v>
      </c>
      <c r="K29" s="111">
        <f t="shared" si="10"/>
        <v>0.33944266649746868</v>
      </c>
    </row>
    <row r="30" spans="1:11" s="1" customFormat="1" x14ac:dyDescent="0.2">
      <c r="A30" s="110" t="s">
        <v>77</v>
      </c>
      <c r="B30" s="74"/>
      <c r="C30" s="35"/>
      <c r="D30" s="35">
        <f>SUM(D25,D26,D28)</f>
        <v>64.144388800000016</v>
      </c>
      <c r="E30" s="73"/>
      <c r="F30" s="35"/>
      <c r="G30" s="35">
        <f>SUM(G25,G26,G28)</f>
        <v>66.832388800000004</v>
      </c>
      <c r="H30" s="35">
        <f t="shared" si="1"/>
        <v>2.6879999999999882</v>
      </c>
      <c r="I30" s="36">
        <f>IF(ISERROR(H30/D30),0,(H30/D30))</f>
        <v>4.1905458143518669E-2</v>
      </c>
      <c r="J30" s="36">
        <f t="shared" si="9"/>
        <v>0.33836290004929714</v>
      </c>
      <c r="K30" s="111">
        <f t="shared" si="10"/>
        <v>0.33606388839510665</v>
      </c>
    </row>
    <row r="31" spans="1:11" x14ac:dyDescent="0.2">
      <c r="A31" s="107" t="s">
        <v>40</v>
      </c>
      <c r="B31" s="73">
        <f>B8</f>
        <v>989.92000000000007</v>
      </c>
      <c r="C31" s="78">
        <f>VLOOKUP($B$3,'Data for Bill Impacts'!$A$3:$Y$15,15,0)</f>
        <v>6.4000000000000003E-3</v>
      </c>
      <c r="D31" s="22">
        <f>B31*C31</f>
        <v>6.3354880000000007</v>
      </c>
      <c r="E31" s="73">
        <f t="shared" si="6"/>
        <v>989.92000000000007</v>
      </c>
      <c r="F31" s="126">
        <f>VLOOKUP($B$3,'Data for Bill Impacts'!$A$3:$Y$15,24,0)</f>
        <v>7.2069999999999999E-3</v>
      </c>
      <c r="G31" s="22">
        <f>E31*F31</f>
        <v>7.1343534400000008</v>
      </c>
      <c r="H31" s="22">
        <f t="shared" si="1"/>
        <v>0.79886544000000015</v>
      </c>
      <c r="I31" s="23">
        <f t="shared" si="2"/>
        <v>0.12609375</v>
      </c>
      <c r="J31" s="23">
        <f t="shared" si="9"/>
        <v>3.6120219002782061E-2</v>
      </c>
      <c r="K31" s="108">
        <f t="shared" si="10"/>
        <v>3.5874799648511223E-2</v>
      </c>
    </row>
    <row r="32" spans="1:11" x14ac:dyDescent="0.2">
      <c r="A32" s="107" t="s">
        <v>41</v>
      </c>
      <c r="B32" s="73">
        <f>B8</f>
        <v>989.92000000000007</v>
      </c>
      <c r="C32" s="78">
        <f>VLOOKUP($B$3,'Data for Bill Impacts'!$A$3:$Y$15,16,0)</f>
        <v>4.7000000000000002E-3</v>
      </c>
      <c r="D32" s="22">
        <f>B32*C32</f>
        <v>4.6526240000000003</v>
      </c>
      <c r="E32" s="73">
        <f t="shared" si="6"/>
        <v>989.92000000000007</v>
      </c>
      <c r="F32" s="126">
        <f>VLOOKUP($B$3,'Data for Bill Impacts'!$A$3:$Y$15,25,0)</f>
        <v>6.0319999999999992E-3</v>
      </c>
      <c r="G32" s="22">
        <f>E32*F32</f>
        <v>5.9711974399999992</v>
      </c>
      <c r="H32" s="22">
        <f t="shared" si="1"/>
        <v>1.3185734399999989</v>
      </c>
      <c r="I32" s="23">
        <f t="shared" si="2"/>
        <v>0.2834042553191487</v>
      </c>
      <c r="J32" s="23">
        <f t="shared" si="9"/>
        <v>3.0231325242789143E-2</v>
      </c>
      <c r="K32" s="108">
        <f t="shared" si="10"/>
        <v>3.0025918062969285E-2</v>
      </c>
    </row>
    <row r="33" spans="1:11" s="1" customFormat="1" x14ac:dyDescent="0.2">
      <c r="A33" s="110" t="s">
        <v>76</v>
      </c>
      <c r="B33" s="74"/>
      <c r="C33" s="35"/>
      <c r="D33" s="35">
        <f>SUM(D31:D32)</f>
        <v>10.988112000000001</v>
      </c>
      <c r="E33" s="73"/>
      <c r="F33" s="35"/>
      <c r="G33" s="35">
        <f>SUM(G31:G32)</f>
        <v>13.105550879999999</v>
      </c>
      <c r="H33" s="35">
        <f t="shared" si="1"/>
        <v>2.1174388799999981</v>
      </c>
      <c r="I33" s="36">
        <f t="shared" si="2"/>
        <v>0.19270270270270251</v>
      </c>
      <c r="J33" s="36">
        <f t="shared" si="9"/>
        <v>6.6351544245571201E-2</v>
      </c>
      <c r="K33" s="111">
        <f t="shared" si="10"/>
        <v>6.5900717711480497E-2</v>
      </c>
    </row>
    <row r="34" spans="1:11" s="1" customFormat="1" x14ac:dyDescent="0.2">
      <c r="A34" s="110" t="s">
        <v>91</v>
      </c>
      <c r="B34" s="74"/>
      <c r="C34" s="35"/>
      <c r="D34" s="35">
        <f>D29+D33</f>
        <v>75.804432000000006</v>
      </c>
      <c r="E34" s="73"/>
      <c r="F34" s="35"/>
      <c r="G34" s="35">
        <f>G29+G33</f>
        <v>80.609870879999988</v>
      </c>
      <c r="H34" s="35">
        <f t="shared" si="1"/>
        <v>4.8054388799999828</v>
      </c>
      <c r="I34" s="36">
        <f t="shared" si="2"/>
        <v>6.3392584750189579E-2</v>
      </c>
      <c r="J34" s="36">
        <f t="shared" si="9"/>
        <v>0.40811633660408952</v>
      </c>
      <c r="K34" s="111">
        <f t="shared" si="10"/>
        <v>0.40534338420894916</v>
      </c>
    </row>
    <row r="35" spans="1:11" s="1" customFormat="1" x14ac:dyDescent="0.2">
      <c r="A35" s="110" t="s">
        <v>92</v>
      </c>
      <c r="B35" s="74"/>
      <c r="C35" s="35"/>
      <c r="D35" s="35">
        <f>D30+D33</f>
        <v>75.132500800000017</v>
      </c>
      <c r="E35" s="73"/>
      <c r="F35" s="35"/>
      <c r="G35" s="35">
        <f>G30+G33</f>
        <v>79.937939679999999</v>
      </c>
      <c r="H35" s="35">
        <f t="shared" si="1"/>
        <v>4.8054388799999828</v>
      </c>
      <c r="I35" s="36">
        <f t="shared" si="2"/>
        <v>6.395952256123999E-2</v>
      </c>
      <c r="J35" s="36">
        <f t="shared" si="9"/>
        <v>0.4047144442948683</v>
      </c>
      <c r="K35" s="111">
        <f t="shared" si="10"/>
        <v>0.40196460610658713</v>
      </c>
    </row>
    <row r="36" spans="1:11" x14ac:dyDescent="0.2">
      <c r="A36" s="107" t="s">
        <v>42</v>
      </c>
      <c r="B36" s="73">
        <f>B8</f>
        <v>989.92000000000007</v>
      </c>
      <c r="C36" s="34">
        <v>3.5999999999999999E-3</v>
      </c>
      <c r="D36" s="22">
        <f>B36*C36</f>
        <v>3.5637120000000002</v>
      </c>
      <c r="E36" s="73">
        <f t="shared" si="6"/>
        <v>989.92000000000007</v>
      </c>
      <c r="F36" s="34">
        <v>3.5999999999999999E-3</v>
      </c>
      <c r="G36" s="22">
        <f>E36*F36</f>
        <v>3.5637120000000002</v>
      </c>
      <c r="H36" s="22">
        <f t="shared" si="1"/>
        <v>0</v>
      </c>
      <c r="I36" s="23">
        <f t="shared" si="2"/>
        <v>0</v>
      </c>
      <c r="J36" s="23">
        <f t="shared" si="9"/>
        <v>1.8042568115722968E-2</v>
      </c>
      <c r="K36" s="108">
        <f t="shared" si="10"/>
        <v>1.7919977623788039E-2</v>
      </c>
    </row>
    <row r="37" spans="1:11" x14ac:dyDescent="0.2">
      <c r="A37" s="107" t="s">
        <v>43</v>
      </c>
      <c r="B37" s="73">
        <f>B8</f>
        <v>989.92000000000007</v>
      </c>
      <c r="C37" s="34">
        <v>2.0999999999999999E-3</v>
      </c>
      <c r="D37" s="22">
        <f>B37*C37</f>
        <v>2.0788320000000002</v>
      </c>
      <c r="E37" s="73">
        <f t="shared" si="6"/>
        <v>989.92000000000007</v>
      </c>
      <c r="F37" s="34">
        <v>2.0999999999999999E-3</v>
      </c>
      <c r="G37" s="22">
        <f>E37*F37</f>
        <v>2.0788320000000002</v>
      </c>
      <c r="H37" s="22">
        <f>G37-D37</f>
        <v>0</v>
      </c>
      <c r="I37" s="23">
        <f t="shared" si="2"/>
        <v>0</v>
      </c>
      <c r="J37" s="23">
        <f t="shared" si="9"/>
        <v>1.0524831400838397E-2</v>
      </c>
      <c r="K37" s="108">
        <f t="shared" si="10"/>
        <v>1.0453320280543023E-2</v>
      </c>
    </row>
    <row r="38" spans="1:11" x14ac:dyDescent="0.2">
      <c r="A38" s="107" t="s">
        <v>96</v>
      </c>
      <c r="B38" s="73">
        <f>B8</f>
        <v>989.92000000000007</v>
      </c>
      <c r="C38" s="34">
        <v>1.1000000000000001E-3</v>
      </c>
      <c r="D38" s="22">
        <f>B38*C38</f>
        <v>1.0889120000000001</v>
      </c>
      <c r="E38" s="73">
        <f t="shared" si="6"/>
        <v>989.92000000000007</v>
      </c>
      <c r="F38" s="34">
        <v>1.1000000000000001E-3</v>
      </c>
      <c r="G38" s="22">
        <f>E38*F38</f>
        <v>1.0889120000000001</v>
      </c>
      <c r="H38" s="22">
        <f>G38-D38</f>
        <v>0</v>
      </c>
      <c r="I38" s="23">
        <f t="shared" si="2"/>
        <v>0</v>
      </c>
      <c r="J38" s="23">
        <f t="shared" si="9"/>
        <v>5.5130069242486845E-3</v>
      </c>
      <c r="K38" s="108">
        <f t="shared" si="10"/>
        <v>5.4755487183796789E-3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1.265714521524394E-3</v>
      </c>
      <c r="K39" s="108">
        <f t="shared" si="10"/>
        <v>1.2571146057669669E-3</v>
      </c>
    </row>
    <row r="40" spans="1:11" s="1" customFormat="1" x14ac:dyDescent="0.2">
      <c r="A40" s="110" t="s">
        <v>45</v>
      </c>
      <c r="B40" s="74"/>
      <c r="C40" s="35"/>
      <c r="D40" s="35">
        <f>SUM(D36:D39)</f>
        <v>6.9814560000000014</v>
      </c>
      <c r="E40" s="73"/>
      <c r="F40" s="35"/>
      <c r="G40" s="35">
        <f>SUM(G36:G39)</f>
        <v>6.9814560000000014</v>
      </c>
      <c r="H40" s="35">
        <f t="shared" si="1"/>
        <v>0</v>
      </c>
      <c r="I40" s="36">
        <f t="shared" si="2"/>
        <v>0</v>
      </c>
      <c r="J40" s="36">
        <f t="shared" si="9"/>
        <v>3.534612096233445E-2</v>
      </c>
      <c r="K40" s="111">
        <f t="shared" si="10"/>
        <v>3.5105961228477714E-2</v>
      </c>
    </row>
    <row r="41" spans="1:11" s="1" customFormat="1" ht="13.5" thickBot="1" x14ac:dyDescent="0.25">
      <c r="A41" s="112" t="s">
        <v>46</v>
      </c>
      <c r="B41" s="113">
        <f>B4</f>
        <v>920</v>
      </c>
      <c r="C41" s="114">
        <v>0</v>
      </c>
      <c r="D41" s="115">
        <f>B41*C41</f>
        <v>0</v>
      </c>
      <c r="E41" s="116">
        <f t="shared" si="6"/>
        <v>920</v>
      </c>
      <c r="F41" s="114">
        <f>C41</f>
        <v>0</v>
      </c>
      <c r="G41" s="115">
        <f>E41*F41</f>
        <v>0</v>
      </c>
      <c r="H41" s="115">
        <f t="shared" si="1"/>
        <v>0</v>
      </c>
      <c r="I41" s="117">
        <f t="shared" si="2"/>
        <v>0</v>
      </c>
      <c r="J41" s="117">
        <f t="shared" si="9"/>
        <v>0</v>
      </c>
      <c r="K41" s="118">
        <f t="shared" si="10"/>
        <v>0</v>
      </c>
    </row>
    <row r="42" spans="1:11" s="1" customFormat="1" x14ac:dyDescent="0.2">
      <c r="A42" s="37" t="s">
        <v>105</v>
      </c>
      <c r="B42" s="38"/>
      <c r="C42" s="39"/>
      <c r="D42" s="39">
        <f>SUM(D14,D25,D26,D27,D33,D40,D41)</f>
        <v>183.30588800000001</v>
      </c>
      <c r="E42" s="38"/>
      <c r="F42" s="39"/>
      <c r="G42" s="39">
        <f>SUM(G14,G25,G26,G27,G33,G40,G41)</f>
        <v>188.11132688000001</v>
      </c>
      <c r="H42" s="39">
        <f t="shared" si="1"/>
        <v>4.805438879999997</v>
      </c>
      <c r="I42" s="40">
        <f>IF(ISERROR(H42/D42),0,(H42/D42))</f>
        <v>2.6215409294435738E-2</v>
      </c>
      <c r="J42" s="40">
        <f t="shared" si="9"/>
        <v>0.95238095238095244</v>
      </c>
      <c r="K42" s="41"/>
    </row>
    <row r="43" spans="1:11" x14ac:dyDescent="0.2">
      <c r="A43" s="154" t="s">
        <v>106</v>
      </c>
      <c r="B43" s="43"/>
      <c r="C43" s="26">
        <v>0.13</v>
      </c>
      <c r="D43" s="26">
        <f>D42*C43</f>
        <v>23.829765440000003</v>
      </c>
      <c r="E43" s="26"/>
      <c r="F43" s="26">
        <f>C43</f>
        <v>0.13</v>
      </c>
      <c r="G43" s="26">
        <f>G42*F43</f>
        <v>24.454472494400001</v>
      </c>
      <c r="H43" s="26">
        <f t="shared" si="1"/>
        <v>0.62470705439999819</v>
      </c>
      <c r="I43" s="44">
        <f t="shared" si="2"/>
        <v>2.6215409294435679E-2</v>
      </c>
      <c r="J43" s="44">
        <f t="shared" si="9"/>
        <v>0.12380952380952381</v>
      </c>
      <c r="K43" s="45"/>
    </row>
    <row r="44" spans="1:11" s="1" customFormat="1" x14ac:dyDescent="0.2">
      <c r="A44" s="46" t="s">
        <v>107</v>
      </c>
      <c r="B44" s="24"/>
      <c r="C44" s="25"/>
      <c r="D44" s="25">
        <f>SUM(D42:D43)</f>
        <v>207.13565344</v>
      </c>
      <c r="E44" s="25"/>
      <c r="F44" s="25"/>
      <c r="G44" s="25">
        <f>SUM(G42:G43)</f>
        <v>212.5657993744</v>
      </c>
      <c r="H44" s="25">
        <f t="shared" si="1"/>
        <v>5.4301459344000023</v>
      </c>
      <c r="I44" s="27">
        <f t="shared" si="2"/>
        <v>2.6215409294435769E-2</v>
      </c>
      <c r="J44" s="27">
        <f t="shared" si="9"/>
        <v>1.0761904761904761</v>
      </c>
      <c r="K44" s="47"/>
    </row>
    <row r="45" spans="1:11" x14ac:dyDescent="0.2">
      <c r="A45" s="42" t="s">
        <v>108</v>
      </c>
      <c r="B45" s="43"/>
      <c r="C45" s="26">
        <v>-0.08</v>
      </c>
      <c r="D45" s="26">
        <f>D42*C45</f>
        <v>-14.66447104</v>
      </c>
      <c r="E45" s="26"/>
      <c r="F45" s="26">
        <f>C45</f>
        <v>-0.08</v>
      </c>
      <c r="G45" s="26">
        <f>G42*F45</f>
        <v>-15.048906150400001</v>
      </c>
      <c r="H45" s="26">
        <f t="shared" si="1"/>
        <v>-0.38443511040000011</v>
      </c>
      <c r="I45" s="44">
        <f t="shared" si="2"/>
        <v>2.6215409294435766E-2</v>
      </c>
      <c r="J45" s="44">
        <f t="shared" si="9"/>
        <v>-7.6190476190476197E-2</v>
      </c>
      <c r="K45" s="45"/>
    </row>
    <row r="46" spans="1:11" s="1" customFormat="1" ht="13.5" thickBot="1" x14ac:dyDescent="0.25">
      <c r="A46" s="48" t="s">
        <v>109</v>
      </c>
      <c r="B46" s="49"/>
      <c r="C46" s="50"/>
      <c r="D46" s="50">
        <f>SUM(D44:D45)</f>
        <v>192.4711824</v>
      </c>
      <c r="E46" s="50"/>
      <c r="F46" s="50"/>
      <c r="G46" s="50">
        <f>SUM(G44:G45)</f>
        <v>197.516893224</v>
      </c>
      <c r="H46" s="50">
        <f t="shared" si="1"/>
        <v>5.0457108239999968</v>
      </c>
      <c r="I46" s="51">
        <f t="shared" si="2"/>
        <v>2.6215409294435742E-2</v>
      </c>
      <c r="J46" s="51">
        <f t="shared" si="9"/>
        <v>1</v>
      </c>
      <c r="K46" s="52"/>
    </row>
    <row r="47" spans="1:11" x14ac:dyDescent="0.2">
      <c r="A47" s="53" t="s">
        <v>110</v>
      </c>
      <c r="B47" s="54"/>
      <c r="C47" s="55"/>
      <c r="D47" s="55">
        <f>SUM(D18,D25,D26,D28,D33,D40,D41)</f>
        <v>184.59275680000002</v>
      </c>
      <c r="E47" s="55"/>
      <c r="F47" s="55"/>
      <c r="G47" s="55">
        <f>SUM(G18,G25,G26,G28,G33,G40,G41)</f>
        <v>189.39819568000001</v>
      </c>
      <c r="H47" s="55">
        <f>G47-D47</f>
        <v>4.805438879999997</v>
      </c>
      <c r="I47" s="56">
        <f>IF(ISERROR(H47/D47),0,(H47/D47))</f>
        <v>2.6032651352655874E-2</v>
      </c>
      <c r="J47" s="56"/>
      <c r="K47" s="57">
        <f>G47/$G$51</f>
        <v>0.95238095238095233</v>
      </c>
    </row>
    <row r="48" spans="1:11" x14ac:dyDescent="0.2">
      <c r="A48" s="58" t="s">
        <v>106</v>
      </c>
      <c r="B48" s="59"/>
      <c r="C48" s="31">
        <v>0.13</v>
      </c>
      <c r="D48" s="31">
        <f>D47*C48</f>
        <v>23.997058384000002</v>
      </c>
      <c r="E48" s="31"/>
      <c r="F48" s="31">
        <f>C48</f>
        <v>0.13</v>
      </c>
      <c r="G48" s="31">
        <f>G47*F48</f>
        <v>24.621765438400004</v>
      </c>
      <c r="H48" s="31">
        <f>G48-D48</f>
        <v>0.62470705440000174</v>
      </c>
      <c r="I48" s="32">
        <f>IF(ISERROR(H48/D48),0,(H48/D48))</f>
        <v>2.603265135265596E-2</v>
      </c>
      <c r="J48" s="32"/>
      <c r="K48" s="60">
        <f>G48/$G$51</f>
        <v>0.12380952380952381</v>
      </c>
    </row>
    <row r="49" spans="1:11" x14ac:dyDescent="0.2">
      <c r="A49" s="61" t="s">
        <v>111</v>
      </c>
      <c r="B49" s="29"/>
      <c r="C49" s="30"/>
      <c r="D49" s="30">
        <f>SUM(D47:D48)</f>
        <v>208.58981518400003</v>
      </c>
      <c r="E49" s="30"/>
      <c r="F49" s="30"/>
      <c r="G49" s="30">
        <f>SUM(G47:G48)</f>
        <v>214.01996111840003</v>
      </c>
      <c r="H49" s="30">
        <f>G49-D49</f>
        <v>5.4301459344000023</v>
      </c>
      <c r="I49" s="33">
        <f>IF(ISERROR(H49/D49),0,(H49/D49))</f>
        <v>2.6032651352655898E-2</v>
      </c>
      <c r="J49" s="33"/>
      <c r="K49" s="62">
        <f>G49/$G$51</f>
        <v>1.0761904761904761</v>
      </c>
    </row>
    <row r="50" spans="1:11" x14ac:dyDescent="0.2">
      <c r="A50" s="58" t="s">
        <v>108</v>
      </c>
      <c r="B50" s="59"/>
      <c r="C50" s="31">
        <v>-0.08</v>
      </c>
      <c r="D50" s="31">
        <f>D47*C50</f>
        <v>-14.767420544000002</v>
      </c>
      <c r="E50" s="31"/>
      <c r="F50" s="31">
        <f>C50</f>
        <v>-0.08</v>
      </c>
      <c r="G50" s="31">
        <f>G47*F50</f>
        <v>-15.151855654400002</v>
      </c>
      <c r="H50" s="31">
        <f>G50-D50</f>
        <v>-0.38443511040000011</v>
      </c>
      <c r="I50" s="32">
        <f>IF(ISERROR(H50/D50),0,(H50/D50))</f>
        <v>2.6032651352655894E-2</v>
      </c>
      <c r="J50" s="32"/>
      <c r="K50" s="60">
        <f>G50/$G$51</f>
        <v>-7.6190476190476197E-2</v>
      </c>
    </row>
    <row r="51" spans="1:11" ht="13.5" thickBot="1" x14ac:dyDescent="0.25">
      <c r="A51" s="63" t="s">
        <v>121</v>
      </c>
      <c r="B51" s="64"/>
      <c r="C51" s="65"/>
      <c r="D51" s="65">
        <f>SUM(D49:D50)</f>
        <v>193.82239464000003</v>
      </c>
      <c r="E51" s="65"/>
      <c r="F51" s="65"/>
      <c r="G51" s="65">
        <f>SUM(G49:G50)</f>
        <v>198.86810546400002</v>
      </c>
      <c r="H51" s="65">
        <f>G51-D51</f>
        <v>5.0457108239999968</v>
      </c>
      <c r="I51" s="66">
        <f>IF(ISERROR(H51/D51),0,(H51/D51))</f>
        <v>2.603265135265587E-2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17" fitToHeight="0" orientation="landscape" cellComments="asDisplayed" r:id="rId1"/>
  <headerFooter>
    <oddHeader>&amp;RFiled: 2017-03-31
EB-2017-0049
Exhibit H1-4-1
Attachment 1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0789A69331B447AA2C2A71A86A707D" ma:contentTypeVersion="0" ma:contentTypeDescription="Create a new document." ma:contentTypeScope="" ma:versionID="5399c839dd5a5c59d7d22ddc485bff23">
  <xsd:schema xmlns:xsd="http://www.w3.org/2001/XMLSchema" xmlns:xs="http://www.w3.org/2001/XMLSchema" xmlns:p="http://schemas.microsoft.com/office/2006/metadata/properties" xmlns:ns2="f0af1d65-dfd0-4b99-b523-def3a954563f" targetNamespace="http://schemas.microsoft.com/office/2006/metadata/properties" ma:root="true" ma:fieldsID="44cfc60566d61e9babd1b11f9b704ff8" ns2:_="">
    <xsd:import namespace="f0af1d65-dfd0-4b99-b523-def3a954563f"/>
    <xsd:element name="properties">
      <xsd:complexType>
        <xsd:sequence>
          <xsd:element name="documentManagement">
            <xsd:complexType>
              <xsd:all>
                <xsd:element ref="ns2:Hydro_x0020_One_x0020_Data_x0020_Classificat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ma:displayName="Hydro One Data Classification" ma:default="Internal Use (Only Internal information is not for release to the public)" ma:description="Use these options to classify the data you are uploading onto the site. Any questions please contact BIT security team" ma:format="RadioButtons" ma:hidden="true" ma:internalName="Hydro_x0020_One_x0020_Data_x0020_Classification" ma:readOnly="false">
      <xsd:simpleType>
        <xsd:restriction base="dms:Choice">
          <xsd:enumeration value="Internal Use (Only Internal information is not for release to the publ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 (Only Internal information is not for release to the public)</Hydro_x0020_One_x0020_Data_x0020_Classification>
  </documentManagement>
</p:properties>
</file>

<file path=customXml/itemProps1.xml><?xml version="1.0" encoding="utf-8"?>
<ds:datastoreItem xmlns:ds="http://schemas.openxmlformats.org/officeDocument/2006/customXml" ds:itemID="{DFAD1589-0C8E-44F6-BBC0-61BB5D9F343F}">
  <ds:schemaRefs>
    <ds:schemaRef ds:uri="http://schemas.microsoft.com/sharepoint/v3/contenttype/forms"/>
  </ds:schemaRefs>
</ds:datastoreItem>
</file>

<file path=customXml/itemProps2.xml><?xml version="1.0" encoding="utf-8"?>
<ds:datastoreItem xmlns:ds="http://schemas.openxmlformats.org/officeDocument/2006/customXml" ds:itemID="{E463C403-A0AF-4831-A02D-69F3DB57F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FE39AB-C084-4BA7-AF4B-7D41FC23B1C2}">
  <ds:schemaRefs>
    <ds:schemaRef ds:uri="http://purl.org/dc/terms/"/>
    <ds:schemaRef ds:uri="http://www.w3.org/XML/1998/namespace"/>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f0af1d65-dfd0-4b99-b523-def3a954563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2</vt:i4>
      </vt:variant>
    </vt:vector>
  </HeadingPairs>
  <TitlesOfParts>
    <vt:vector size="49" baseType="lpstr">
      <vt:lpstr>Data for Bill Impacts</vt:lpstr>
      <vt:lpstr>Bill Impact Summary</vt:lpstr>
      <vt:lpstr>BI_UR_Low</vt:lpstr>
      <vt:lpstr>BI_UR_Typical</vt:lpstr>
      <vt:lpstr>BI_UR_Avg</vt:lpstr>
      <vt:lpstr>BI_UR_High</vt:lpstr>
      <vt:lpstr>BI_R1_Low</vt:lpstr>
      <vt:lpstr>BI_R1_Typical</vt:lpstr>
      <vt:lpstr>BI_R1_Avg</vt:lpstr>
      <vt:lpstr>BI_R1_High</vt:lpstr>
      <vt:lpstr>BI_R2_Low</vt:lpstr>
      <vt:lpstr>BI_R2_Typical</vt:lpstr>
      <vt:lpstr>BI_R2_Avg</vt:lpstr>
      <vt:lpstr>BI_R2_High</vt:lpstr>
      <vt:lpstr>BI_Seas_Low</vt:lpstr>
      <vt:lpstr>BI_Seas_Typical</vt:lpstr>
      <vt:lpstr>BI_Seas_Avg</vt:lpstr>
      <vt:lpstr>BI_Seas_High</vt:lpstr>
      <vt:lpstr>BI_UGe_Low</vt:lpstr>
      <vt:lpstr>BI_UGe_Typical</vt:lpstr>
      <vt:lpstr>BI_UGe_Avg</vt:lpstr>
      <vt:lpstr>BI_UGe_High</vt:lpstr>
      <vt:lpstr>BI_GSe_Low</vt:lpstr>
      <vt:lpstr>BI_GSe_Typical</vt:lpstr>
      <vt:lpstr>BI_GSe_Avg</vt:lpstr>
      <vt:lpstr>BI_GSe_High</vt:lpstr>
      <vt:lpstr>BI_UGd_Low</vt:lpstr>
      <vt:lpstr>BI_UGd_Avg</vt:lpstr>
      <vt:lpstr>BI_UGd_High</vt:lpstr>
      <vt:lpstr>BI_GSd_Low</vt:lpstr>
      <vt:lpstr>BI_GSd_Avg</vt:lpstr>
      <vt:lpstr>BI_GSd_High</vt:lpstr>
      <vt:lpstr>BI_DGen_Low</vt:lpstr>
      <vt:lpstr>BI_DGen_Avg</vt:lpstr>
      <vt:lpstr>BI_DGen_High</vt:lpstr>
      <vt:lpstr>BI_ST_Low</vt:lpstr>
      <vt:lpstr>BI_ST_Avg</vt:lpstr>
      <vt:lpstr>BI_ST_High</vt:lpstr>
      <vt:lpstr>BI_USL_Low</vt:lpstr>
      <vt:lpstr>BI_USL_Avg</vt:lpstr>
      <vt:lpstr>BI_USL_High</vt:lpstr>
      <vt:lpstr>BI_SenLgt_Low</vt:lpstr>
      <vt:lpstr>BI_SenLgt_Avg</vt:lpstr>
      <vt:lpstr>BI_SenLgt_High</vt:lpstr>
      <vt:lpstr>BI_StLgt_Low</vt:lpstr>
      <vt:lpstr>BI_StLgt_Avg</vt:lpstr>
      <vt:lpstr>BI_StLgt_High</vt:lpstr>
      <vt:lpstr>BI_DGen_Avg!Print_Area</vt:lpstr>
      <vt:lpstr>'Bill Impact Summary'!Print_Area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SHETH Nikita</dc:creator>
  <cp:lastModifiedBy>GAUVREAU Diane</cp:lastModifiedBy>
  <cp:lastPrinted>2017-05-02T12:32:20Z</cp:lastPrinted>
  <dcterms:created xsi:type="dcterms:W3CDTF">2013-09-20T18:49:19Z</dcterms:created>
  <dcterms:modified xsi:type="dcterms:W3CDTF">2017-05-03T15:28:18Z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0x010100050789A69331B447AA2C2A71A86A707D</vt:lpwstr>
  </property>
</Properties>
</file>