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12000" windowHeight="10095" tabRatio="942"/>
  </bookViews>
  <sheets>
    <sheet name="Data for Bill Impacts" sheetId="3" r:id="rId1"/>
    <sheet name="Bill Impact Summary" sheetId="7" r:id="rId2"/>
    <sheet name="BI_UR_Low" sheetId="4" r:id="rId3"/>
    <sheet name="BI_UR_Typical" sheetId="46" r:id="rId4"/>
    <sheet name="BI_UR_Avg" sheetId="112" r:id="rId5"/>
    <sheet name="BI_UR_High" sheetId="47" r:id="rId6"/>
    <sheet name="BI_R1_Low" sheetId="48" r:id="rId7"/>
    <sheet name="BI_R1_Typical" sheetId="49" r:id="rId8"/>
    <sheet name="BI_R1_Avg" sheetId="113" r:id="rId9"/>
    <sheet name="BI_R1_High" sheetId="50" r:id="rId10"/>
    <sheet name="BI_R2_Low" sheetId="51" r:id="rId11"/>
    <sheet name="BI_R2_Typical" sheetId="52" r:id="rId12"/>
    <sheet name="BI_R2_Avg" sheetId="114" r:id="rId13"/>
    <sheet name="BI_R2_High" sheetId="53" r:id="rId14"/>
    <sheet name="BI_Seas_Low" sheetId="54" r:id="rId15"/>
    <sheet name="BI_Seas_Typical" sheetId="104" r:id="rId16"/>
    <sheet name="BI_Seas_Avg" sheetId="115" r:id="rId17"/>
    <sheet name="BI_Seas_High" sheetId="56" r:id="rId18"/>
    <sheet name="BI_UGe_Low" sheetId="60" r:id="rId19"/>
    <sheet name="BI_UGe_Typical" sheetId="61" r:id="rId20"/>
    <sheet name="BI_UGe_Avg" sheetId="116" r:id="rId21"/>
    <sheet name="BI_UGe_High" sheetId="62" r:id="rId22"/>
    <sheet name="BI_GSe_Low" sheetId="57" r:id="rId23"/>
    <sheet name="BI_GSe_Typical" sheetId="58" r:id="rId24"/>
    <sheet name="BI_GSe_Avg" sheetId="117" r:id="rId25"/>
    <sheet name="BI_GSe_High" sheetId="59" r:id="rId26"/>
    <sheet name="BI_UGd_Low" sheetId="73" r:id="rId27"/>
    <sheet name="BI_UGd_Avg" sheetId="74" r:id="rId28"/>
    <sheet name="BI_UGd_High" sheetId="75" r:id="rId29"/>
    <sheet name="BI_GSd_Low" sheetId="5" r:id="rId30"/>
    <sheet name="BI_GSd_Avg" sheetId="71" r:id="rId31"/>
    <sheet name="BI_GSd_High" sheetId="72" r:id="rId32"/>
    <sheet name="BI_DGen_Low" sheetId="76" r:id="rId33"/>
    <sheet name="BI_DGen_Avg" sheetId="77" r:id="rId34"/>
    <sheet name="BI_DGen_High" sheetId="78" r:id="rId35"/>
    <sheet name="BI_ST_Low" sheetId="79" r:id="rId36"/>
    <sheet name="BI_ST_Avg" sheetId="80" r:id="rId37"/>
    <sheet name="BI_ST_High" sheetId="81" r:id="rId38"/>
    <sheet name="BI_USL_Low" sheetId="68" r:id="rId39"/>
    <sheet name="BI_USL_Avg" sheetId="69" r:id="rId40"/>
    <sheet name="BI_USL_High" sheetId="70" r:id="rId41"/>
    <sheet name="BI_SenLgt_Low" sheetId="65" r:id="rId42"/>
    <sheet name="BI_SenLgt_Avg" sheetId="66" r:id="rId43"/>
    <sheet name="BI_SenLgt_High" sheetId="67" r:id="rId44"/>
    <sheet name="BI_StLgt_Low" sheetId="25" r:id="rId45"/>
    <sheet name="BI_StLgt_Avg" sheetId="63" r:id="rId46"/>
    <sheet name="BI_StLgt_High" sheetId="64" r:id="rId47"/>
  </sheets>
  <externalReferences>
    <externalReference r:id="rId48"/>
    <externalReference r:id="rId49"/>
    <externalReference r:id="rId50"/>
    <externalReference r:id="rId51"/>
    <externalReference r:id="rId52"/>
  </externalReferences>
  <definedNames>
    <definedName name="_xlnm.Print_Area" localSheetId="33">BI_DGen_Avg!$A$1:$J$38</definedName>
    <definedName name="_xlnm.Print_Area" localSheetId="1">'Bill Impact Summary'!$A$1:$I$46</definedName>
  </definedNames>
  <calcPr calcId="145621"/>
</workbook>
</file>

<file path=xl/calcChain.xml><?xml version="1.0" encoding="utf-8"?>
<calcChain xmlns="http://schemas.openxmlformats.org/spreadsheetml/2006/main">
  <c r="T9" i="3" l="1"/>
  <c r="T10" i="3"/>
  <c r="T11" i="3"/>
  <c r="S15" i="3"/>
  <c r="Q15" i="3"/>
  <c r="S14" i="3" l="1"/>
  <c r="Q14" i="3"/>
  <c r="S13" i="3"/>
  <c r="Q13" i="3"/>
  <c r="S12" i="3"/>
  <c r="Q12" i="3"/>
  <c r="S11" i="3"/>
  <c r="Q11" i="3"/>
  <c r="S10" i="3"/>
  <c r="Q10" i="3"/>
  <c r="S9" i="3"/>
  <c r="Q9" i="3"/>
  <c r="S8" i="3"/>
  <c r="Q8" i="3"/>
  <c r="S7" i="3"/>
  <c r="Q7" i="3"/>
  <c r="S6" i="3"/>
  <c r="Q6" i="3"/>
  <c r="S5" i="3"/>
  <c r="S4" i="3"/>
  <c r="Q4" i="3"/>
  <c r="S3" i="3"/>
  <c r="Q3" i="3"/>
  <c r="T15" i="3"/>
  <c r="T14" i="3"/>
  <c r="T13" i="3"/>
  <c r="T12" i="3"/>
  <c r="T8" i="3"/>
  <c r="T7" i="3"/>
  <c r="T6" i="3"/>
  <c r="T5" i="3"/>
  <c r="T4" i="3"/>
  <c r="T3" i="3"/>
  <c r="P15" i="3"/>
  <c r="O15" i="3"/>
  <c r="N15" i="3"/>
  <c r="M15" i="3"/>
  <c r="J15" i="3"/>
  <c r="G15" i="3"/>
  <c r="P14" i="3"/>
  <c r="O14" i="3"/>
  <c r="N14" i="3"/>
  <c r="M14" i="3"/>
  <c r="J14" i="3"/>
  <c r="G14" i="3"/>
  <c r="P13" i="3"/>
  <c r="O13" i="3"/>
  <c r="N13" i="3"/>
  <c r="M13" i="3"/>
  <c r="J13" i="3"/>
  <c r="G13" i="3"/>
  <c r="P12" i="3"/>
  <c r="O12" i="3"/>
  <c r="N12" i="3"/>
  <c r="M12" i="3"/>
  <c r="J12" i="3"/>
  <c r="G12" i="3"/>
  <c r="P11" i="3"/>
  <c r="O11" i="3"/>
  <c r="N11" i="3"/>
  <c r="M11" i="3"/>
  <c r="J11" i="3"/>
  <c r="G11" i="3"/>
  <c r="P10" i="3"/>
  <c r="O10" i="3"/>
  <c r="N10" i="3"/>
  <c r="M10" i="3"/>
  <c r="J10" i="3"/>
  <c r="G10" i="3"/>
  <c r="P9" i="3"/>
  <c r="O9" i="3"/>
  <c r="N9" i="3"/>
  <c r="M9" i="3"/>
  <c r="J9" i="3"/>
  <c r="G9" i="3"/>
  <c r="P8" i="3"/>
  <c r="O8" i="3"/>
  <c r="N8" i="3"/>
  <c r="M8" i="3"/>
  <c r="J8" i="3"/>
  <c r="G8" i="3"/>
  <c r="P7" i="3"/>
  <c r="O7" i="3"/>
  <c r="N7" i="3"/>
  <c r="M7" i="3"/>
  <c r="J7" i="3"/>
  <c r="G7" i="3"/>
  <c r="P6" i="3"/>
  <c r="O6" i="3"/>
  <c r="N6" i="3"/>
  <c r="M6" i="3"/>
  <c r="J6" i="3"/>
  <c r="G6" i="3"/>
  <c r="P5" i="3"/>
  <c r="O5" i="3"/>
  <c r="N5" i="3"/>
  <c r="M5" i="3"/>
  <c r="J5" i="3"/>
  <c r="G5" i="3"/>
  <c r="P4" i="3"/>
  <c r="O4" i="3"/>
  <c r="N4" i="3"/>
  <c r="M4" i="3"/>
  <c r="J4" i="3"/>
  <c r="G4" i="3"/>
  <c r="P3" i="3"/>
  <c r="O3" i="3"/>
  <c r="N3" i="3"/>
  <c r="M3" i="3"/>
  <c r="J3" i="3"/>
  <c r="G3" i="3"/>
  <c r="C20" i="3" l="1"/>
  <c r="C21" i="3"/>
  <c r="C22" i="3"/>
  <c r="C23" i="3"/>
  <c r="C24" i="3"/>
  <c r="C25" i="3"/>
  <c r="C26" i="3"/>
  <c r="C27" i="3"/>
  <c r="C28" i="3"/>
  <c r="C29" i="3"/>
  <c r="C30" i="3"/>
  <c r="C31" i="3"/>
  <c r="C19" i="3"/>
  <c r="D29" i="3" l="1"/>
  <c r="D30" i="3"/>
  <c r="D31" i="3"/>
  <c r="D28" i="3"/>
  <c r="U7" i="3" l="1"/>
  <c r="U8" i="3"/>
  <c r="U9" i="3"/>
  <c r="U10" i="3"/>
  <c r="U11" i="3"/>
  <c r="U12" i="3"/>
  <c r="U13" i="3"/>
  <c r="U14" i="3"/>
  <c r="U15" i="3"/>
  <c r="X4" i="3"/>
  <c r="Y4" i="3"/>
  <c r="X5" i="3"/>
  <c r="Y5" i="3"/>
  <c r="X6" i="3"/>
  <c r="Y6" i="3"/>
  <c r="X7" i="3"/>
  <c r="Y7" i="3"/>
  <c r="X8" i="3"/>
  <c r="Y8" i="3"/>
  <c r="X9" i="3"/>
  <c r="Y9" i="3"/>
  <c r="X10" i="3"/>
  <c r="Y10" i="3"/>
  <c r="X11" i="3"/>
  <c r="Y11" i="3"/>
  <c r="Y13" i="3"/>
  <c r="Y14" i="3"/>
  <c r="X15" i="3"/>
  <c r="Y15" i="3"/>
  <c r="Y3" i="3"/>
  <c r="X3" i="3"/>
  <c r="W4" i="3"/>
  <c r="W5" i="3"/>
  <c r="W6" i="3"/>
  <c r="W7" i="3"/>
  <c r="W8" i="3"/>
  <c r="W9" i="3"/>
  <c r="W10" i="3"/>
  <c r="W11" i="3"/>
  <c r="W12" i="3"/>
  <c r="W13" i="3"/>
  <c r="W14" i="3"/>
  <c r="W15" i="3"/>
  <c r="W3" i="3"/>
  <c r="V4" i="3"/>
  <c r="V5" i="3"/>
  <c r="V6" i="3"/>
  <c r="V7" i="3"/>
  <c r="V8" i="3"/>
  <c r="V9" i="3"/>
  <c r="V10" i="3"/>
  <c r="V11" i="3"/>
  <c r="V12" i="3"/>
  <c r="V13" i="3"/>
  <c r="V14" i="3"/>
  <c r="V15" i="3"/>
  <c r="V3" i="3"/>
  <c r="F26" i="4"/>
  <c r="F26" i="59"/>
  <c r="F26" i="117"/>
  <c r="F26" i="58"/>
  <c r="F26" i="57"/>
  <c r="F26" i="62"/>
  <c r="F26" i="116"/>
  <c r="F26" i="61"/>
  <c r="F26" i="60"/>
  <c r="F26" i="56"/>
  <c r="F26" i="115"/>
  <c r="F26" i="104"/>
  <c r="F26" i="54"/>
  <c r="F26" i="53"/>
  <c r="F26" i="114"/>
  <c r="F26" i="52"/>
  <c r="F26" i="51"/>
  <c r="F26" i="50"/>
  <c r="F26" i="113"/>
  <c r="F26" i="49"/>
  <c r="F26" i="48"/>
  <c r="F26" i="47"/>
  <c r="F26" i="112"/>
  <c r="F26" i="46"/>
  <c r="X13" i="3" l="1"/>
  <c r="Y12" i="3"/>
  <c r="X14" i="3"/>
  <c r="X12" i="3"/>
  <c r="F50" i="117" l="1"/>
  <c r="F48" i="117"/>
  <c r="F45" i="117"/>
  <c r="F43" i="117"/>
  <c r="F41" i="117"/>
  <c r="F39" i="117"/>
  <c r="E39" i="117"/>
  <c r="G39" i="117" s="1"/>
  <c r="D39" i="117"/>
  <c r="C28" i="117"/>
  <c r="F28" i="117" s="1"/>
  <c r="G26" i="117"/>
  <c r="C26" i="117"/>
  <c r="D26" i="117" s="1"/>
  <c r="E22" i="117"/>
  <c r="F21" i="117"/>
  <c r="E21" i="117"/>
  <c r="C21" i="117"/>
  <c r="D21" i="117" s="1"/>
  <c r="G20" i="117"/>
  <c r="E20" i="117"/>
  <c r="C20" i="117"/>
  <c r="D20" i="117" s="1"/>
  <c r="E19" i="117"/>
  <c r="F17" i="117"/>
  <c r="F16" i="117"/>
  <c r="F15" i="117"/>
  <c r="F13" i="117"/>
  <c r="F12" i="117"/>
  <c r="B9" i="117"/>
  <c r="B7" i="117"/>
  <c r="B6" i="117"/>
  <c r="B5" i="117"/>
  <c r="F50" i="116"/>
  <c r="F48" i="116"/>
  <c r="F45" i="116"/>
  <c r="F43" i="116"/>
  <c r="F41" i="116"/>
  <c r="F39" i="116"/>
  <c r="E39" i="116"/>
  <c r="G39" i="116" s="1"/>
  <c r="D39" i="116"/>
  <c r="C28" i="116"/>
  <c r="F28" i="116" s="1"/>
  <c r="G26" i="116"/>
  <c r="C26" i="116"/>
  <c r="D26" i="116" s="1"/>
  <c r="E22" i="116"/>
  <c r="F21" i="116"/>
  <c r="E21" i="116"/>
  <c r="C21" i="116"/>
  <c r="D21" i="116" s="1"/>
  <c r="E20" i="116"/>
  <c r="G20" i="116" s="1"/>
  <c r="C20" i="116"/>
  <c r="D20" i="116" s="1"/>
  <c r="E19" i="116"/>
  <c r="F17" i="116"/>
  <c r="F16" i="116"/>
  <c r="F15" i="116"/>
  <c r="F13" i="116"/>
  <c r="F12" i="116"/>
  <c r="B9" i="116"/>
  <c r="B7" i="116"/>
  <c r="B6" i="116"/>
  <c r="B5" i="116"/>
  <c r="F50" i="115"/>
  <c r="F48" i="115"/>
  <c r="F45" i="115"/>
  <c r="F43" i="115"/>
  <c r="F41" i="115"/>
  <c r="G39" i="115"/>
  <c r="F39" i="115"/>
  <c r="E39" i="115"/>
  <c r="D39" i="115"/>
  <c r="C28" i="115"/>
  <c r="F28" i="115" s="1"/>
  <c r="G26" i="115"/>
  <c r="C26" i="115"/>
  <c r="D26" i="115" s="1"/>
  <c r="E22" i="115"/>
  <c r="F21" i="115"/>
  <c r="G21" i="115" s="1"/>
  <c r="E21" i="115"/>
  <c r="C21" i="115"/>
  <c r="D21" i="115" s="1"/>
  <c r="G20" i="115"/>
  <c r="E20" i="115"/>
  <c r="C20" i="115"/>
  <c r="D20" i="115" s="1"/>
  <c r="E19" i="115"/>
  <c r="F17" i="115"/>
  <c r="F16" i="115"/>
  <c r="F15" i="115"/>
  <c r="F13" i="115"/>
  <c r="F12" i="115"/>
  <c r="B9" i="115"/>
  <c r="B7" i="115"/>
  <c r="B6" i="115"/>
  <c r="B5" i="115"/>
  <c r="F50" i="114"/>
  <c r="F48" i="114"/>
  <c r="F45" i="114"/>
  <c r="F43" i="114"/>
  <c r="F41" i="114"/>
  <c r="G39" i="114"/>
  <c r="F39" i="114"/>
  <c r="E39" i="114"/>
  <c r="D39" i="114"/>
  <c r="C28" i="114"/>
  <c r="F28" i="114" s="1"/>
  <c r="G26" i="114"/>
  <c r="C26" i="114"/>
  <c r="D26" i="114" s="1"/>
  <c r="E22" i="114"/>
  <c r="F21" i="114"/>
  <c r="E21" i="114"/>
  <c r="C21" i="114"/>
  <c r="D21" i="114" s="1"/>
  <c r="G20" i="114"/>
  <c r="E20" i="114"/>
  <c r="C20" i="114"/>
  <c r="D20" i="114" s="1"/>
  <c r="E19" i="114"/>
  <c r="F17" i="114"/>
  <c r="F16" i="114"/>
  <c r="F15" i="114"/>
  <c r="F13" i="114"/>
  <c r="F12" i="114"/>
  <c r="B9" i="114"/>
  <c r="B7" i="114"/>
  <c r="B6" i="114"/>
  <c r="B5" i="114"/>
  <c r="F50" i="113"/>
  <c r="F48" i="113"/>
  <c r="F45" i="113"/>
  <c r="F43" i="113"/>
  <c r="F41" i="113"/>
  <c r="F39" i="113"/>
  <c r="G39" i="113" s="1"/>
  <c r="E39" i="113"/>
  <c r="D39" i="113"/>
  <c r="F28" i="113"/>
  <c r="C28" i="113"/>
  <c r="G26" i="113"/>
  <c r="C26" i="113"/>
  <c r="D26" i="113" s="1"/>
  <c r="E22" i="113"/>
  <c r="F21" i="113"/>
  <c r="E21" i="113"/>
  <c r="C21" i="113"/>
  <c r="D21" i="113" s="1"/>
  <c r="E20" i="113"/>
  <c r="G20" i="113" s="1"/>
  <c r="C20" i="113"/>
  <c r="D20" i="113" s="1"/>
  <c r="E19" i="113"/>
  <c r="F17" i="113"/>
  <c r="F16" i="113"/>
  <c r="F15" i="113"/>
  <c r="F13" i="113"/>
  <c r="F12" i="113"/>
  <c r="B9" i="113"/>
  <c r="B7" i="113"/>
  <c r="B6" i="113"/>
  <c r="B5" i="113"/>
  <c r="F50" i="112"/>
  <c r="F48" i="112"/>
  <c r="F45" i="112"/>
  <c r="F43" i="112"/>
  <c r="F41" i="112"/>
  <c r="F39" i="112"/>
  <c r="E39" i="112"/>
  <c r="G39" i="112" s="1"/>
  <c r="D39" i="112"/>
  <c r="C28" i="112"/>
  <c r="F28" i="112" s="1"/>
  <c r="G26" i="112"/>
  <c r="C26" i="112"/>
  <c r="D26" i="112" s="1"/>
  <c r="E22" i="112"/>
  <c r="F21" i="112"/>
  <c r="G21" i="112" s="1"/>
  <c r="E21" i="112"/>
  <c r="C21" i="112"/>
  <c r="D21" i="112" s="1"/>
  <c r="G20" i="112"/>
  <c r="E20" i="112"/>
  <c r="C20" i="112"/>
  <c r="D20" i="112" s="1"/>
  <c r="H20" i="112" s="1"/>
  <c r="I20" i="112" s="1"/>
  <c r="E19" i="112"/>
  <c r="F17" i="112"/>
  <c r="F16" i="112"/>
  <c r="F15" i="112"/>
  <c r="F13" i="112"/>
  <c r="F12" i="112"/>
  <c r="B9" i="112"/>
  <c r="B7" i="112"/>
  <c r="B6" i="112"/>
  <c r="B5" i="112"/>
  <c r="G21" i="117" l="1"/>
  <c r="H21" i="117" s="1"/>
  <c r="I21" i="117" s="1"/>
  <c r="H21" i="112"/>
  <c r="I21" i="112" s="1"/>
  <c r="H26" i="113"/>
  <c r="I26" i="113" s="1"/>
  <c r="H26" i="116"/>
  <c r="I26" i="116" s="1"/>
  <c r="H21" i="115"/>
  <c r="I21" i="115" s="1"/>
  <c r="H26" i="112"/>
  <c r="I26" i="112" s="1"/>
  <c r="G21" i="113"/>
  <c r="H21" i="113" s="1"/>
  <c r="I21" i="113" s="1"/>
  <c r="G21" i="114"/>
  <c r="H21" i="114" s="1"/>
  <c r="I21" i="114" s="1"/>
  <c r="H20" i="116"/>
  <c r="I20" i="116" s="1"/>
  <c r="H39" i="116"/>
  <c r="I39" i="116" s="1"/>
  <c r="H26" i="117"/>
  <c r="I26" i="117" s="1"/>
  <c r="H39" i="117"/>
  <c r="I39" i="117" s="1"/>
  <c r="G21" i="116"/>
  <c r="H20" i="117"/>
  <c r="I20" i="117" s="1"/>
  <c r="H39" i="113"/>
  <c r="I39" i="113" s="1"/>
  <c r="H20" i="113"/>
  <c r="I20" i="113" s="1"/>
  <c r="H26" i="114"/>
  <c r="I26" i="114" s="1"/>
  <c r="H26" i="115"/>
  <c r="I26" i="115" s="1"/>
  <c r="H20" i="114"/>
  <c r="I20" i="114" s="1"/>
  <c r="H39" i="114"/>
  <c r="I39" i="114" s="1"/>
  <c r="H20" i="115"/>
  <c r="I20" i="115" s="1"/>
  <c r="H39" i="115"/>
  <c r="I39" i="115" s="1"/>
  <c r="H39" i="112"/>
  <c r="I39" i="112" s="1"/>
  <c r="H21" i="116" l="1"/>
  <c r="I21" i="116" s="1"/>
  <c r="F18" i="73" l="1"/>
  <c r="F18" i="74"/>
  <c r="F18" i="75"/>
  <c r="F18" i="71"/>
  <c r="F18" i="72"/>
  <c r="F18" i="76"/>
  <c r="F18" i="77"/>
  <c r="F18" i="78"/>
  <c r="F18" i="5"/>
  <c r="F21" i="61"/>
  <c r="F21" i="62"/>
  <c r="F21" i="57"/>
  <c r="F21" i="58"/>
  <c r="F21" i="59"/>
  <c r="F21" i="60"/>
  <c r="F21" i="46"/>
  <c r="F21" i="47"/>
  <c r="F21" i="48"/>
  <c r="F21" i="49"/>
  <c r="F21" i="50"/>
  <c r="F21" i="51"/>
  <c r="F21" i="52"/>
  <c r="F21" i="53"/>
  <c r="F21" i="54"/>
  <c r="F21" i="104"/>
  <c r="F21" i="56"/>
  <c r="F21" i="4"/>
  <c r="E18" i="77"/>
  <c r="C18" i="77"/>
  <c r="D18" i="77" s="1"/>
  <c r="E17" i="77"/>
  <c r="G17" i="77" s="1"/>
  <c r="C17" i="77"/>
  <c r="D17" i="77" s="1"/>
  <c r="G18" i="77" l="1"/>
  <c r="H18" i="77" s="1"/>
  <c r="I18" i="77" s="1"/>
  <c r="H17" i="77"/>
  <c r="I17" i="77" s="1"/>
  <c r="F22" i="71" l="1"/>
  <c r="F22" i="72"/>
  <c r="F22" i="5"/>
  <c r="F22" i="75"/>
  <c r="F22" i="73"/>
  <c r="F22" i="74"/>
  <c r="F22" i="78"/>
  <c r="F22" i="76"/>
  <c r="F22" i="77"/>
  <c r="C22" i="77" l="1"/>
  <c r="C22" i="78"/>
  <c r="C22" i="76"/>
  <c r="C22" i="75"/>
  <c r="C22" i="74"/>
  <c r="C22" i="73"/>
  <c r="C22" i="5"/>
  <c r="C22" i="72"/>
  <c r="C22" i="71"/>
  <c r="C20" i="79"/>
  <c r="C20" i="80"/>
  <c r="C20" i="81"/>
  <c r="F32" i="113"/>
  <c r="F32" i="114"/>
  <c r="F32" i="115"/>
  <c r="F32" i="117"/>
  <c r="F32" i="116"/>
  <c r="F32" i="112"/>
  <c r="F31" i="113" l="1"/>
  <c r="F31" i="114"/>
  <c r="F31" i="115"/>
  <c r="F31" i="117"/>
  <c r="F31" i="116"/>
  <c r="F31" i="112"/>
  <c r="C23" i="116" l="1"/>
  <c r="C23" i="117"/>
  <c r="C23" i="115"/>
  <c r="C23" i="114"/>
  <c r="C23" i="113"/>
  <c r="C23" i="112"/>
  <c r="F43" i="60" l="1"/>
  <c r="F45" i="60"/>
  <c r="F48" i="60"/>
  <c r="C28" i="59" l="1"/>
  <c r="C28" i="58"/>
  <c r="C28" i="57"/>
  <c r="C28" i="62"/>
  <c r="C28" i="61"/>
  <c r="C28" i="60"/>
  <c r="C28" i="56"/>
  <c r="C28" i="104"/>
  <c r="C28" i="54"/>
  <c r="C28" i="53"/>
  <c r="C28" i="52"/>
  <c r="C28" i="51"/>
  <c r="C28" i="50"/>
  <c r="C28" i="49"/>
  <c r="C28" i="48"/>
  <c r="C28" i="47"/>
  <c r="C28" i="46"/>
  <c r="C28" i="4"/>
  <c r="B16" i="59" l="1"/>
  <c r="B15" i="59"/>
  <c r="B16" i="58"/>
  <c r="B15" i="58"/>
  <c r="B16" i="57"/>
  <c r="B15" i="57"/>
  <c r="B16" i="62"/>
  <c r="B15" i="62"/>
  <c r="B16" i="61"/>
  <c r="B15" i="61"/>
  <c r="B16" i="60"/>
  <c r="B15" i="60"/>
  <c r="B16" i="56"/>
  <c r="B15" i="56"/>
  <c r="B16" i="104"/>
  <c r="B15" i="104"/>
  <c r="B16" i="54"/>
  <c r="B15" i="54"/>
  <c r="B16" i="53"/>
  <c r="B15" i="53"/>
  <c r="B16" i="52"/>
  <c r="B15" i="52"/>
  <c r="B16" i="51"/>
  <c r="B15" i="51"/>
  <c r="B16" i="50"/>
  <c r="B15" i="50"/>
  <c r="B16" i="49"/>
  <c r="B15" i="49"/>
  <c r="B16" i="48"/>
  <c r="B15" i="48"/>
  <c r="B16" i="47"/>
  <c r="B15" i="47"/>
  <c r="B16" i="46"/>
  <c r="B15" i="46"/>
  <c r="B16" i="4"/>
  <c r="B15" i="4"/>
  <c r="F50" i="59" l="1"/>
  <c r="F45" i="59"/>
  <c r="F50" i="62"/>
  <c r="F45" i="62"/>
  <c r="F50" i="4" l="1"/>
  <c r="F50" i="58"/>
  <c r="F50" i="57"/>
  <c r="F50" i="61"/>
  <c r="F50" i="60"/>
  <c r="F50" i="56"/>
  <c r="F50" i="104"/>
  <c r="F50" i="54"/>
  <c r="F50" i="53"/>
  <c r="F50" i="52"/>
  <c r="F50" i="51"/>
  <c r="F50" i="50"/>
  <c r="F50" i="49"/>
  <c r="F50" i="48"/>
  <c r="F50" i="47"/>
  <c r="F50" i="46"/>
  <c r="C15" i="7" l="1"/>
  <c r="F48" i="104" l="1"/>
  <c r="F45" i="104"/>
  <c r="F43" i="104"/>
  <c r="F41" i="104"/>
  <c r="B41" i="104"/>
  <c r="D41" i="104" s="1"/>
  <c r="F39" i="104"/>
  <c r="E39" i="104"/>
  <c r="D39" i="104"/>
  <c r="F28" i="104"/>
  <c r="G26" i="104"/>
  <c r="C26" i="104"/>
  <c r="D26" i="104" s="1"/>
  <c r="E22" i="104"/>
  <c r="E21" i="104"/>
  <c r="C21" i="104"/>
  <c r="D21" i="104" s="1"/>
  <c r="E20" i="104"/>
  <c r="G20" i="104" s="1"/>
  <c r="C20" i="104"/>
  <c r="D20" i="104" s="1"/>
  <c r="E19" i="104"/>
  <c r="F17" i="104"/>
  <c r="B17" i="104"/>
  <c r="D17" i="104" s="1"/>
  <c r="F16" i="104"/>
  <c r="D16" i="104"/>
  <c r="F15" i="104"/>
  <c r="D15" i="104"/>
  <c r="F13" i="104"/>
  <c r="F12" i="104"/>
  <c r="B9" i="104"/>
  <c r="B7" i="104"/>
  <c r="B6" i="104"/>
  <c r="B8" i="104" s="1"/>
  <c r="B38" i="104" s="1"/>
  <c r="B5" i="104"/>
  <c r="G39" i="104" l="1"/>
  <c r="G21" i="104"/>
  <c r="H21" i="104" s="1"/>
  <c r="I21" i="104" s="1"/>
  <c r="E41" i="104"/>
  <c r="G41" i="104" s="1"/>
  <c r="D18" i="104"/>
  <c r="E38" i="104"/>
  <c r="G38" i="104" s="1"/>
  <c r="D38" i="104"/>
  <c r="H41" i="104"/>
  <c r="I41" i="104" s="1"/>
  <c r="B13" i="104"/>
  <c r="B12" i="104"/>
  <c r="H39" i="104"/>
  <c r="I39" i="104" s="1"/>
  <c r="E15" i="104"/>
  <c r="G15" i="104" s="1"/>
  <c r="E16" i="104"/>
  <c r="G16" i="104" s="1"/>
  <c r="H26" i="104"/>
  <c r="I26" i="104" s="1"/>
  <c r="B37" i="104"/>
  <c r="B36" i="104"/>
  <c r="B32" i="104"/>
  <c r="B28" i="104"/>
  <c r="B31" i="104"/>
  <c r="B27" i="104"/>
  <c r="E17" i="104"/>
  <c r="G17" i="104" s="1"/>
  <c r="H20" i="104"/>
  <c r="I20" i="104" s="1"/>
  <c r="B24" i="104"/>
  <c r="B23" i="104"/>
  <c r="C27" i="104"/>
  <c r="F27" i="104" s="1"/>
  <c r="H38" i="104" l="1"/>
  <c r="I38" i="104" s="1"/>
  <c r="H17" i="104"/>
  <c r="I17" i="104" s="1"/>
  <c r="E32" i="104"/>
  <c r="E12" i="104"/>
  <c r="G12" i="104" s="1"/>
  <c r="D12" i="104"/>
  <c r="D27" i="104"/>
  <c r="E27" i="104"/>
  <c r="G27" i="104" s="1"/>
  <c r="E36" i="104"/>
  <c r="G36" i="104" s="1"/>
  <c r="D36" i="104"/>
  <c r="G18" i="104"/>
  <c r="H15" i="104"/>
  <c r="I15" i="104" s="1"/>
  <c r="E13" i="104"/>
  <c r="G13" i="104" s="1"/>
  <c r="D13" i="104"/>
  <c r="E23" i="104"/>
  <c r="E31" i="104"/>
  <c r="E37" i="104"/>
  <c r="G37" i="104" s="1"/>
  <c r="D37" i="104"/>
  <c r="E24" i="104"/>
  <c r="D28" i="104"/>
  <c r="E28" i="104"/>
  <c r="G28" i="104" s="1"/>
  <c r="H16" i="104"/>
  <c r="I16" i="104" s="1"/>
  <c r="D40" i="104" l="1"/>
  <c r="H18" i="104"/>
  <c r="I18" i="104" s="1"/>
  <c r="H27" i="104"/>
  <c r="I27" i="104" s="1"/>
  <c r="H13" i="104"/>
  <c r="I13" i="104" s="1"/>
  <c r="D14" i="104"/>
  <c r="H28" i="104"/>
  <c r="I28" i="104" s="1"/>
  <c r="H36" i="104"/>
  <c r="I36" i="104" s="1"/>
  <c r="G40" i="104"/>
  <c r="H12" i="104"/>
  <c r="I12" i="104" s="1"/>
  <c r="G14" i="104"/>
  <c r="H37" i="104"/>
  <c r="I37" i="104" s="1"/>
  <c r="F32" i="104"/>
  <c r="G32" i="104" s="1"/>
  <c r="F31" i="104"/>
  <c r="G31" i="104" s="1"/>
  <c r="G33" i="104" l="1"/>
  <c r="H40" i="104"/>
  <c r="I40" i="104" s="1"/>
  <c r="H14" i="104"/>
  <c r="I14" i="104" s="1"/>
  <c r="C17" i="71" l="1"/>
  <c r="C17" i="72"/>
  <c r="C17" i="73"/>
  <c r="C17" i="74"/>
  <c r="C17" i="75"/>
  <c r="C17" i="76"/>
  <c r="C17" i="78"/>
  <c r="C17" i="5"/>
  <c r="C16" i="63"/>
  <c r="C16" i="64"/>
  <c r="C16" i="79" l="1"/>
  <c r="C16" i="81"/>
  <c r="C16" i="80"/>
  <c r="B17" i="62"/>
  <c r="B17" i="61"/>
  <c r="B17" i="60"/>
  <c r="B17" i="59"/>
  <c r="B17" i="58"/>
  <c r="B17" i="57"/>
  <c r="B17" i="56"/>
  <c r="B17" i="54"/>
  <c r="B17" i="53"/>
  <c r="B17" i="52"/>
  <c r="B17" i="51"/>
  <c r="B17" i="50"/>
  <c r="B17" i="49"/>
  <c r="B17" i="48"/>
  <c r="B17" i="47"/>
  <c r="B17" i="46"/>
  <c r="B17" i="4"/>
  <c r="D46" i="7" l="1"/>
  <c r="D44" i="7"/>
  <c r="C46" i="7"/>
  <c r="C44" i="7"/>
  <c r="D43" i="7"/>
  <c r="D41" i="7"/>
  <c r="C43" i="7"/>
  <c r="C41" i="7"/>
  <c r="C40" i="7"/>
  <c r="C38" i="7"/>
  <c r="C37" i="7"/>
  <c r="C35" i="7"/>
  <c r="C34" i="7"/>
  <c r="C32" i="7"/>
  <c r="D31" i="7"/>
  <c r="D29" i="7"/>
  <c r="C31" i="7"/>
  <c r="C29" i="7"/>
  <c r="D28" i="7"/>
  <c r="C28" i="7"/>
  <c r="D26" i="7"/>
  <c r="C26" i="7"/>
  <c r="C25" i="7"/>
  <c r="C23" i="7"/>
  <c r="C22" i="7"/>
  <c r="C21" i="7"/>
  <c r="C19" i="7"/>
  <c r="C18" i="7"/>
  <c r="C17" i="7"/>
  <c r="C14" i="7"/>
  <c r="C13" i="7"/>
  <c r="C11" i="7"/>
  <c r="C10" i="7"/>
  <c r="C9" i="7"/>
  <c r="C7" i="7"/>
  <c r="C6" i="7"/>
  <c r="C5" i="7"/>
  <c r="C3" i="7"/>
  <c r="C2" i="7"/>
  <c r="F31" i="81" l="1"/>
  <c r="F29" i="81"/>
  <c r="E29" i="81"/>
  <c r="D29" i="81"/>
  <c r="E17" i="81"/>
  <c r="E16" i="81"/>
  <c r="F31" i="80"/>
  <c r="F29" i="80"/>
  <c r="E29" i="80"/>
  <c r="G29" i="80" s="1"/>
  <c r="D29" i="80"/>
  <c r="E17" i="80"/>
  <c r="E16" i="80"/>
  <c r="F31" i="79"/>
  <c r="F29" i="79"/>
  <c r="E29" i="79"/>
  <c r="D29" i="79"/>
  <c r="E17" i="79"/>
  <c r="E16" i="79"/>
  <c r="F33" i="78"/>
  <c r="F31" i="78"/>
  <c r="E31" i="78"/>
  <c r="D31" i="78"/>
  <c r="E19" i="78"/>
  <c r="E18" i="78"/>
  <c r="E17" i="78"/>
  <c r="G17" i="78" s="1"/>
  <c r="D17" i="78"/>
  <c r="E16" i="78"/>
  <c r="F33" i="77"/>
  <c r="F31" i="77"/>
  <c r="E31" i="77"/>
  <c r="G31" i="77" s="1"/>
  <c r="D31" i="77"/>
  <c r="E19" i="77"/>
  <c r="E16" i="77"/>
  <c r="F33" i="76"/>
  <c r="F31" i="76"/>
  <c r="E31" i="76"/>
  <c r="G31" i="76" s="1"/>
  <c r="D31" i="76"/>
  <c r="E19" i="76"/>
  <c r="E18" i="76"/>
  <c r="E17" i="76"/>
  <c r="G17" i="76" s="1"/>
  <c r="D17" i="76"/>
  <c r="E16" i="76"/>
  <c r="F33" i="75"/>
  <c r="F31" i="75"/>
  <c r="E31" i="75"/>
  <c r="D31" i="75"/>
  <c r="E19" i="75"/>
  <c r="E18" i="75"/>
  <c r="E17" i="75"/>
  <c r="G17" i="75" s="1"/>
  <c r="D17" i="75"/>
  <c r="E16" i="75"/>
  <c r="F33" i="74"/>
  <c r="F31" i="74"/>
  <c r="E31" i="74"/>
  <c r="D31" i="74"/>
  <c r="E19" i="74"/>
  <c r="E18" i="74"/>
  <c r="E17" i="74"/>
  <c r="G17" i="74" s="1"/>
  <c r="D17" i="74"/>
  <c r="E16" i="74"/>
  <c r="F33" i="73"/>
  <c r="F31" i="73"/>
  <c r="E31" i="73"/>
  <c r="D31" i="73"/>
  <c r="E19" i="73"/>
  <c r="E18" i="73"/>
  <c r="E17" i="73"/>
  <c r="G17" i="73" s="1"/>
  <c r="D17" i="73"/>
  <c r="E16" i="73"/>
  <c r="F33" i="72"/>
  <c r="F31" i="72"/>
  <c r="E31" i="72"/>
  <c r="D31" i="72"/>
  <c r="E19" i="72"/>
  <c r="E18" i="72"/>
  <c r="E17" i="72"/>
  <c r="G17" i="72" s="1"/>
  <c r="D17" i="72"/>
  <c r="E16" i="72"/>
  <c r="F33" i="71"/>
  <c r="F31" i="71"/>
  <c r="E31" i="71"/>
  <c r="D31" i="71"/>
  <c r="E19" i="71"/>
  <c r="E18" i="71"/>
  <c r="E17" i="71"/>
  <c r="G17" i="71" s="1"/>
  <c r="D17" i="71"/>
  <c r="E16" i="71"/>
  <c r="F33" i="5"/>
  <c r="F31" i="5"/>
  <c r="E31" i="5"/>
  <c r="D31" i="5"/>
  <c r="E19" i="5"/>
  <c r="E18" i="5"/>
  <c r="E17" i="5"/>
  <c r="G17" i="5" s="1"/>
  <c r="D17" i="5"/>
  <c r="E16" i="5"/>
  <c r="F32" i="70"/>
  <c r="F30" i="70"/>
  <c r="E30" i="70"/>
  <c r="D30" i="70"/>
  <c r="E16" i="70"/>
  <c r="E15" i="70"/>
  <c r="F32" i="69"/>
  <c r="F30" i="69"/>
  <c r="E30" i="69"/>
  <c r="D30" i="69"/>
  <c r="E16" i="69"/>
  <c r="E15" i="69"/>
  <c r="F32" i="68"/>
  <c r="F30" i="68"/>
  <c r="E30" i="68"/>
  <c r="G30" i="68" s="1"/>
  <c r="D30" i="68"/>
  <c r="E16" i="68"/>
  <c r="E15" i="68"/>
  <c r="F32" i="67"/>
  <c r="F30" i="67"/>
  <c r="E30" i="67"/>
  <c r="G30" i="67" s="1"/>
  <c r="D30" i="67"/>
  <c r="E16" i="67"/>
  <c r="E15" i="67"/>
  <c r="F32" i="66"/>
  <c r="F30" i="66"/>
  <c r="E30" i="66"/>
  <c r="D30" i="66"/>
  <c r="E16" i="66"/>
  <c r="E15" i="66"/>
  <c r="F32" i="65"/>
  <c r="F30" i="65"/>
  <c r="E30" i="65"/>
  <c r="G30" i="65" s="1"/>
  <c r="D30" i="65"/>
  <c r="E16" i="65"/>
  <c r="E15" i="65"/>
  <c r="F32" i="64"/>
  <c r="F30" i="64"/>
  <c r="E30" i="64"/>
  <c r="G30" i="64" s="1"/>
  <c r="D30" i="64"/>
  <c r="E16" i="64"/>
  <c r="E15" i="64"/>
  <c r="F32" i="63"/>
  <c r="F30" i="63"/>
  <c r="E30" i="63"/>
  <c r="D30" i="63"/>
  <c r="E16" i="63"/>
  <c r="E15" i="63"/>
  <c r="F41" i="62"/>
  <c r="F39" i="62"/>
  <c r="E39" i="62"/>
  <c r="D39" i="62"/>
  <c r="F28" i="62"/>
  <c r="G26" i="62"/>
  <c r="C26" i="62"/>
  <c r="D26" i="62" s="1"/>
  <c r="E22" i="62"/>
  <c r="E21" i="62"/>
  <c r="E20" i="62"/>
  <c r="G20" i="62" s="1"/>
  <c r="C20" i="62"/>
  <c r="D20" i="62" s="1"/>
  <c r="E19" i="62"/>
  <c r="F41" i="61"/>
  <c r="F39" i="61"/>
  <c r="E39" i="61"/>
  <c r="D39" i="61"/>
  <c r="F28" i="61"/>
  <c r="G26" i="61"/>
  <c r="C26" i="61"/>
  <c r="D26" i="61" s="1"/>
  <c r="E22" i="61"/>
  <c r="E21" i="61"/>
  <c r="E20" i="61"/>
  <c r="G20" i="61" s="1"/>
  <c r="C20" i="61"/>
  <c r="D20" i="61" s="1"/>
  <c r="E19" i="61"/>
  <c r="F41" i="60"/>
  <c r="F39" i="60"/>
  <c r="E39" i="60"/>
  <c r="D39" i="60"/>
  <c r="F28" i="60"/>
  <c r="G26" i="60"/>
  <c r="C26" i="60"/>
  <c r="D26" i="60" s="1"/>
  <c r="E22" i="60"/>
  <c r="E21" i="60"/>
  <c r="E20" i="60"/>
  <c r="G20" i="60" s="1"/>
  <c r="C20" i="60"/>
  <c r="D20" i="60" s="1"/>
  <c r="E19" i="60"/>
  <c r="F41" i="59"/>
  <c r="F39" i="59"/>
  <c r="E39" i="59"/>
  <c r="D39" i="59"/>
  <c r="F28" i="59"/>
  <c r="G26" i="59"/>
  <c r="C26" i="59"/>
  <c r="D26" i="59" s="1"/>
  <c r="E22" i="59"/>
  <c r="E21" i="59"/>
  <c r="E20" i="59"/>
  <c r="G20" i="59" s="1"/>
  <c r="C20" i="59"/>
  <c r="D20" i="59" s="1"/>
  <c r="E19" i="59"/>
  <c r="F41" i="58"/>
  <c r="F39" i="58"/>
  <c r="E39" i="58"/>
  <c r="D39" i="58"/>
  <c r="F28" i="58"/>
  <c r="G26" i="58"/>
  <c r="C26" i="58"/>
  <c r="D26" i="58" s="1"/>
  <c r="E22" i="58"/>
  <c r="E21" i="58"/>
  <c r="E20" i="58"/>
  <c r="G20" i="58" s="1"/>
  <c r="C20" i="58"/>
  <c r="D20" i="58" s="1"/>
  <c r="E19" i="58"/>
  <c r="F41" i="57"/>
  <c r="F39" i="57"/>
  <c r="E39" i="57"/>
  <c r="D39" i="57"/>
  <c r="F28" i="57"/>
  <c r="G26" i="57"/>
  <c r="C26" i="57"/>
  <c r="D26" i="57" s="1"/>
  <c r="E22" i="57"/>
  <c r="E21" i="57"/>
  <c r="E20" i="57"/>
  <c r="G20" i="57" s="1"/>
  <c r="C20" i="57"/>
  <c r="D20" i="57" s="1"/>
  <c r="E19" i="57"/>
  <c r="F41" i="56"/>
  <c r="F39" i="56"/>
  <c r="E39" i="56"/>
  <c r="G39" i="56" s="1"/>
  <c r="D39" i="56"/>
  <c r="F28" i="56"/>
  <c r="G26" i="56"/>
  <c r="C26" i="56"/>
  <c r="D26" i="56" s="1"/>
  <c r="E22" i="56"/>
  <c r="E21" i="56"/>
  <c r="E20" i="56"/>
  <c r="G20" i="56" s="1"/>
  <c r="C20" i="56"/>
  <c r="D20" i="56" s="1"/>
  <c r="E19" i="56"/>
  <c r="F41" i="54"/>
  <c r="F39" i="54"/>
  <c r="E39" i="54"/>
  <c r="D39" i="54"/>
  <c r="F28" i="54"/>
  <c r="G26" i="54"/>
  <c r="C26" i="54"/>
  <c r="D26" i="54" s="1"/>
  <c r="E22" i="54"/>
  <c r="E21" i="54"/>
  <c r="E20" i="54"/>
  <c r="G20" i="54" s="1"/>
  <c r="C20" i="54"/>
  <c r="D20" i="54" s="1"/>
  <c r="E19" i="54"/>
  <c r="F41" i="53"/>
  <c r="F39" i="53"/>
  <c r="E39" i="53"/>
  <c r="D39" i="53"/>
  <c r="F28" i="53"/>
  <c r="G26" i="53"/>
  <c r="C26" i="53"/>
  <c r="D26" i="53" s="1"/>
  <c r="E22" i="53"/>
  <c r="E21" i="53"/>
  <c r="E20" i="53"/>
  <c r="G20" i="53" s="1"/>
  <c r="C20" i="53"/>
  <c r="D20" i="53" s="1"/>
  <c r="E19" i="53"/>
  <c r="F41" i="52"/>
  <c r="F39" i="52"/>
  <c r="E39" i="52"/>
  <c r="D39" i="52"/>
  <c r="F28" i="52"/>
  <c r="G26" i="52"/>
  <c r="C26" i="52"/>
  <c r="D26" i="52" s="1"/>
  <c r="E22" i="52"/>
  <c r="E21" i="52"/>
  <c r="E20" i="52"/>
  <c r="G20" i="52" s="1"/>
  <c r="C20" i="52"/>
  <c r="D20" i="52" s="1"/>
  <c r="E19" i="52"/>
  <c r="F41" i="51"/>
  <c r="F39" i="51"/>
  <c r="E39" i="51"/>
  <c r="D39" i="51"/>
  <c r="F28" i="51"/>
  <c r="G26" i="51"/>
  <c r="C26" i="51"/>
  <c r="D26" i="51" s="1"/>
  <c r="E22" i="51"/>
  <c r="E21" i="51"/>
  <c r="E20" i="51"/>
  <c r="G20" i="51" s="1"/>
  <c r="C20" i="51"/>
  <c r="D20" i="51" s="1"/>
  <c r="E19" i="51"/>
  <c r="F41" i="50"/>
  <c r="F39" i="50"/>
  <c r="E39" i="50"/>
  <c r="D39" i="50"/>
  <c r="F28" i="50"/>
  <c r="G26" i="50"/>
  <c r="C26" i="50"/>
  <c r="D26" i="50" s="1"/>
  <c r="E22" i="50"/>
  <c r="E21" i="50"/>
  <c r="E20" i="50"/>
  <c r="G20" i="50" s="1"/>
  <c r="C20" i="50"/>
  <c r="D20" i="50" s="1"/>
  <c r="E19" i="50"/>
  <c r="F41" i="49"/>
  <c r="F39" i="49"/>
  <c r="E39" i="49"/>
  <c r="D39" i="49"/>
  <c r="F28" i="49"/>
  <c r="G26" i="49"/>
  <c r="C26" i="49"/>
  <c r="D26" i="49" s="1"/>
  <c r="E22" i="49"/>
  <c r="E21" i="49"/>
  <c r="E20" i="49"/>
  <c r="G20" i="49" s="1"/>
  <c r="C20" i="49"/>
  <c r="D20" i="49" s="1"/>
  <c r="E19" i="49"/>
  <c r="F41" i="48"/>
  <c r="F39" i="48"/>
  <c r="E39" i="48"/>
  <c r="D39" i="48"/>
  <c r="F28" i="48"/>
  <c r="G26" i="48"/>
  <c r="C26" i="48"/>
  <c r="D26" i="48" s="1"/>
  <c r="E22" i="48"/>
  <c r="E21" i="48"/>
  <c r="E20" i="48"/>
  <c r="G20" i="48" s="1"/>
  <c r="C20" i="48"/>
  <c r="D20" i="48" s="1"/>
  <c r="E19" i="48"/>
  <c r="F41" i="47"/>
  <c r="F39" i="47"/>
  <c r="E39" i="47"/>
  <c r="D39" i="47"/>
  <c r="F28" i="47"/>
  <c r="G26" i="47"/>
  <c r="C26" i="47"/>
  <c r="D26" i="47" s="1"/>
  <c r="E22" i="47"/>
  <c r="E21" i="47"/>
  <c r="E20" i="47"/>
  <c r="G20" i="47" s="1"/>
  <c r="C20" i="47"/>
  <c r="D20" i="47" s="1"/>
  <c r="E19" i="47"/>
  <c r="F41" i="46"/>
  <c r="F39" i="46"/>
  <c r="E39" i="46"/>
  <c r="D39" i="46"/>
  <c r="F28" i="46"/>
  <c r="G26" i="46"/>
  <c r="C26" i="46"/>
  <c r="D26" i="46" s="1"/>
  <c r="E22" i="46"/>
  <c r="E21" i="46"/>
  <c r="E20" i="46"/>
  <c r="G20" i="46" s="1"/>
  <c r="C20" i="46"/>
  <c r="D20" i="46" s="1"/>
  <c r="E19" i="46"/>
  <c r="F32" i="46"/>
  <c r="F31" i="46"/>
  <c r="G30" i="63" l="1"/>
  <c r="G30" i="66"/>
  <c r="G30" i="70"/>
  <c r="G30" i="69"/>
  <c r="G29" i="81"/>
  <c r="G31" i="5"/>
  <c r="G31" i="71"/>
  <c r="G31" i="78"/>
  <c r="G31" i="72"/>
  <c r="G39" i="58"/>
  <c r="G39" i="60"/>
  <c r="G39" i="61"/>
  <c r="G39" i="62"/>
  <c r="G39" i="53"/>
  <c r="G39" i="54"/>
  <c r="G39" i="46"/>
  <c r="G39" i="47"/>
  <c r="G39" i="48"/>
  <c r="G39" i="50"/>
  <c r="G39" i="51"/>
  <c r="G39" i="57"/>
  <c r="G29" i="79"/>
  <c r="G39" i="52"/>
  <c r="G39" i="49"/>
  <c r="G39" i="59"/>
  <c r="G31" i="75"/>
  <c r="G31" i="74"/>
  <c r="G31" i="73"/>
  <c r="D16" i="81"/>
  <c r="D16" i="79"/>
  <c r="D16" i="80"/>
  <c r="C18" i="80"/>
  <c r="C18" i="81"/>
  <c r="C18" i="79"/>
  <c r="F32" i="4"/>
  <c r="F31" i="47"/>
  <c r="F32" i="47"/>
  <c r="C20" i="78"/>
  <c r="C20" i="76"/>
  <c r="C20" i="77"/>
  <c r="F31" i="4"/>
  <c r="F23" i="81" l="1"/>
  <c r="F23" i="79"/>
  <c r="F23" i="80"/>
  <c r="F25" i="75"/>
  <c r="F25" i="73"/>
  <c r="F25" i="74"/>
  <c r="F24" i="70"/>
  <c r="F24" i="69"/>
  <c r="F24" i="68"/>
  <c r="F24" i="64"/>
  <c r="F24" i="63"/>
  <c r="F24" i="25"/>
  <c r="F32" i="58"/>
  <c r="F32" i="59"/>
  <c r="F32" i="57"/>
  <c r="F32" i="52"/>
  <c r="F32" i="53"/>
  <c r="F32" i="51"/>
  <c r="F24" i="78"/>
  <c r="F24" i="76"/>
  <c r="F24" i="77"/>
  <c r="F24" i="72"/>
  <c r="F24" i="5"/>
  <c r="F24" i="71"/>
  <c r="F23" i="67"/>
  <c r="F23" i="66"/>
  <c r="F23" i="65"/>
  <c r="F31" i="62"/>
  <c r="F31" i="60"/>
  <c r="F31" i="61"/>
  <c r="F31" i="56"/>
  <c r="F31" i="54"/>
  <c r="F31" i="50"/>
  <c r="F31" i="48"/>
  <c r="F31" i="49"/>
  <c r="F25" i="77"/>
  <c r="F25" i="78"/>
  <c r="F25" i="76"/>
  <c r="F25" i="71"/>
  <c r="F25" i="72"/>
  <c r="F25" i="5"/>
  <c r="F24" i="67"/>
  <c r="F24" i="66"/>
  <c r="F24" i="65"/>
  <c r="F32" i="62"/>
  <c r="F32" i="60"/>
  <c r="F32" i="61"/>
  <c r="F32" i="56"/>
  <c r="F32" i="54"/>
  <c r="F32" i="50"/>
  <c r="F32" i="48"/>
  <c r="F32" i="49"/>
  <c r="F22" i="80"/>
  <c r="F22" i="81"/>
  <c r="F22" i="79"/>
  <c r="F24" i="74"/>
  <c r="F24" i="75"/>
  <c r="F24" i="73"/>
  <c r="F23" i="70"/>
  <c r="F23" i="69"/>
  <c r="F23" i="68"/>
  <c r="F23" i="64"/>
  <c r="F23" i="63"/>
  <c r="F23" i="25"/>
  <c r="F31" i="58"/>
  <c r="F31" i="59"/>
  <c r="F31" i="57"/>
  <c r="F31" i="52"/>
  <c r="F31" i="53"/>
  <c r="F31" i="51"/>
  <c r="F35" i="81" l="1"/>
  <c r="F33" i="81"/>
  <c r="B31" i="81"/>
  <c r="B23" i="81"/>
  <c r="B22" i="81"/>
  <c r="B19" i="81"/>
  <c r="B18" i="81"/>
  <c r="F14" i="81"/>
  <c r="E14" i="81"/>
  <c r="D14" i="81"/>
  <c r="F13" i="81"/>
  <c r="B8" i="81"/>
  <c r="B7" i="81"/>
  <c r="B6" i="81"/>
  <c r="B9" i="81" s="1"/>
  <c r="B20" i="81" s="1"/>
  <c r="F35" i="80"/>
  <c r="F33" i="80"/>
  <c r="F14" i="80"/>
  <c r="E14" i="80"/>
  <c r="D14" i="80"/>
  <c r="F13" i="80"/>
  <c r="B8" i="80"/>
  <c r="B6" i="80"/>
  <c r="F35" i="79"/>
  <c r="F33" i="79"/>
  <c r="B31" i="79"/>
  <c r="B23" i="79"/>
  <c r="B22" i="79"/>
  <c r="B19" i="79"/>
  <c r="B18" i="79"/>
  <c r="F14" i="79"/>
  <c r="E14" i="79"/>
  <c r="D14" i="79"/>
  <c r="F13" i="79"/>
  <c r="B8" i="79"/>
  <c r="B7" i="79"/>
  <c r="B6" i="79"/>
  <c r="B9" i="79" s="1"/>
  <c r="B20" i="79" s="1"/>
  <c r="F37" i="78"/>
  <c r="F35" i="78"/>
  <c r="B33" i="78"/>
  <c r="B25" i="78"/>
  <c r="B24" i="78"/>
  <c r="B21" i="78"/>
  <c r="B20" i="78"/>
  <c r="F14" i="78"/>
  <c r="E14" i="78"/>
  <c r="D14" i="78"/>
  <c r="F13" i="78"/>
  <c r="B8" i="78"/>
  <c r="B7" i="78"/>
  <c r="B6" i="78"/>
  <c r="B9" i="78" s="1"/>
  <c r="B22" i="78" s="1"/>
  <c r="F37" i="77"/>
  <c r="F35" i="77"/>
  <c r="F14" i="77"/>
  <c r="E14" i="77"/>
  <c r="D14" i="77"/>
  <c r="F13" i="77"/>
  <c r="B8" i="77"/>
  <c r="B6" i="77"/>
  <c r="F37" i="76"/>
  <c r="F35" i="76"/>
  <c r="B33" i="76"/>
  <c r="B25" i="76"/>
  <c r="B24" i="76"/>
  <c r="B21" i="76"/>
  <c r="B20" i="76"/>
  <c r="F14" i="76"/>
  <c r="E14" i="76"/>
  <c r="D14" i="76"/>
  <c r="F13" i="76"/>
  <c r="B8" i="76"/>
  <c r="B7" i="76"/>
  <c r="B6" i="76"/>
  <c r="B9" i="76" s="1"/>
  <c r="B22" i="76" s="1"/>
  <c r="F37" i="75"/>
  <c r="F35" i="75"/>
  <c r="B33" i="75"/>
  <c r="B25" i="75"/>
  <c r="B24" i="75"/>
  <c r="B21" i="75"/>
  <c r="B20" i="75"/>
  <c r="F14" i="75"/>
  <c r="E14" i="75"/>
  <c r="D14" i="75"/>
  <c r="F13" i="75"/>
  <c r="B8" i="75"/>
  <c r="B7" i="75"/>
  <c r="B6" i="75"/>
  <c r="B9" i="75" s="1"/>
  <c r="B22" i="75" s="1"/>
  <c r="F37" i="74"/>
  <c r="F35" i="74"/>
  <c r="F14" i="74"/>
  <c r="E14" i="74"/>
  <c r="D14" i="74"/>
  <c r="F13" i="74"/>
  <c r="B8" i="74"/>
  <c r="B6" i="74"/>
  <c r="F37" i="73"/>
  <c r="F35" i="73"/>
  <c r="B33" i="73"/>
  <c r="B25" i="73"/>
  <c r="B24" i="73"/>
  <c r="B21" i="73"/>
  <c r="B20" i="73"/>
  <c r="F14" i="73"/>
  <c r="E14" i="73"/>
  <c r="D14" i="73"/>
  <c r="F13" i="73"/>
  <c r="B8" i="73"/>
  <c r="B7" i="73"/>
  <c r="B6" i="73"/>
  <c r="B9" i="73" s="1"/>
  <c r="B22" i="73" s="1"/>
  <c r="B7" i="72"/>
  <c r="B7" i="5"/>
  <c r="F37" i="72"/>
  <c r="F35" i="72"/>
  <c r="B25" i="72"/>
  <c r="B24" i="72"/>
  <c r="B21" i="72"/>
  <c r="B20" i="72"/>
  <c r="F14" i="72"/>
  <c r="E14" i="72"/>
  <c r="D14" i="72"/>
  <c r="F13" i="72"/>
  <c r="B8" i="72"/>
  <c r="B6" i="72"/>
  <c r="B33" i="72"/>
  <c r="F37" i="71"/>
  <c r="F35" i="71"/>
  <c r="F14" i="71"/>
  <c r="E14" i="71"/>
  <c r="D14" i="71"/>
  <c r="F13" i="71"/>
  <c r="B8" i="71"/>
  <c r="B6" i="71"/>
  <c r="F36" i="70"/>
  <c r="F34" i="70"/>
  <c r="B32" i="70"/>
  <c r="F13" i="70"/>
  <c r="F12" i="70"/>
  <c r="B9" i="70"/>
  <c r="B18" i="70" s="1"/>
  <c r="B7" i="70"/>
  <c r="B6" i="70"/>
  <c r="B8" i="70" s="1"/>
  <c r="B5" i="70"/>
  <c r="F36" i="69"/>
  <c r="F34" i="69"/>
  <c r="F13" i="69"/>
  <c r="F12" i="69"/>
  <c r="B9" i="69"/>
  <c r="B7" i="69"/>
  <c r="B6" i="69"/>
  <c r="B5" i="69"/>
  <c r="F36" i="68"/>
  <c r="F34" i="68"/>
  <c r="B32" i="68"/>
  <c r="F13" i="68"/>
  <c r="F12" i="68"/>
  <c r="B9" i="68"/>
  <c r="B18" i="68" s="1"/>
  <c r="B7" i="68"/>
  <c r="B6" i="68"/>
  <c r="B8" i="68" s="1"/>
  <c r="B5" i="68"/>
  <c r="F36" i="67"/>
  <c r="F34" i="67"/>
  <c r="B32" i="67"/>
  <c r="F13" i="67"/>
  <c r="F12" i="67"/>
  <c r="B9" i="67"/>
  <c r="B18" i="67" s="1"/>
  <c r="B7" i="67"/>
  <c r="B6" i="67"/>
  <c r="B8" i="67" s="1"/>
  <c r="B5" i="67"/>
  <c r="F36" i="66"/>
  <c r="F34" i="66"/>
  <c r="F13" i="66"/>
  <c r="F12" i="66"/>
  <c r="B9" i="66"/>
  <c r="B7" i="66"/>
  <c r="B6" i="66"/>
  <c r="B5" i="66"/>
  <c r="F36" i="65"/>
  <c r="F34" i="65"/>
  <c r="B32" i="65"/>
  <c r="F13" i="65"/>
  <c r="F12" i="65"/>
  <c r="B9" i="65"/>
  <c r="B18" i="65" s="1"/>
  <c r="B7" i="65"/>
  <c r="B6" i="65"/>
  <c r="B8" i="65" s="1"/>
  <c r="B5" i="65"/>
  <c r="F36" i="64"/>
  <c r="F34" i="64"/>
  <c r="B32" i="64"/>
  <c r="F13" i="64"/>
  <c r="F12" i="64"/>
  <c r="B9" i="64"/>
  <c r="B18" i="64" s="1"/>
  <c r="B7" i="64"/>
  <c r="B6" i="64"/>
  <c r="B8" i="64" s="1"/>
  <c r="B5" i="64"/>
  <c r="F36" i="63"/>
  <c r="F34" i="63"/>
  <c r="F13" i="63"/>
  <c r="F12" i="63"/>
  <c r="B9" i="63"/>
  <c r="B7" i="63"/>
  <c r="B6" i="63"/>
  <c r="B5" i="63"/>
  <c r="E16" i="25"/>
  <c r="F48" i="62"/>
  <c r="F43" i="62"/>
  <c r="B41" i="62"/>
  <c r="F17" i="62"/>
  <c r="F16" i="62"/>
  <c r="F15" i="62"/>
  <c r="F13" i="62"/>
  <c r="F12" i="62"/>
  <c r="B9" i="62"/>
  <c r="B24" i="62" s="1"/>
  <c r="B7" i="62"/>
  <c r="B6" i="62"/>
  <c r="B8" i="62" s="1"/>
  <c r="B38" i="62" s="1"/>
  <c r="B5" i="62"/>
  <c r="F48" i="61"/>
  <c r="F45" i="61"/>
  <c r="F43" i="61"/>
  <c r="B41" i="61"/>
  <c r="F17" i="61"/>
  <c r="F16" i="61"/>
  <c r="F15" i="61"/>
  <c r="F13" i="61"/>
  <c r="F12" i="61"/>
  <c r="B9" i="61"/>
  <c r="B24" i="61" s="1"/>
  <c r="B7" i="61"/>
  <c r="B6" i="61"/>
  <c r="B5" i="61"/>
  <c r="B41" i="60"/>
  <c r="F17" i="60"/>
  <c r="F16" i="60"/>
  <c r="F15" i="60"/>
  <c r="F13" i="60"/>
  <c r="F12" i="60"/>
  <c r="B9" i="60"/>
  <c r="B24" i="60" s="1"/>
  <c r="B7" i="60"/>
  <c r="B6" i="60"/>
  <c r="B5" i="60"/>
  <c r="F48" i="59"/>
  <c r="F43" i="59"/>
  <c r="B41" i="59"/>
  <c r="F17" i="59"/>
  <c r="F16" i="59"/>
  <c r="F15" i="59"/>
  <c r="F13" i="59"/>
  <c r="F12" i="59"/>
  <c r="B9" i="59"/>
  <c r="B24" i="59" s="1"/>
  <c r="B7" i="59"/>
  <c r="B6" i="59"/>
  <c r="B8" i="59" s="1"/>
  <c r="B38" i="59" s="1"/>
  <c r="B5" i="59"/>
  <c r="F48" i="58"/>
  <c r="F45" i="58"/>
  <c r="F43" i="58"/>
  <c r="B41" i="58"/>
  <c r="F17" i="58"/>
  <c r="F16" i="58"/>
  <c r="F15" i="58"/>
  <c r="F13" i="58"/>
  <c r="F12" i="58"/>
  <c r="B9" i="58"/>
  <c r="B24" i="58" s="1"/>
  <c r="B7" i="58"/>
  <c r="B6" i="58"/>
  <c r="B5" i="58"/>
  <c r="F48" i="57"/>
  <c r="F45" i="57"/>
  <c r="F43" i="57"/>
  <c r="B41" i="57"/>
  <c r="F17" i="57"/>
  <c r="F16" i="57"/>
  <c r="F15" i="57"/>
  <c r="F13" i="57"/>
  <c r="F12" i="57"/>
  <c r="B9" i="57"/>
  <c r="B24" i="57" s="1"/>
  <c r="B7" i="57"/>
  <c r="B6" i="57"/>
  <c r="B8" i="57" s="1"/>
  <c r="B38" i="57" s="1"/>
  <c r="B5" i="57"/>
  <c r="F48" i="56"/>
  <c r="F45" i="56"/>
  <c r="F43" i="56"/>
  <c r="B41" i="56"/>
  <c r="F17" i="56"/>
  <c r="F16" i="56"/>
  <c r="F15" i="56"/>
  <c r="F13" i="56"/>
  <c r="F12" i="56"/>
  <c r="B9" i="56"/>
  <c r="B24" i="56" s="1"/>
  <c r="B7" i="56"/>
  <c r="B6" i="56"/>
  <c r="B5" i="56"/>
  <c r="F48" i="54"/>
  <c r="F45" i="54"/>
  <c r="F43" i="54"/>
  <c r="B41" i="54"/>
  <c r="F17" i="54"/>
  <c r="F16" i="54"/>
  <c r="F15" i="54"/>
  <c r="F13" i="54"/>
  <c r="F12" i="54"/>
  <c r="B9" i="54"/>
  <c r="B24" i="54" s="1"/>
  <c r="B7" i="54"/>
  <c r="B6" i="54"/>
  <c r="B5" i="54"/>
  <c r="F48" i="53"/>
  <c r="F45" i="53"/>
  <c r="F43" i="53"/>
  <c r="B41" i="53"/>
  <c r="F17" i="53"/>
  <c r="F16" i="53"/>
  <c r="F15" i="53"/>
  <c r="F13" i="53"/>
  <c r="F12" i="53"/>
  <c r="B9" i="53"/>
  <c r="B24" i="53" s="1"/>
  <c r="B7" i="53"/>
  <c r="B6" i="53"/>
  <c r="B8" i="53" s="1"/>
  <c r="B38" i="53" s="1"/>
  <c r="B5" i="53"/>
  <c r="F48" i="52"/>
  <c r="F45" i="52"/>
  <c r="F43" i="52"/>
  <c r="B41" i="52"/>
  <c r="F17" i="52"/>
  <c r="F16" i="52"/>
  <c r="F15" i="52"/>
  <c r="F13" i="52"/>
  <c r="F12" i="52"/>
  <c r="B9" i="52"/>
  <c r="B24" i="52" s="1"/>
  <c r="B7" i="52"/>
  <c r="B6" i="52"/>
  <c r="B5" i="52"/>
  <c r="F48" i="51"/>
  <c r="F45" i="51"/>
  <c r="F43" i="51"/>
  <c r="B41" i="51"/>
  <c r="F17" i="51"/>
  <c r="F16" i="51"/>
  <c r="F15" i="51"/>
  <c r="F13" i="51"/>
  <c r="F12" i="51"/>
  <c r="B9" i="51"/>
  <c r="B7" i="51"/>
  <c r="B6" i="51"/>
  <c r="B8" i="51" s="1"/>
  <c r="B38" i="51" s="1"/>
  <c r="B5" i="51"/>
  <c r="F48" i="50"/>
  <c r="F45" i="50"/>
  <c r="F43" i="50"/>
  <c r="B41" i="50"/>
  <c r="F17" i="50"/>
  <c r="F16" i="50"/>
  <c r="F15" i="50"/>
  <c r="F13" i="50"/>
  <c r="F12" i="50"/>
  <c r="B9" i="50"/>
  <c r="B24" i="50" s="1"/>
  <c r="B7" i="50"/>
  <c r="B6" i="50"/>
  <c r="B5" i="50"/>
  <c r="F48" i="49"/>
  <c r="F45" i="49"/>
  <c r="F43" i="49"/>
  <c r="B41" i="49"/>
  <c r="F17" i="49"/>
  <c r="F16" i="49"/>
  <c r="F15" i="49"/>
  <c r="F13" i="49"/>
  <c r="F12" i="49"/>
  <c r="B9" i="49"/>
  <c r="B24" i="49" s="1"/>
  <c r="B7" i="49"/>
  <c r="B6" i="49"/>
  <c r="B5" i="49"/>
  <c r="F48" i="48"/>
  <c r="F45" i="48"/>
  <c r="F43" i="48"/>
  <c r="B41" i="48"/>
  <c r="F17" i="48"/>
  <c r="F16" i="48"/>
  <c r="F15" i="48"/>
  <c r="F13" i="48"/>
  <c r="F12" i="48"/>
  <c r="B9" i="48"/>
  <c r="B24" i="48" s="1"/>
  <c r="B7" i="48"/>
  <c r="B6" i="48"/>
  <c r="B8" i="48" s="1"/>
  <c r="B38" i="48" s="1"/>
  <c r="B5" i="48"/>
  <c r="F48" i="47"/>
  <c r="F45" i="47"/>
  <c r="F43" i="47"/>
  <c r="B41" i="47"/>
  <c r="F17" i="47"/>
  <c r="F16" i="47"/>
  <c r="F15" i="47"/>
  <c r="F13" i="47"/>
  <c r="F12" i="47"/>
  <c r="B9" i="47"/>
  <c r="B7" i="47"/>
  <c r="B6" i="47"/>
  <c r="B8" i="47" s="1"/>
  <c r="B38" i="47" s="1"/>
  <c r="B5" i="47"/>
  <c r="F48" i="46"/>
  <c r="F45" i="46"/>
  <c r="F43" i="46"/>
  <c r="B41" i="46"/>
  <c r="F17" i="46"/>
  <c r="F16" i="46"/>
  <c r="F15" i="46"/>
  <c r="F13" i="46"/>
  <c r="F12" i="46"/>
  <c r="B9" i="46"/>
  <c r="B24" i="46" s="1"/>
  <c r="B7" i="46"/>
  <c r="B6" i="46"/>
  <c r="B5" i="46"/>
  <c r="E21" i="4"/>
  <c r="E22" i="4"/>
  <c r="B29" i="65" l="1"/>
  <c r="D29" i="65" s="1"/>
  <c r="B19" i="65"/>
  <c r="B29" i="70"/>
  <c r="D29" i="70" s="1"/>
  <c r="B19" i="70"/>
  <c r="B29" i="67"/>
  <c r="E29" i="67" s="1"/>
  <c r="G29" i="67" s="1"/>
  <c r="B19" i="67"/>
  <c r="B29" i="64"/>
  <c r="E29" i="64" s="1"/>
  <c r="G29" i="64" s="1"/>
  <c r="B19" i="64"/>
  <c r="B29" i="68"/>
  <c r="E29" i="68" s="1"/>
  <c r="G29" i="68" s="1"/>
  <c r="B19" i="68"/>
  <c r="E22" i="76"/>
  <c r="G22" i="76" s="1"/>
  <c r="D22" i="76"/>
  <c r="E22" i="78"/>
  <c r="G22" i="78" s="1"/>
  <c r="D22" i="78"/>
  <c r="D22" i="73"/>
  <c r="E22" i="73"/>
  <c r="G22" i="73" s="1"/>
  <c r="E22" i="75"/>
  <c r="G22" i="75" s="1"/>
  <c r="D22" i="75"/>
  <c r="D41" i="57"/>
  <c r="E41" i="57"/>
  <c r="G41" i="57" s="1"/>
  <c r="H41" i="57" s="1"/>
  <c r="I41" i="57" s="1"/>
  <c r="E32" i="68"/>
  <c r="G32" i="68" s="1"/>
  <c r="D32" i="68"/>
  <c r="E41" i="61"/>
  <c r="G41" i="61" s="1"/>
  <c r="D41" i="61"/>
  <c r="E32" i="65"/>
  <c r="G32" i="65" s="1"/>
  <c r="D32" i="65"/>
  <c r="E41" i="54"/>
  <c r="G41" i="54" s="1"/>
  <c r="H41" i="54" s="1"/>
  <c r="I41" i="54" s="1"/>
  <c r="D41" i="54"/>
  <c r="E32" i="64"/>
  <c r="G32" i="64" s="1"/>
  <c r="H32" i="64" s="1"/>
  <c r="I32" i="64" s="1"/>
  <c r="D32" i="64"/>
  <c r="E41" i="58"/>
  <c r="G41" i="58" s="1"/>
  <c r="D41" i="58"/>
  <c r="E32" i="67"/>
  <c r="G32" i="67" s="1"/>
  <c r="D32" i="67"/>
  <c r="E41" i="60"/>
  <c r="G41" i="60" s="1"/>
  <c r="D41" i="60"/>
  <c r="H41" i="60" s="1"/>
  <c r="I41" i="60" s="1"/>
  <c r="E32" i="70"/>
  <c r="G32" i="70" s="1"/>
  <c r="D32" i="70"/>
  <c r="E41" i="52"/>
  <c r="G41" i="52" s="1"/>
  <c r="D41" i="52"/>
  <c r="D41" i="49"/>
  <c r="E41" i="49"/>
  <c r="G41" i="49" s="1"/>
  <c r="E41" i="46"/>
  <c r="G41" i="46" s="1"/>
  <c r="D41" i="46"/>
  <c r="G14" i="80"/>
  <c r="H14" i="80" s="1"/>
  <c r="I14" i="80" s="1"/>
  <c r="G14" i="76"/>
  <c r="H14" i="76" s="1"/>
  <c r="I14" i="76" s="1"/>
  <c r="G14" i="71"/>
  <c r="H14" i="71" s="1"/>
  <c r="I14" i="71" s="1"/>
  <c r="B13" i="75"/>
  <c r="B30" i="75"/>
  <c r="B13" i="79"/>
  <c r="B28" i="79"/>
  <c r="B13" i="78"/>
  <c r="B30" i="78"/>
  <c r="B13" i="73"/>
  <c r="B30" i="73"/>
  <c r="B13" i="81"/>
  <c r="B28" i="81"/>
  <c r="B13" i="76"/>
  <c r="B30" i="76"/>
  <c r="E38" i="48"/>
  <c r="G38" i="48" s="1"/>
  <c r="D38" i="48"/>
  <c r="E38" i="47"/>
  <c r="G38" i="47" s="1"/>
  <c r="D38" i="47"/>
  <c r="D38" i="51"/>
  <c r="E38" i="51"/>
  <c r="G38" i="51" s="1"/>
  <c r="E38" i="59"/>
  <c r="G38" i="59" s="1"/>
  <c r="D38" i="59"/>
  <c r="E38" i="53"/>
  <c r="G38" i="53" s="1"/>
  <c r="D38" i="53"/>
  <c r="E38" i="57"/>
  <c r="G38" i="57" s="1"/>
  <c r="D38" i="57"/>
  <c r="D38" i="62"/>
  <c r="E38" i="62"/>
  <c r="G38" i="62" s="1"/>
  <c r="D41" i="56"/>
  <c r="E41" i="56"/>
  <c r="G41" i="56" s="1"/>
  <c r="E41" i="53"/>
  <c r="G41" i="53" s="1"/>
  <c r="D41" i="53"/>
  <c r="E41" i="51"/>
  <c r="G41" i="51" s="1"/>
  <c r="D41" i="51"/>
  <c r="D41" i="50"/>
  <c r="E41" i="50"/>
  <c r="G41" i="50" s="1"/>
  <c r="D41" i="48"/>
  <c r="E41" i="48"/>
  <c r="G41" i="48" s="1"/>
  <c r="E41" i="47"/>
  <c r="G41" i="47" s="1"/>
  <c r="D41" i="47"/>
  <c r="G14" i="72"/>
  <c r="H14" i="72" s="1"/>
  <c r="I14" i="72" s="1"/>
  <c r="G14" i="74"/>
  <c r="H14" i="74" s="1"/>
  <c r="I14" i="74" s="1"/>
  <c r="G14" i="78"/>
  <c r="H14" i="78" s="1"/>
  <c r="I14" i="78" s="1"/>
  <c r="E24" i="76"/>
  <c r="G24" i="76" s="1"/>
  <c r="D33" i="76"/>
  <c r="E33" i="76"/>
  <c r="G33" i="76" s="1"/>
  <c r="E20" i="76"/>
  <c r="D20" i="76"/>
  <c r="E21" i="76"/>
  <c r="E25" i="76"/>
  <c r="G25" i="76" s="1"/>
  <c r="E20" i="73"/>
  <c r="E21" i="73"/>
  <c r="E25" i="73"/>
  <c r="G25" i="73" s="1"/>
  <c r="E24" i="73"/>
  <c r="G24" i="73" s="1"/>
  <c r="E33" i="73"/>
  <c r="G33" i="73" s="1"/>
  <c r="H33" i="73" s="1"/>
  <c r="I33" i="73" s="1"/>
  <c r="D33" i="73"/>
  <c r="G14" i="81"/>
  <c r="H14" i="81" s="1"/>
  <c r="I14" i="81" s="1"/>
  <c r="G14" i="79"/>
  <c r="H14" i="79" s="1"/>
  <c r="I14" i="79" s="1"/>
  <c r="G14" i="77"/>
  <c r="H14" i="77" s="1"/>
  <c r="I14" i="77" s="1"/>
  <c r="G14" i="75"/>
  <c r="H14" i="75" s="1"/>
  <c r="I14" i="75" s="1"/>
  <c r="G14" i="73"/>
  <c r="H14" i="73" s="1"/>
  <c r="I14" i="73" s="1"/>
  <c r="C27" i="46"/>
  <c r="F27" i="46" s="1"/>
  <c r="B12" i="46"/>
  <c r="B13" i="46"/>
  <c r="D13" i="46" s="1"/>
  <c r="C27" i="47"/>
  <c r="F27" i="47" s="1"/>
  <c r="B13" i="47"/>
  <c r="B12" i="47"/>
  <c r="C27" i="48"/>
  <c r="F27" i="48" s="1"/>
  <c r="B12" i="48"/>
  <c r="B13" i="48"/>
  <c r="C27" i="49"/>
  <c r="F27" i="49" s="1"/>
  <c r="B13" i="49"/>
  <c r="D13" i="49" s="1"/>
  <c r="B12" i="49"/>
  <c r="C27" i="50"/>
  <c r="F27" i="50" s="1"/>
  <c r="B12" i="50"/>
  <c r="D12" i="50" s="1"/>
  <c r="B13" i="50"/>
  <c r="C27" i="51"/>
  <c r="F27" i="51" s="1"/>
  <c r="B13" i="51"/>
  <c r="B12" i="51"/>
  <c r="C27" i="52"/>
  <c r="F27" i="52" s="1"/>
  <c r="B12" i="52"/>
  <c r="B13" i="52"/>
  <c r="D13" i="52" s="1"/>
  <c r="C27" i="53"/>
  <c r="F27" i="53" s="1"/>
  <c r="B13" i="53"/>
  <c r="B12" i="53"/>
  <c r="C27" i="54"/>
  <c r="F27" i="54" s="1"/>
  <c r="B12" i="54"/>
  <c r="B13" i="54"/>
  <c r="D13" i="54" s="1"/>
  <c r="C27" i="56"/>
  <c r="F27" i="56" s="1"/>
  <c r="B12" i="56"/>
  <c r="B13" i="56"/>
  <c r="D13" i="56" s="1"/>
  <c r="C27" i="57"/>
  <c r="F27" i="57" s="1"/>
  <c r="B13" i="57"/>
  <c r="B12" i="57"/>
  <c r="C27" i="58"/>
  <c r="F27" i="58" s="1"/>
  <c r="B12" i="58"/>
  <c r="B13" i="58"/>
  <c r="C27" i="59"/>
  <c r="F27" i="59" s="1"/>
  <c r="B13" i="59"/>
  <c r="B12" i="59"/>
  <c r="C27" i="60"/>
  <c r="F27" i="60" s="1"/>
  <c r="B12" i="60"/>
  <c r="D12" i="60" s="1"/>
  <c r="B13" i="60"/>
  <c r="C27" i="61"/>
  <c r="F27" i="61" s="1"/>
  <c r="B13" i="61"/>
  <c r="B12" i="61"/>
  <c r="C27" i="62"/>
  <c r="F27" i="62" s="1"/>
  <c r="B12" i="62"/>
  <c r="B13" i="62"/>
  <c r="C21" i="64"/>
  <c r="F21" i="64" s="1"/>
  <c r="B13" i="64"/>
  <c r="D13" i="64" s="1"/>
  <c r="B12" i="64"/>
  <c r="C21" i="65"/>
  <c r="F21" i="65" s="1"/>
  <c r="B13" i="65"/>
  <c r="D13" i="65" s="1"/>
  <c r="B12" i="65"/>
  <c r="B13" i="67"/>
  <c r="E13" i="67" s="1"/>
  <c r="G13" i="67" s="1"/>
  <c r="B12" i="67"/>
  <c r="B13" i="68"/>
  <c r="E13" i="68" s="1"/>
  <c r="G13" i="68" s="1"/>
  <c r="B12" i="68"/>
  <c r="C21" i="70"/>
  <c r="F21" i="70" s="1"/>
  <c r="B13" i="70"/>
  <c r="D13" i="70" s="1"/>
  <c r="B12" i="70"/>
  <c r="E41" i="62"/>
  <c r="G41" i="62" s="1"/>
  <c r="D41" i="62"/>
  <c r="H41" i="62" s="1"/>
  <c r="I41" i="62" s="1"/>
  <c r="D41" i="59"/>
  <c r="E41" i="59"/>
  <c r="G41" i="59" s="1"/>
  <c r="D31" i="81"/>
  <c r="E31" i="81"/>
  <c r="G31" i="81" s="1"/>
  <c r="E18" i="81"/>
  <c r="D18" i="81"/>
  <c r="E19" i="81"/>
  <c r="E23" i="81"/>
  <c r="G23" i="81" s="1"/>
  <c r="E20" i="81"/>
  <c r="E22" i="81"/>
  <c r="G22" i="81" s="1"/>
  <c r="D31" i="79"/>
  <c r="E31" i="79"/>
  <c r="G31" i="79" s="1"/>
  <c r="E18" i="79"/>
  <c r="D18" i="79"/>
  <c r="E19" i="79"/>
  <c r="E23" i="79"/>
  <c r="G23" i="79" s="1"/>
  <c r="E20" i="79"/>
  <c r="E22" i="79"/>
  <c r="G22" i="79" s="1"/>
  <c r="E33" i="78"/>
  <c r="G33" i="78" s="1"/>
  <c r="D33" i="78"/>
  <c r="E20" i="78"/>
  <c r="D20" i="78"/>
  <c r="E21" i="78"/>
  <c r="E25" i="78"/>
  <c r="G25" i="78" s="1"/>
  <c r="E24" i="78"/>
  <c r="G24" i="78" s="1"/>
  <c r="D33" i="75"/>
  <c r="E33" i="75"/>
  <c r="G33" i="75" s="1"/>
  <c r="E20" i="75"/>
  <c r="E21" i="75"/>
  <c r="E25" i="75"/>
  <c r="G25" i="75" s="1"/>
  <c r="E24" i="75"/>
  <c r="G24" i="75" s="1"/>
  <c r="E33" i="72"/>
  <c r="G33" i="72" s="1"/>
  <c r="D33" i="72"/>
  <c r="E24" i="72"/>
  <c r="G24" i="72" s="1"/>
  <c r="E20" i="72"/>
  <c r="E21" i="72"/>
  <c r="E25" i="72"/>
  <c r="G25" i="72" s="1"/>
  <c r="E18" i="64"/>
  <c r="E18" i="65"/>
  <c r="E18" i="67"/>
  <c r="E18" i="68"/>
  <c r="E18" i="70"/>
  <c r="E24" i="46"/>
  <c r="E24" i="48"/>
  <c r="E24" i="49"/>
  <c r="E24" i="50"/>
  <c r="E24" i="52"/>
  <c r="E24" i="53"/>
  <c r="E24" i="54"/>
  <c r="E24" i="56"/>
  <c r="E24" i="57"/>
  <c r="E24" i="58"/>
  <c r="E24" i="59"/>
  <c r="E24" i="60"/>
  <c r="E24" i="61"/>
  <c r="E24" i="62"/>
  <c r="C21" i="67"/>
  <c r="F21" i="67" s="1"/>
  <c r="C21" i="68"/>
  <c r="F21" i="68" s="1"/>
  <c r="B26" i="81"/>
  <c r="B27" i="81"/>
  <c r="H29" i="81"/>
  <c r="I29" i="81" s="1"/>
  <c r="H29" i="80"/>
  <c r="I29" i="80" s="1"/>
  <c r="B26" i="79"/>
  <c r="B27" i="79"/>
  <c r="H29" i="79"/>
  <c r="I29" i="79" s="1"/>
  <c r="E15" i="53"/>
  <c r="G15" i="53" s="1"/>
  <c r="E16" i="53"/>
  <c r="G16" i="53" s="1"/>
  <c r="E17" i="53"/>
  <c r="G17" i="53" s="1"/>
  <c r="D15" i="47"/>
  <c r="B23" i="49"/>
  <c r="E15" i="61"/>
  <c r="G15" i="61" s="1"/>
  <c r="E15" i="62"/>
  <c r="G15" i="62" s="1"/>
  <c r="E16" i="62"/>
  <c r="G16" i="62" s="1"/>
  <c r="E17" i="62"/>
  <c r="G17" i="62" s="1"/>
  <c r="B28" i="78"/>
  <c r="B29" i="78"/>
  <c r="H31" i="78"/>
  <c r="I31" i="78" s="1"/>
  <c r="H17" i="78"/>
  <c r="I17" i="78" s="1"/>
  <c r="H31" i="77"/>
  <c r="I31" i="77" s="1"/>
  <c r="H17" i="76"/>
  <c r="I17" i="76" s="1"/>
  <c r="B28" i="76"/>
  <c r="B29" i="76"/>
  <c r="H31" i="76"/>
  <c r="I31" i="76" s="1"/>
  <c r="B28" i="75"/>
  <c r="B29" i="75"/>
  <c r="H31" i="75"/>
  <c r="I31" i="75" s="1"/>
  <c r="H17" i="75"/>
  <c r="I17" i="75" s="1"/>
  <c r="H31" i="74"/>
  <c r="I31" i="74" s="1"/>
  <c r="H17" i="74"/>
  <c r="I17" i="74" s="1"/>
  <c r="H31" i="73"/>
  <c r="I31" i="73" s="1"/>
  <c r="B28" i="73"/>
  <c r="B29" i="73"/>
  <c r="H17" i="73"/>
  <c r="I17" i="73" s="1"/>
  <c r="H17" i="72"/>
  <c r="I17" i="72" s="1"/>
  <c r="H31" i="72"/>
  <c r="I31" i="72" s="1"/>
  <c r="B9" i="72"/>
  <c r="B22" i="72" s="1"/>
  <c r="H17" i="71"/>
  <c r="I17" i="71" s="1"/>
  <c r="H31" i="71"/>
  <c r="I31" i="71" s="1"/>
  <c r="B27" i="70"/>
  <c r="B23" i="70"/>
  <c r="B21" i="70"/>
  <c r="B28" i="70"/>
  <c r="B24" i="70"/>
  <c r="H30" i="70"/>
  <c r="I30" i="70" s="1"/>
  <c r="B17" i="70"/>
  <c r="H30" i="69"/>
  <c r="I30" i="69" s="1"/>
  <c r="B27" i="68"/>
  <c r="B23" i="68"/>
  <c r="B21" i="68"/>
  <c r="B28" i="68"/>
  <c r="B24" i="68"/>
  <c r="H30" i="68"/>
  <c r="I30" i="68" s="1"/>
  <c r="B17" i="68"/>
  <c r="B27" i="67"/>
  <c r="B23" i="67"/>
  <c r="B21" i="67"/>
  <c r="B28" i="67"/>
  <c r="B24" i="67"/>
  <c r="H30" i="67"/>
  <c r="I30" i="67" s="1"/>
  <c r="B17" i="67"/>
  <c r="H30" i="66"/>
  <c r="I30" i="66" s="1"/>
  <c r="B27" i="65"/>
  <c r="B23" i="65"/>
  <c r="B21" i="65"/>
  <c r="B28" i="65"/>
  <c r="B24" i="65"/>
  <c r="H30" i="65"/>
  <c r="I30" i="65" s="1"/>
  <c r="B17" i="65"/>
  <c r="B27" i="64"/>
  <c r="B23" i="64"/>
  <c r="B21" i="64"/>
  <c r="B28" i="64"/>
  <c r="B24" i="64"/>
  <c r="H30" i="64"/>
  <c r="I30" i="64" s="1"/>
  <c r="B17" i="64"/>
  <c r="H30" i="63"/>
  <c r="I30" i="63" s="1"/>
  <c r="B37" i="62"/>
  <c r="B36" i="62"/>
  <c r="B32" i="62"/>
  <c r="B31" i="62"/>
  <c r="B28" i="62"/>
  <c r="B27" i="62"/>
  <c r="H20" i="62"/>
  <c r="I20" i="62" s="1"/>
  <c r="B23" i="62"/>
  <c r="H39" i="62"/>
  <c r="I39" i="62" s="1"/>
  <c r="H26" i="62"/>
  <c r="I26" i="62" s="1"/>
  <c r="E17" i="61"/>
  <c r="G17" i="61" s="1"/>
  <c r="D17" i="61"/>
  <c r="B8" i="61"/>
  <c r="B38" i="61" s="1"/>
  <c r="H20" i="61"/>
  <c r="I20" i="61" s="1"/>
  <c r="B23" i="61"/>
  <c r="H39" i="61"/>
  <c r="I39" i="61" s="1"/>
  <c r="H26" i="61"/>
  <c r="I26" i="61" s="1"/>
  <c r="E17" i="60"/>
  <c r="G17" i="60" s="1"/>
  <c r="D17" i="60"/>
  <c r="H20" i="60"/>
  <c r="I20" i="60" s="1"/>
  <c r="B8" i="60"/>
  <c r="B38" i="60" s="1"/>
  <c r="B23" i="60"/>
  <c r="H39" i="60"/>
  <c r="I39" i="60" s="1"/>
  <c r="H26" i="60"/>
  <c r="I26" i="60" s="1"/>
  <c r="H20" i="59"/>
  <c r="I20" i="59" s="1"/>
  <c r="B37" i="59"/>
  <c r="B36" i="59"/>
  <c r="B32" i="59"/>
  <c r="B31" i="59"/>
  <c r="B28" i="59"/>
  <c r="B27" i="59"/>
  <c r="H39" i="59"/>
  <c r="I39" i="59" s="1"/>
  <c r="B23" i="59"/>
  <c r="H26" i="59"/>
  <c r="I26" i="59" s="1"/>
  <c r="E17" i="58"/>
  <c r="G17" i="58" s="1"/>
  <c r="D17" i="58"/>
  <c r="B8" i="58"/>
  <c r="B38" i="58" s="1"/>
  <c r="H20" i="58"/>
  <c r="I20" i="58" s="1"/>
  <c r="B23" i="58"/>
  <c r="H39" i="58"/>
  <c r="I39" i="58" s="1"/>
  <c r="H41" i="58"/>
  <c r="I41" i="58" s="1"/>
  <c r="H26" i="58"/>
  <c r="I26" i="58" s="1"/>
  <c r="E15" i="57"/>
  <c r="G15" i="57" s="1"/>
  <c r="E16" i="57"/>
  <c r="G16" i="57" s="1"/>
  <c r="E17" i="57"/>
  <c r="G17" i="57" s="1"/>
  <c r="B37" i="57"/>
  <c r="B36" i="57"/>
  <c r="B32" i="57"/>
  <c r="B31" i="57"/>
  <c r="B28" i="57"/>
  <c r="B27" i="57"/>
  <c r="H20" i="57"/>
  <c r="I20" i="57" s="1"/>
  <c r="B23" i="57"/>
  <c r="H39" i="57"/>
  <c r="I39" i="57" s="1"/>
  <c r="H26" i="57"/>
  <c r="I26" i="57" s="1"/>
  <c r="E17" i="56"/>
  <c r="G17" i="56" s="1"/>
  <c r="D17" i="56"/>
  <c r="H20" i="56"/>
  <c r="I20" i="56" s="1"/>
  <c r="B8" i="56"/>
  <c r="B38" i="56" s="1"/>
  <c r="B23" i="56"/>
  <c r="H26" i="56"/>
  <c r="I26" i="56" s="1"/>
  <c r="H39" i="56"/>
  <c r="I39" i="56" s="1"/>
  <c r="B23" i="54"/>
  <c r="E17" i="54"/>
  <c r="G17" i="54" s="1"/>
  <c r="D17" i="54"/>
  <c r="H20" i="54"/>
  <c r="I20" i="54" s="1"/>
  <c r="B8" i="54"/>
  <c r="B38" i="54" s="1"/>
  <c r="H39" i="54"/>
  <c r="I39" i="54" s="1"/>
  <c r="H26" i="54"/>
  <c r="I26" i="54" s="1"/>
  <c r="B37" i="53"/>
  <c r="B36" i="53"/>
  <c r="B32" i="53"/>
  <c r="B31" i="53"/>
  <c r="B28" i="53"/>
  <c r="B27" i="53"/>
  <c r="H20" i="53"/>
  <c r="I20" i="53" s="1"/>
  <c r="B23" i="53"/>
  <c r="H39" i="53"/>
  <c r="I39" i="53" s="1"/>
  <c r="H26" i="53"/>
  <c r="I26" i="53" s="1"/>
  <c r="E17" i="52"/>
  <c r="G17" i="52" s="1"/>
  <c r="D17" i="52"/>
  <c r="H20" i="52"/>
  <c r="I20" i="52" s="1"/>
  <c r="B8" i="52"/>
  <c r="B38" i="52" s="1"/>
  <c r="B23" i="52"/>
  <c r="H39" i="52"/>
  <c r="I39" i="52" s="1"/>
  <c r="H26" i="52"/>
  <c r="I26" i="52" s="1"/>
  <c r="H41" i="52"/>
  <c r="I41" i="52" s="1"/>
  <c r="D15" i="51"/>
  <c r="D16" i="51"/>
  <c r="D17" i="51"/>
  <c r="B37" i="51"/>
  <c r="B36" i="51"/>
  <c r="B32" i="51"/>
  <c r="B31" i="51"/>
  <c r="B28" i="51"/>
  <c r="B27" i="51"/>
  <c r="B24" i="51"/>
  <c r="H39" i="51"/>
  <c r="I39" i="51" s="1"/>
  <c r="H20" i="51"/>
  <c r="I20" i="51" s="1"/>
  <c r="B23" i="51"/>
  <c r="H26" i="51"/>
  <c r="I26" i="51" s="1"/>
  <c r="E17" i="50"/>
  <c r="G17" i="50" s="1"/>
  <c r="D17" i="50"/>
  <c r="H20" i="50"/>
  <c r="I20" i="50" s="1"/>
  <c r="B8" i="50"/>
  <c r="B38" i="50" s="1"/>
  <c r="B23" i="50"/>
  <c r="H39" i="50"/>
  <c r="I39" i="50" s="1"/>
  <c r="H26" i="50"/>
  <c r="I26" i="50" s="1"/>
  <c r="E17" i="49"/>
  <c r="G17" i="49" s="1"/>
  <c r="D17" i="49"/>
  <c r="H20" i="49"/>
  <c r="I20" i="49" s="1"/>
  <c r="B8" i="49"/>
  <c r="B38" i="49" s="1"/>
  <c r="H39" i="49"/>
  <c r="I39" i="49" s="1"/>
  <c r="H26" i="49"/>
  <c r="I26" i="49" s="1"/>
  <c r="E15" i="48"/>
  <c r="G15" i="48" s="1"/>
  <c r="E16" i="48"/>
  <c r="G16" i="48" s="1"/>
  <c r="E17" i="48"/>
  <c r="G17" i="48" s="1"/>
  <c r="B37" i="48"/>
  <c r="B36" i="48"/>
  <c r="B32" i="48"/>
  <c r="B31" i="48"/>
  <c r="B28" i="48"/>
  <c r="B27" i="48"/>
  <c r="H20" i="48"/>
  <c r="I20" i="48" s="1"/>
  <c r="B23" i="48"/>
  <c r="H39" i="48"/>
  <c r="I39" i="48" s="1"/>
  <c r="H26" i="48"/>
  <c r="I26" i="48" s="1"/>
  <c r="B37" i="47"/>
  <c r="B36" i="47"/>
  <c r="B32" i="47"/>
  <c r="B31" i="47"/>
  <c r="B28" i="47"/>
  <c r="B27" i="47"/>
  <c r="B24" i="47"/>
  <c r="H20" i="47"/>
  <c r="I20" i="47" s="1"/>
  <c r="B23" i="47"/>
  <c r="H39" i="47"/>
  <c r="I39" i="47" s="1"/>
  <c r="H26" i="47"/>
  <c r="I26" i="47" s="1"/>
  <c r="E17" i="46"/>
  <c r="G17" i="46" s="1"/>
  <c r="D17" i="46"/>
  <c r="H20" i="46"/>
  <c r="I20" i="46" s="1"/>
  <c r="B8" i="46"/>
  <c r="B38" i="46" s="1"/>
  <c r="B23" i="46"/>
  <c r="H39" i="46"/>
  <c r="I39" i="46" s="1"/>
  <c r="H26" i="46"/>
  <c r="I26" i="46" s="1"/>
  <c r="E29" i="65" l="1"/>
  <c r="G29" i="65" s="1"/>
  <c r="H29" i="65" s="1"/>
  <c r="I29" i="65" s="1"/>
  <c r="D29" i="64"/>
  <c r="H29" i="64" s="1"/>
  <c r="I29" i="64" s="1"/>
  <c r="H33" i="75"/>
  <c r="I33" i="75" s="1"/>
  <c r="H32" i="70"/>
  <c r="I32" i="70" s="1"/>
  <c r="H32" i="65"/>
  <c r="I32" i="65" s="1"/>
  <c r="H33" i="76"/>
  <c r="I33" i="76" s="1"/>
  <c r="D29" i="68"/>
  <c r="H29" i="68" s="1"/>
  <c r="I29" i="68" s="1"/>
  <c r="H22" i="76"/>
  <c r="I22" i="76" s="1"/>
  <c r="E29" i="70"/>
  <c r="G29" i="70" s="1"/>
  <c r="H29" i="70" s="1"/>
  <c r="I29" i="70" s="1"/>
  <c r="D29" i="67"/>
  <c r="H29" i="67" s="1"/>
  <c r="I29" i="67" s="1"/>
  <c r="H32" i="68"/>
  <c r="I32" i="68" s="1"/>
  <c r="H32" i="67"/>
  <c r="I32" i="67" s="1"/>
  <c r="H31" i="79"/>
  <c r="I31" i="79" s="1"/>
  <c r="H31" i="81"/>
  <c r="I31" i="81" s="1"/>
  <c r="D22" i="72"/>
  <c r="E22" i="72"/>
  <c r="G22" i="72" s="1"/>
  <c r="H22" i="73"/>
  <c r="I22" i="73" s="1"/>
  <c r="H33" i="78"/>
  <c r="I33" i="78" s="1"/>
  <c r="H22" i="75"/>
  <c r="I22" i="75" s="1"/>
  <c r="H22" i="78"/>
  <c r="I22" i="78" s="1"/>
  <c r="H41" i="61"/>
  <c r="I41" i="61" s="1"/>
  <c r="H41" i="49"/>
  <c r="I41" i="49" s="1"/>
  <c r="H41" i="51"/>
  <c r="I41" i="51" s="1"/>
  <c r="H41" i="46"/>
  <c r="I41" i="46" s="1"/>
  <c r="H41" i="50"/>
  <c r="I41" i="50" s="1"/>
  <c r="H41" i="53"/>
  <c r="I41" i="53" s="1"/>
  <c r="E30" i="76"/>
  <c r="G30" i="76" s="1"/>
  <c r="D30" i="76"/>
  <c r="E30" i="73"/>
  <c r="G30" i="73" s="1"/>
  <c r="D30" i="73"/>
  <c r="H38" i="53"/>
  <c r="I38" i="53" s="1"/>
  <c r="H38" i="48"/>
  <c r="I38" i="48" s="1"/>
  <c r="E28" i="81"/>
  <c r="G28" i="81" s="1"/>
  <c r="D28" i="81"/>
  <c r="E28" i="79"/>
  <c r="G28" i="79" s="1"/>
  <c r="D28" i="79"/>
  <c r="B13" i="72"/>
  <c r="B30" i="72"/>
  <c r="E30" i="78"/>
  <c r="G30" i="78" s="1"/>
  <c r="D30" i="78"/>
  <c r="E30" i="75"/>
  <c r="G30" i="75" s="1"/>
  <c r="D30" i="75"/>
  <c r="E38" i="54"/>
  <c r="G38" i="54" s="1"/>
  <c r="D38" i="54"/>
  <c r="D38" i="46"/>
  <c r="E38" i="46"/>
  <c r="G38" i="46" s="1"/>
  <c r="H38" i="47"/>
  <c r="I38" i="47" s="1"/>
  <c r="E38" i="49"/>
  <c r="G38" i="49" s="1"/>
  <c r="D38" i="49"/>
  <c r="E38" i="50"/>
  <c r="G38" i="50" s="1"/>
  <c r="D38" i="50"/>
  <c r="E38" i="52"/>
  <c r="G38" i="52" s="1"/>
  <c r="D38" i="52"/>
  <c r="E38" i="56"/>
  <c r="G38" i="56" s="1"/>
  <c r="D38" i="56"/>
  <c r="E38" i="60"/>
  <c r="G38" i="60" s="1"/>
  <c r="D38" i="60"/>
  <c r="H38" i="62"/>
  <c r="I38" i="62" s="1"/>
  <c r="H38" i="51"/>
  <c r="I38" i="51" s="1"/>
  <c r="E38" i="61"/>
  <c r="G38" i="61" s="1"/>
  <c r="D38" i="61"/>
  <c r="H38" i="57"/>
  <c r="I38" i="57" s="1"/>
  <c r="H38" i="59"/>
  <c r="I38" i="59" s="1"/>
  <c r="D38" i="58"/>
  <c r="E38" i="58"/>
  <c r="G38" i="58" s="1"/>
  <c r="H41" i="48"/>
  <c r="I41" i="48" s="1"/>
  <c r="H41" i="56"/>
  <c r="I41" i="56" s="1"/>
  <c r="H41" i="47"/>
  <c r="I41" i="47" s="1"/>
  <c r="H41" i="59"/>
  <c r="I41" i="59" s="1"/>
  <c r="D13" i="68"/>
  <c r="H13" i="68" s="1"/>
  <c r="I13" i="68" s="1"/>
  <c r="G26" i="73"/>
  <c r="D13" i="67"/>
  <c r="H13" i="67" s="1"/>
  <c r="I13" i="67" s="1"/>
  <c r="G26" i="76"/>
  <c r="E13" i="56"/>
  <c r="G13" i="56" s="1"/>
  <c r="H13" i="56" s="1"/>
  <c r="I13" i="56" s="1"/>
  <c r="E13" i="70"/>
  <c r="G13" i="70" s="1"/>
  <c r="H13" i="70" s="1"/>
  <c r="I13" i="70" s="1"/>
  <c r="G26" i="75"/>
  <c r="G24" i="79"/>
  <c r="G24" i="81"/>
  <c r="G26" i="78"/>
  <c r="E13" i="64"/>
  <c r="G13" i="64" s="1"/>
  <c r="H13" i="64" s="1"/>
  <c r="I13" i="64" s="1"/>
  <c r="G26" i="72"/>
  <c r="E23" i="46"/>
  <c r="E23" i="47"/>
  <c r="E27" i="47"/>
  <c r="G27" i="47" s="1"/>
  <c r="D27" i="47"/>
  <c r="E31" i="47"/>
  <c r="G31" i="47" s="1"/>
  <c r="D36" i="47"/>
  <c r="E36" i="47"/>
  <c r="G36" i="47" s="1"/>
  <c r="E23" i="48"/>
  <c r="E27" i="48"/>
  <c r="G27" i="48" s="1"/>
  <c r="D27" i="48"/>
  <c r="E31" i="48"/>
  <c r="G31" i="48" s="1"/>
  <c r="E36" i="48"/>
  <c r="G36" i="48" s="1"/>
  <c r="D36" i="48"/>
  <c r="E27" i="51"/>
  <c r="G27" i="51" s="1"/>
  <c r="D27" i="51"/>
  <c r="E31" i="51"/>
  <c r="G31" i="51" s="1"/>
  <c r="D36" i="51"/>
  <c r="E36" i="51"/>
  <c r="G36" i="51" s="1"/>
  <c r="E28" i="53"/>
  <c r="G28" i="53" s="1"/>
  <c r="D28" i="53"/>
  <c r="E32" i="53"/>
  <c r="G32" i="53" s="1"/>
  <c r="D37" i="53"/>
  <c r="E37" i="53"/>
  <c r="G37" i="53" s="1"/>
  <c r="E23" i="57"/>
  <c r="E27" i="57"/>
  <c r="G27" i="57" s="1"/>
  <c r="D27" i="57"/>
  <c r="E31" i="57"/>
  <c r="G31" i="57" s="1"/>
  <c r="E36" i="57"/>
  <c r="G36" i="57" s="1"/>
  <c r="D36" i="57"/>
  <c r="E27" i="59"/>
  <c r="G27" i="59" s="1"/>
  <c r="D27" i="59"/>
  <c r="E31" i="59"/>
  <c r="G31" i="59" s="1"/>
  <c r="E36" i="59"/>
  <c r="G36" i="59" s="1"/>
  <c r="D36" i="59"/>
  <c r="E23" i="62"/>
  <c r="E27" i="62"/>
  <c r="G27" i="62" s="1"/>
  <c r="D27" i="62"/>
  <c r="E31" i="62"/>
  <c r="G31" i="62" s="1"/>
  <c r="D36" i="62"/>
  <c r="E36" i="62"/>
  <c r="G36" i="62" s="1"/>
  <c r="E17" i="64"/>
  <c r="E28" i="64"/>
  <c r="G28" i="64" s="1"/>
  <c r="D28" i="64"/>
  <c r="E23" i="64"/>
  <c r="G23" i="64" s="1"/>
  <c r="E19" i="65"/>
  <c r="D28" i="65"/>
  <c r="E28" i="65"/>
  <c r="G28" i="65" s="1"/>
  <c r="E23" i="65"/>
  <c r="G23" i="65" s="1"/>
  <c r="E24" i="67"/>
  <c r="G24" i="67" s="1"/>
  <c r="E21" i="67"/>
  <c r="G21" i="67" s="1"/>
  <c r="D21" i="67"/>
  <c r="D27" i="67"/>
  <c r="E27" i="67"/>
  <c r="G27" i="67" s="1"/>
  <c r="E17" i="68"/>
  <c r="E24" i="68"/>
  <c r="G24" i="68" s="1"/>
  <c r="E21" i="68"/>
  <c r="G21" i="68" s="1"/>
  <c r="D21" i="68"/>
  <c r="E27" i="68"/>
  <c r="G27" i="68" s="1"/>
  <c r="D27" i="68"/>
  <c r="E17" i="70"/>
  <c r="D28" i="70"/>
  <c r="E28" i="70"/>
  <c r="G28" i="70" s="1"/>
  <c r="E23" i="70"/>
  <c r="G23" i="70" s="1"/>
  <c r="E29" i="73"/>
  <c r="G29" i="73" s="1"/>
  <c r="D29" i="73"/>
  <c r="E29" i="75"/>
  <c r="G29" i="75" s="1"/>
  <c r="D29" i="75"/>
  <c r="D29" i="76"/>
  <c r="E29" i="76"/>
  <c r="G29" i="76" s="1"/>
  <c r="D29" i="78"/>
  <c r="E29" i="78"/>
  <c r="G29" i="78" s="1"/>
  <c r="E27" i="79"/>
  <c r="G27" i="79" s="1"/>
  <c r="D27" i="79"/>
  <c r="D26" i="81"/>
  <c r="E26" i="81"/>
  <c r="G26" i="81" s="1"/>
  <c r="E24" i="47"/>
  <c r="E28" i="47"/>
  <c r="G28" i="47" s="1"/>
  <c r="D28" i="47"/>
  <c r="E32" i="47"/>
  <c r="G32" i="47" s="1"/>
  <c r="D37" i="47"/>
  <c r="E37" i="47"/>
  <c r="G37" i="47" s="1"/>
  <c r="E28" i="48"/>
  <c r="G28" i="48" s="1"/>
  <c r="D28" i="48"/>
  <c r="E32" i="48"/>
  <c r="G32" i="48" s="1"/>
  <c r="E37" i="48"/>
  <c r="G37" i="48" s="1"/>
  <c r="D37" i="48"/>
  <c r="E23" i="50"/>
  <c r="E23" i="51"/>
  <c r="E24" i="51"/>
  <c r="E28" i="51"/>
  <c r="G28" i="51" s="1"/>
  <c r="D28" i="51"/>
  <c r="E32" i="51"/>
  <c r="G32" i="51" s="1"/>
  <c r="D37" i="51"/>
  <c r="E37" i="51"/>
  <c r="G37" i="51" s="1"/>
  <c r="E23" i="52"/>
  <c r="E23" i="53"/>
  <c r="E27" i="53"/>
  <c r="G27" i="53" s="1"/>
  <c r="D27" i="53"/>
  <c r="E31" i="53"/>
  <c r="G31" i="53" s="1"/>
  <c r="D36" i="53"/>
  <c r="E36" i="53"/>
  <c r="G36" i="53" s="1"/>
  <c r="E23" i="54"/>
  <c r="E23" i="56"/>
  <c r="E28" i="57"/>
  <c r="G28" i="57" s="1"/>
  <c r="D28" i="57"/>
  <c r="E32" i="57"/>
  <c r="G32" i="57" s="1"/>
  <c r="E37" i="57"/>
  <c r="G37" i="57" s="1"/>
  <c r="D37" i="57"/>
  <c r="E23" i="58"/>
  <c r="E23" i="59"/>
  <c r="E28" i="59"/>
  <c r="G28" i="59" s="1"/>
  <c r="D28" i="59"/>
  <c r="E32" i="59"/>
  <c r="G32" i="59" s="1"/>
  <c r="E37" i="59"/>
  <c r="G37" i="59" s="1"/>
  <c r="D37" i="59"/>
  <c r="E23" i="60"/>
  <c r="E23" i="61"/>
  <c r="E28" i="62"/>
  <c r="G28" i="62" s="1"/>
  <c r="D28" i="62"/>
  <c r="E32" i="62"/>
  <c r="G32" i="62" s="1"/>
  <c r="D37" i="62"/>
  <c r="E37" i="62"/>
  <c r="G37" i="62" s="1"/>
  <c r="E19" i="64"/>
  <c r="E24" i="64"/>
  <c r="G24" i="64" s="1"/>
  <c r="E21" i="64"/>
  <c r="G21" i="64" s="1"/>
  <c r="D21" i="64"/>
  <c r="E27" i="64"/>
  <c r="G27" i="64" s="1"/>
  <c r="D27" i="64"/>
  <c r="E17" i="65"/>
  <c r="E24" i="65"/>
  <c r="G24" i="65" s="1"/>
  <c r="E21" i="65"/>
  <c r="G21" i="65" s="1"/>
  <c r="D21" i="65"/>
  <c r="D27" i="65"/>
  <c r="E27" i="65"/>
  <c r="G27" i="65" s="1"/>
  <c r="E19" i="67"/>
  <c r="E17" i="67"/>
  <c r="D28" i="67"/>
  <c r="E28" i="67"/>
  <c r="G28" i="67" s="1"/>
  <c r="E23" i="67"/>
  <c r="G23" i="67" s="1"/>
  <c r="E19" i="68"/>
  <c r="E28" i="68"/>
  <c r="G28" i="68" s="1"/>
  <c r="D28" i="68"/>
  <c r="E23" i="68"/>
  <c r="G23" i="68" s="1"/>
  <c r="E19" i="70"/>
  <c r="E24" i="70"/>
  <c r="G24" i="70" s="1"/>
  <c r="E21" i="70"/>
  <c r="G21" i="70" s="1"/>
  <c r="D21" i="70"/>
  <c r="D27" i="70"/>
  <c r="E27" i="70"/>
  <c r="G27" i="70" s="1"/>
  <c r="E28" i="73"/>
  <c r="G28" i="73" s="1"/>
  <c r="D28" i="73"/>
  <c r="E28" i="75"/>
  <c r="G28" i="75" s="1"/>
  <c r="D28" i="75"/>
  <c r="D28" i="76"/>
  <c r="E28" i="76"/>
  <c r="G28" i="76" s="1"/>
  <c r="D28" i="78"/>
  <c r="E28" i="78"/>
  <c r="G28" i="78" s="1"/>
  <c r="E23" i="49"/>
  <c r="E26" i="79"/>
  <c r="G26" i="79" s="1"/>
  <c r="D26" i="79"/>
  <c r="D27" i="81"/>
  <c r="E27" i="81"/>
  <c r="G27" i="81" s="1"/>
  <c r="D15" i="61"/>
  <c r="H15" i="61" s="1"/>
  <c r="I15" i="61" s="1"/>
  <c r="E13" i="49"/>
  <c r="G13" i="49" s="1"/>
  <c r="H13" i="49" s="1"/>
  <c r="I13" i="49" s="1"/>
  <c r="D15" i="53"/>
  <c r="H15" i="53" s="1"/>
  <c r="I15" i="53" s="1"/>
  <c r="D15" i="62"/>
  <c r="H15" i="62" s="1"/>
  <c r="I15" i="62" s="1"/>
  <c r="G18" i="62"/>
  <c r="G18" i="53"/>
  <c r="E13" i="46"/>
  <c r="G13" i="46" s="1"/>
  <c r="H13" i="46" s="1"/>
  <c r="I13" i="46" s="1"/>
  <c r="E15" i="47"/>
  <c r="G15" i="47" s="1"/>
  <c r="H15" i="47" s="1"/>
  <c r="I15" i="47" s="1"/>
  <c r="E13" i="52"/>
  <c r="G13" i="52" s="1"/>
  <c r="H13" i="52" s="1"/>
  <c r="I13" i="52" s="1"/>
  <c r="D17" i="53"/>
  <c r="H17" i="53" s="1"/>
  <c r="I17" i="53" s="1"/>
  <c r="D17" i="57"/>
  <c r="H17" i="57" s="1"/>
  <c r="I17" i="57" s="1"/>
  <c r="D17" i="62"/>
  <c r="H17" i="62" s="1"/>
  <c r="I17" i="62" s="1"/>
  <c r="E13" i="65"/>
  <c r="G13" i="65" s="1"/>
  <c r="H13" i="65" s="1"/>
  <c r="I13" i="65" s="1"/>
  <c r="E15" i="51"/>
  <c r="G15" i="51" s="1"/>
  <c r="H15" i="51" s="1"/>
  <c r="I15" i="51" s="1"/>
  <c r="E12" i="50"/>
  <c r="G12" i="50" s="1"/>
  <c r="H12" i="50" s="1"/>
  <c r="I12" i="50" s="1"/>
  <c r="E17" i="51"/>
  <c r="G17" i="51" s="1"/>
  <c r="H17" i="51" s="1"/>
  <c r="I17" i="51" s="1"/>
  <c r="D16" i="53"/>
  <c r="H16" i="53" s="1"/>
  <c r="I16" i="53" s="1"/>
  <c r="D15" i="57"/>
  <c r="H15" i="57" s="1"/>
  <c r="I15" i="57" s="1"/>
  <c r="D16" i="62"/>
  <c r="H16" i="62" s="1"/>
  <c r="I16" i="62" s="1"/>
  <c r="E13" i="81"/>
  <c r="G13" i="81" s="1"/>
  <c r="D13" i="81"/>
  <c r="D15" i="81" s="1"/>
  <c r="E13" i="79"/>
  <c r="G13" i="79" s="1"/>
  <c r="D13" i="79"/>
  <c r="D15" i="79" s="1"/>
  <c r="D17" i="48"/>
  <c r="H17" i="48" s="1"/>
  <c r="I17" i="48" s="1"/>
  <c r="G18" i="57"/>
  <c r="E12" i="60"/>
  <c r="G12" i="60" s="1"/>
  <c r="H12" i="60" s="1"/>
  <c r="I12" i="60" s="1"/>
  <c r="D15" i="48"/>
  <c r="H15" i="48" s="1"/>
  <c r="I15" i="48" s="1"/>
  <c r="G18" i="48"/>
  <c r="E13" i="78"/>
  <c r="G13" i="78" s="1"/>
  <c r="D13" i="78"/>
  <c r="D15" i="78" s="1"/>
  <c r="E13" i="76"/>
  <c r="G13" i="76" s="1"/>
  <c r="D13" i="76"/>
  <c r="D15" i="76" s="1"/>
  <c r="E13" i="75"/>
  <c r="D13" i="75"/>
  <c r="D15" i="75" s="1"/>
  <c r="E13" i="73"/>
  <c r="G13" i="73" s="1"/>
  <c r="D13" i="73"/>
  <c r="D15" i="73" s="1"/>
  <c r="B28" i="72"/>
  <c r="B29" i="72"/>
  <c r="H33" i="72"/>
  <c r="I33" i="72" s="1"/>
  <c r="E12" i="70"/>
  <c r="G12" i="70" s="1"/>
  <c r="D12" i="70"/>
  <c r="D14" i="70" s="1"/>
  <c r="E12" i="68"/>
  <c r="G12" i="68" s="1"/>
  <c r="D12" i="68"/>
  <c r="E12" i="67"/>
  <c r="G12" i="67" s="1"/>
  <c r="D12" i="67"/>
  <c r="E12" i="65"/>
  <c r="G12" i="65" s="1"/>
  <c r="D12" i="65"/>
  <c r="D14" i="65" s="1"/>
  <c r="E12" i="64"/>
  <c r="G12" i="64" s="1"/>
  <c r="D12" i="64"/>
  <c r="D14" i="64" s="1"/>
  <c r="D12" i="62"/>
  <c r="E12" i="62"/>
  <c r="G12" i="62" s="1"/>
  <c r="D13" i="62"/>
  <c r="E13" i="62"/>
  <c r="G13" i="62" s="1"/>
  <c r="E16" i="61"/>
  <c r="G16" i="61" s="1"/>
  <c r="D16" i="61"/>
  <c r="D13" i="61"/>
  <c r="E13" i="61"/>
  <c r="G13" i="61" s="1"/>
  <c r="B37" i="61"/>
  <c r="B36" i="61"/>
  <c r="B32" i="61"/>
  <c r="B31" i="61"/>
  <c r="B28" i="61"/>
  <c r="B27" i="61"/>
  <c r="D12" i="61"/>
  <c r="E12" i="61"/>
  <c r="G12" i="61" s="1"/>
  <c r="H17" i="61"/>
  <c r="I17" i="61" s="1"/>
  <c r="E16" i="60"/>
  <c r="G16" i="60" s="1"/>
  <c r="D16" i="60"/>
  <c r="E15" i="60"/>
  <c r="G15" i="60" s="1"/>
  <c r="D15" i="60"/>
  <c r="D13" i="60"/>
  <c r="D14" i="60" s="1"/>
  <c r="E13" i="60"/>
  <c r="G13" i="60" s="1"/>
  <c r="B37" i="60"/>
  <c r="B36" i="60"/>
  <c r="B32" i="60"/>
  <c r="B31" i="60"/>
  <c r="B28" i="60"/>
  <c r="B27" i="60"/>
  <c r="H17" i="60"/>
  <c r="I17" i="60" s="1"/>
  <c r="E13" i="59"/>
  <c r="G13" i="59" s="1"/>
  <c r="D13" i="59"/>
  <c r="D17" i="59"/>
  <c r="E17" i="59"/>
  <c r="G17" i="59" s="1"/>
  <c r="D15" i="59"/>
  <c r="E15" i="59"/>
  <c r="G15" i="59" s="1"/>
  <c r="E12" i="59"/>
  <c r="G12" i="59" s="1"/>
  <c r="D12" i="59"/>
  <c r="D16" i="59"/>
  <c r="E16" i="59"/>
  <c r="G16" i="59" s="1"/>
  <c r="E15" i="58"/>
  <c r="G15" i="58" s="1"/>
  <c r="D15" i="58"/>
  <c r="D12" i="58"/>
  <c r="E12" i="58"/>
  <c r="G12" i="58" s="1"/>
  <c r="H17" i="58"/>
  <c r="I17" i="58" s="1"/>
  <c r="E16" i="58"/>
  <c r="G16" i="58" s="1"/>
  <c r="D16" i="58"/>
  <c r="D13" i="58"/>
  <c r="E13" i="58"/>
  <c r="G13" i="58" s="1"/>
  <c r="B37" i="58"/>
  <c r="B36" i="58"/>
  <c r="B32" i="58"/>
  <c r="B31" i="58"/>
  <c r="B28" i="58"/>
  <c r="B27" i="58"/>
  <c r="D16" i="57"/>
  <c r="H16" i="57" s="1"/>
  <c r="I16" i="57" s="1"/>
  <c r="D12" i="57"/>
  <c r="E12" i="57"/>
  <c r="G12" i="57" s="1"/>
  <c r="D13" i="57"/>
  <c r="E13" i="57"/>
  <c r="G13" i="57" s="1"/>
  <c r="E16" i="56"/>
  <c r="G16" i="56" s="1"/>
  <c r="D16" i="56"/>
  <c r="B37" i="56"/>
  <c r="B36" i="56"/>
  <c r="B32" i="56"/>
  <c r="B31" i="56"/>
  <c r="B28" i="56"/>
  <c r="B27" i="56"/>
  <c r="H17" i="56"/>
  <c r="I17" i="56" s="1"/>
  <c r="E15" i="56"/>
  <c r="G15" i="56" s="1"/>
  <c r="D15" i="56"/>
  <c r="D12" i="56"/>
  <c r="D14" i="56" s="1"/>
  <c r="E12" i="56"/>
  <c r="G12" i="56" s="1"/>
  <c r="E13" i="54"/>
  <c r="G13" i="54" s="1"/>
  <c r="H13" i="54" s="1"/>
  <c r="I13" i="54" s="1"/>
  <c r="E16" i="54"/>
  <c r="G16" i="54" s="1"/>
  <c r="D16" i="54"/>
  <c r="D12" i="54"/>
  <c r="D14" i="54" s="1"/>
  <c r="E12" i="54"/>
  <c r="G12" i="54" s="1"/>
  <c r="E15" i="54"/>
  <c r="G15" i="54" s="1"/>
  <c r="D15" i="54"/>
  <c r="B37" i="54"/>
  <c r="B36" i="54"/>
  <c r="B32" i="54"/>
  <c r="B31" i="54"/>
  <c r="B28" i="54"/>
  <c r="B27" i="54"/>
  <c r="H17" i="54"/>
  <c r="I17" i="54" s="1"/>
  <c r="D12" i="53"/>
  <c r="E12" i="53"/>
  <c r="G12" i="53" s="1"/>
  <c r="D13" i="53"/>
  <c r="E13" i="53"/>
  <c r="G13" i="53" s="1"/>
  <c r="E15" i="52"/>
  <c r="G15" i="52" s="1"/>
  <c r="D15" i="52"/>
  <c r="B37" i="52"/>
  <c r="B36" i="52"/>
  <c r="B32" i="52"/>
  <c r="B31" i="52"/>
  <c r="B28" i="52"/>
  <c r="B27" i="52"/>
  <c r="E16" i="52"/>
  <c r="G16" i="52" s="1"/>
  <c r="D16" i="52"/>
  <c r="D12" i="52"/>
  <c r="D14" i="52" s="1"/>
  <c r="E12" i="52"/>
  <c r="G12" i="52" s="1"/>
  <c r="H17" i="52"/>
  <c r="I17" i="52" s="1"/>
  <c r="E16" i="51"/>
  <c r="G16" i="51" s="1"/>
  <c r="D18" i="51"/>
  <c r="E12" i="51"/>
  <c r="G12" i="51" s="1"/>
  <c r="D12" i="51"/>
  <c r="E13" i="51"/>
  <c r="G13" i="51" s="1"/>
  <c r="D13" i="51"/>
  <c r="E16" i="50"/>
  <c r="G16" i="50" s="1"/>
  <c r="D16" i="50"/>
  <c r="E15" i="50"/>
  <c r="G15" i="50" s="1"/>
  <c r="D15" i="50"/>
  <c r="D13" i="50"/>
  <c r="D14" i="50" s="1"/>
  <c r="E13" i="50"/>
  <c r="G13" i="50" s="1"/>
  <c r="B37" i="50"/>
  <c r="B36" i="50"/>
  <c r="B32" i="50"/>
  <c r="B31" i="50"/>
  <c r="B28" i="50"/>
  <c r="B27" i="50"/>
  <c r="H17" i="50"/>
  <c r="I17" i="50" s="1"/>
  <c r="E16" i="49"/>
  <c r="G16" i="49" s="1"/>
  <c r="D16" i="49"/>
  <c r="D12" i="49"/>
  <c r="D14" i="49" s="1"/>
  <c r="E12" i="49"/>
  <c r="G12" i="49" s="1"/>
  <c r="E15" i="49"/>
  <c r="G15" i="49" s="1"/>
  <c r="D15" i="49"/>
  <c r="B37" i="49"/>
  <c r="B36" i="49"/>
  <c r="B32" i="49"/>
  <c r="B31" i="49"/>
  <c r="B28" i="49"/>
  <c r="B27" i="49"/>
  <c r="H17" i="49"/>
  <c r="I17" i="49" s="1"/>
  <c r="D16" i="48"/>
  <c r="H16" i="48" s="1"/>
  <c r="I16" i="48" s="1"/>
  <c r="D12" i="48"/>
  <c r="E12" i="48"/>
  <c r="G12" i="48" s="1"/>
  <c r="D13" i="48"/>
  <c r="E13" i="48"/>
  <c r="G13" i="48" s="1"/>
  <c r="E13" i="47"/>
  <c r="G13" i="47" s="1"/>
  <c r="D13" i="47"/>
  <c r="D17" i="47"/>
  <c r="E17" i="47"/>
  <c r="G17" i="47" s="1"/>
  <c r="E12" i="47"/>
  <c r="G12" i="47" s="1"/>
  <c r="D12" i="47"/>
  <c r="D16" i="47"/>
  <c r="E16" i="47"/>
  <c r="G16" i="47" s="1"/>
  <c r="H17" i="46"/>
  <c r="I17" i="46" s="1"/>
  <c r="E15" i="46"/>
  <c r="G15" i="46" s="1"/>
  <c r="D15" i="46"/>
  <c r="D12" i="46"/>
  <c r="D14" i="46" s="1"/>
  <c r="E12" i="46"/>
  <c r="G12" i="46" s="1"/>
  <c r="B37" i="46"/>
  <c r="B36" i="46"/>
  <c r="B32" i="46"/>
  <c r="B31" i="46"/>
  <c r="B28" i="46"/>
  <c r="B27" i="46"/>
  <c r="E16" i="46"/>
  <c r="G16" i="46" s="1"/>
  <c r="D16" i="46"/>
  <c r="H22" i="72" l="1"/>
  <c r="I22" i="72" s="1"/>
  <c r="D18" i="47"/>
  <c r="G13" i="75"/>
  <c r="G15" i="75" s="1"/>
  <c r="G30" i="79"/>
  <c r="H38" i="60"/>
  <c r="I38" i="60" s="1"/>
  <c r="H38" i="52"/>
  <c r="I38" i="52" s="1"/>
  <c r="H38" i="49"/>
  <c r="I38" i="49" s="1"/>
  <c r="H30" i="76"/>
  <c r="I30" i="76" s="1"/>
  <c r="D30" i="79"/>
  <c r="H30" i="75"/>
  <c r="I30" i="75" s="1"/>
  <c r="H28" i="79"/>
  <c r="I28" i="79" s="1"/>
  <c r="H28" i="81"/>
  <c r="I28" i="81" s="1"/>
  <c r="H38" i="46"/>
  <c r="I38" i="46" s="1"/>
  <c r="H30" i="78"/>
  <c r="I30" i="78" s="1"/>
  <c r="E30" i="72"/>
  <c r="G30" i="72" s="1"/>
  <c r="D30" i="72"/>
  <c r="H30" i="73"/>
  <c r="I30" i="73" s="1"/>
  <c r="H38" i="54"/>
  <c r="I38" i="54" s="1"/>
  <c r="H38" i="58"/>
  <c r="I38" i="58" s="1"/>
  <c r="H38" i="61"/>
  <c r="I38" i="61" s="1"/>
  <c r="H38" i="56"/>
  <c r="I38" i="56" s="1"/>
  <c r="H38" i="50"/>
  <c r="I38" i="50" s="1"/>
  <c r="D14" i="61"/>
  <c r="D18" i="61"/>
  <c r="D14" i="68"/>
  <c r="D14" i="67"/>
  <c r="G25" i="67"/>
  <c r="D31" i="65"/>
  <c r="G33" i="53"/>
  <c r="G31" i="65"/>
  <c r="G40" i="53"/>
  <c r="D14" i="59"/>
  <c r="D40" i="53"/>
  <c r="G32" i="78"/>
  <c r="D32" i="75"/>
  <c r="D32" i="73"/>
  <c r="G31" i="70"/>
  <c r="G31" i="64"/>
  <c r="G32" i="76"/>
  <c r="D32" i="78"/>
  <c r="D32" i="76"/>
  <c r="G32" i="75"/>
  <c r="G32" i="73"/>
  <c r="D31" i="70"/>
  <c r="D31" i="64"/>
  <c r="G25" i="68"/>
  <c r="G18" i="51"/>
  <c r="H18" i="51" s="1"/>
  <c r="I18" i="51" s="1"/>
  <c r="E28" i="46"/>
  <c r="G28" i="46" s="1"/>
  <c r="D28" i="46"/>
  <c r="E32" i="46"/>
  <c r="G32" i="46" s="1"/>
  <c r="E37" i="46"/>
  <c r="G37" i="46" s="1"/>
  <c r="D37" i="46"/>
  <c r="E28" i="49"/>
  <c r="G28" i="49" s="1"/>
  <c r="D28" i="49"/>
  <c r="E32" i="49"/>
  <c r="G32" i="49" s="1"/>
  <c r="D37" i="49"/>
  <c r="E37" i="49"/>
  <c r="G37" i="49" s="1"/>
  <c r="E28" i="50"/>
  <c r="G28" i="50" s="1"/>
  <c r="D28" i="50"/>
  <c r="E32" i="50"/>
  <c r="G32" i="50" s="1"/>
  <c r="E37" i="50"/>
  <c r="G37" i="50" s="1"/>
  <c r="D37" i="50"/>
  <c r="E27" i="52"/>
  <c r="G27" i="52" s="1"/>
  <c r="D27" i="52"/>
  <c r="E31" i="52"/>
  <c r="G31" i="52" s="1"/>
  <c r="E36" i="52"/>
  <c r="G36" i="52" s="1"/>
  <c r="D36" i="52"/>
  <c r="E27" i="54"/>
  <c r="G27" i="54" s="1"/>
  <c r="D27" i="54"/>
  <c r="E31" i="54"/>
  <c r="G31" i="54" s="1"/>
  <c r="D36" i="54"/>
  <c r="E36" i="54"/>
  <c r="G36" i="54" s="1"/>
  <c r="E28" i="56"/>
  <c r="G28" i="56" s="1"/>
  <c r="D28" i="56"/>
  <c r="E32" i="56"/>
  <c r="G32" i="56" s="1"/>
  <c r="D37" i="56"/>
  <c r="E37" i="56"/>
  <c r="G37" i="56" s="1"/>
  <c r="E27" i="58"/>
  <c r="G27" i="58" s="1"/>
  <c r="D27" i="58"/>
  <c r="E31" i="58"/>
  <c r="G31" i="58" s="1"/>
  <c r="D36" i="58"/>
  <c r="E36" i="58"/>
  <c r="G36" i="58" s="1"/>
  <c r="E27" i="60"/>
  <c r="G27" i="60" s="1"/>
  <c r="D27" i="60"/>
  <c r="E31" i="60"/>
  <c r="G31" i="60" s="1"/>
  <c r="D36" i="60"/>
  <c r="E36" i="60"/>
  <c r="G36" i="60" s="1"/>
  <c r="E27" i="61"/>
  <c r="G27" i="61" s="1"/>
  <c r="D27" i="61"/>
  <c r="E31" i="61"/>
  <c r="G31" i="61" s="1"/>
  <c r="E36" i="61"/>
  <c r="G36" i="61" s="1"/>
  <c r="D36" i="61"/>
  <c r="D29" i="72"/>
  <c r="E29" i="72"/>
  <c r="G29" i="72" s="1"/>
  <c r="G30" i="81"/>
  <c r="D31" i="68"/>
  <c r="G31" i="67"/>
  <c r="G40" i="62"/>
  <c r="D40" i="59"/>
  <c r="D40" i="57"/>
  <c r="G40" i="51"/>
  <c r="D40" i="48"/>
  <c r="G40" i="47"/>
  <c r="E27" i="46"/>
  <c r="G27" i="46" s="1"/>
  <c r="D27" i="46"/>
  <c r="E31" i="46"/>
  <c r="G31" i="46" s="1"/>
  <c r="E36" i="46"/>
  <c r="G36" i="46" s="1"/>
  <c r="D36" i="46"/>
  <c r="E27" i="49"/>
  <c r="G27" i="49" s="1"/>
  <c r="D27" i="49"/>
  <c r="E31" i="49"/>
  <c r="G31" i="49" s="1"/>
  <c r="D36" i="49"/>
  <c r="E36" i="49"/>
  <c r="G36" i="49" s="1"/>
  <c r="E27" i="50"/>
  <c r="G27" i="50" s="1"/>
  <c r="D27" i="50"/>
  <c r="E31" i="50"/>
  <c r="G31" i="50" s="1"/>
  <c r="E36" i="50"/>
  <c r="G36" i="50" s="1"/>
  <c r="D36" i="50"/>
  <c r="E28" i="52"/>
  <c r="G28" i="52" s="1"/>
  <c r="D28" i="52"/>
  <c r="E32" i="52"/>
  <c r="G32" i="52" s="1"/>
  <c r="E37" i="52"/>
  <c r="G37" i="52" s="1"/>
  <c r="D37" i="52"/>
  <c r="E28" i="54"/>
  <c r="G28" i="54" s="1"/>
  <c r="D28" i="54"/>
  <c r="E32" i="54"/>
  <c r="G32" i="54" s="1"/>
  <c r="D37" i="54"/>
  <c r="E37" i="54"/>
  <c r="G37" i="54" s="1"/>
  <c r="E27" i="56"/>
  <c r="G27" i="56" s="1"/>
  <c r="D27" i="56"/>
  <c r="E31" i="56"/>
  <c r="G31" i="56" s="1"/>
  <c r="D36" i="56"/>
  <c r="E36" i="56"/>
  <c r="G36" i="56" s="1"/>
  <c r="E28" i="58"/>
  <c r="G28" i="58" s="1"/>
  <c r="D28" i="58"/>
  <c r="E32" i="58"/>
  <c r="G32" i="58" s="1"/>
  <c r="D37" i="58"/>
  <c r="E37" i="58"/>
  <c r="G37" i="58" s="1"/>
  <c r="E28" i="60"/>
  <c r="G28" i="60" s="1"/>
  <c r="D28" i="60"/>
  <c r="E32" i="60"/>
  <c r="G32" i="60" s="1"/>
  <c r="D37" i="60"/>
  <c r="E37" i="60"/>
  <c r="G37" i="60" s="1"/>
  <c r="E28" i="61"/>
  <c r="G28" i="61" s="1"/>
  <c r="D28" i="61"/>
  <c r="E32" i="61"/>
  <c r="G32" i="61" s="1"/>
  <c r="E37" i="61"/>
  <c r="G37" i="61" s="1"/>
  <c r="D37" i="61"/>
  <c r="D28" i="72"/>
  <c r="E28" i="72"/>
  <c r="G28" i="72" s="1"/>
  <c r="D30" i="81"/>
  <c r="G25" i="70"/>
  <c r="G31" i="68"/>
  <c r="D31" i="67"/>
  <c r="G25" i="65"/>
  <c r="G25" i="64"/>
  <c r="D40" i="62"/>
  <c r="G33" i="62"/>
  <c r="G40" i="59"/>
  <c r="G33" i="59"/>
  <c r="G40" i="57"/>
  <c r="G33" i="57"/>
  <c r="D40" i="51"/>
  <c r="G33" i="51"/>
  <c r="G40" i="48"/>
  <c r="G33" i="48"/>
  <c r="D40" i="47"/>
  <c r="G33" i="47"/>
  <c r="D18" i="53"/>
  <c r="H18" i="53" s="1"/>
  <c r="I18" i="53" s="1"/>
  <c r="D18" i="62"/>
  <c r="H18" i="62" s="1"/>
  <c r="I18" i="62" s="1"/>
  <c r="D18" i="48"/>
  <c r="H18" i="48" s="1"/>
  <c r="I18" i="48" s="1"/>
  <c r="D18" i="49"/>
  <c r="D18" i="50"/>
  <c r="D18" i="60"/>
  <c r="H26" i="81"/>
  <c r="I26" i="81" s="1"/>
  <c r="G15" i="81"/>
  <c r="H13" i="81"/>
  <c r="I13" i="81" s="1"/>
  <c r="H27" i="81"/>
  <c r="I27" i="81" s="1"/>
  <c r="H26" i="79"/>
  <c r="I26" i="79" s="1"/>
  <c r="G15" i="79"/>
  <c r="H13" i="79"/>
  <c r="I13" i="79" s="1"/>
  <c r="H27" i="79"/>
  <c r="I27" i="79" s="1"/>
  <c r="D18" i="57"/>
  <c r="H18" i="57" s="1"/>
  <c r="I18" i="57" s="1"/>
  <c r="H16" i="51"/>
  <c r="I16" i="51" s="1"/>
  <c r="D14" i="51"/>
  <c r="H28" i="78"/>
  <c r="I28" i="78" s="1"/>
  <c r="G15" i="78"/>
  <c r="H13" i="78"/>
  <c r="I13" i="78" s="1"/>
  <c r="H29" i="78"/>
  <c r="I29" i="78" s="1"/>
  <c r="H28" i="76"/>
  <c r="I28" i="76" s="1"/>
  <c r="G15" i="76"/>
  <c r="H13" i="76"/>
  <c r="I13" i="76" s="1"/>
  <c r="H29" i="76"/>
  <c r="I29" i="76" s="1"/>
  <c r="H28" i="75"/>
  <c r="I28" i="75" s="1"/>
  <c r="H29" i="75"/>
  <c r="I29" i="75" s="1"/>
  <c r="H28" i="73"/>
  <c r="I28" i="73" s="1"/>
  <c r="G15" i="73"/>
  <c r="H13" i="73"/>
  <c r="I13" i="73" s="1"/>
  <c r="H29" i="73"/>
  <c r="I29" i="73" s="1"/>
  <c r="E13" i="72"/>
  <c r="D13" i="72"/>
  <c r="D15" i="72" s="1"/>
  <c r="H21" i="70"/>
  <c r="I21" i="70" s="1"/>
  <c r="H28" i="70"/>
  <c r="I28" i="70" s="1"/>
  <c r="H27" i="70"/>
  <c r="I27" i="70" s="1"/>
  <c r="G14" i="70"/>
  <c r="H12" i="70"/>
  <c r="I12" i="70" s="1"/>
  <c r="H21" i="68"/>
  <c r="I21" i="68" s="1"/>
  <c r="H28" i="68"/>
  <c r="I28" i="68" s="1"/>
  <c r="H27" i="68"/>
  <c r="I27" i="68" s="1"/>
  <c r="G14" i="68"/>
  <c r="H12" i="68"/>
  <c r="I12" i="68" s="1"/>
  <c r="H28" i="67"/>
  <c r="I28" i="67" s="1"/>
  <c r="H21" i="67"/>
  <c r="I21" i="67" s="1"/>
  <c r="H27" i="67"/>
  <c r="I27" i="67" s="1"/>
  <c r="G14" i="67"/>
  <c r="H12" i="67"/>
  <c r="I12" i="67" s="1"/>
  <c r="H21" i="65"/>
  <c r="I21" i="65" s="1"/>
  <c r="H28" i="65"/>
  <c r="I28" i="65" s="1"/>
  <c r="H27" i="65"/>
  <c r="I27" i="65" s="1"/>
  <c r="G14" i="65"/>
  <c r="H12" i="65"/>
  <c r="I12" i="65" s="1"/>
  <c r="H21" i="64"/>
  <c r="I21" i="64" s="1"/>
  <c r="H28" i="64"/>
  <c r="I28" i="64" s="1"/>
  <c r="H27" i="64"/>
  <c r="I27" i="64" s="1"/>
  <c r="G14" i="64"/>
  <c r="H12" i="64"/>
  <c r="I12" i="64" s="1"/>
  <c r="D14" i="62"/>
  <c r="H37" i="62"/>
  <c r="I37" i="62" s="1"/>
  <c r="H36" i="62"/>
  <c r="I36" i="62" s="1"/>
  <c r="G14" i="62"/>
  <c r="H12" i="62"/>
  <c r="I12" i="62" s="1"/>
  <c r="H28" i="62"/>
  <c r="I28" i="62" s="1"/>
  <c r="H13" i="62"/>
  <c r="I13" i="62" s="1"/>
  <c r="H27" i="62"/>
  <c r="I27" i="62" s="1"/>
  <c r="G14" i="61"/>
  <c r="H12" i="61"/>
  <c r="I12" i="61" s="1"/>
  <c r="H13" i="61"/>
  <c r="I13" i="61" s="1"/>
  <c r="H16" i="61"/>
  <c r="I16" i="61" s="1"/>
  <c r="G18" i="61"/>
  <c r="H13" i="60"/>
  <c r="I13" i="60" s="1"/>
  <c r="G14" i="60"/>
  <c r="G18" i="60"/>
  <c r="H15" i="60"/>
  <c r="I15" i="60" s="1"/>
  <c r="H16" i="60"/>
  <c r="I16" i="60" s="1"/>
  <c r="D14" i="58"/>
  <c r="H37" i="59"/>
  <c r="I37" i="59" s="1"/>
  <c r="H16" i="59"/>
  <c r="I16" i="59" s="1"/>
  <c r="H27" i="59"/>
  <c r="I27" i="59" s="1"/>
  <c r="G18" i="59"/>
  <c r="H15" i="59"/>
  <c r="I15" i="59" s="1"/>
  <c r="H17" i="59"/>
  <c r="I17" i="59" s="1"/>
  <c r="H28" i="59"/>
  <c r="I28" i="59" s="1"/>
  <c r="G14" i="59"/>
  <c r="H12" i="59"/>
  <c r="I12" i="59" s="1"/>
  <c r="H36" i="59"/>
  <c r="I36" i="59" s="1"/>
  <c r="D18" i="59"/>
  <c r="H13" i="59"/>
  <c r="I13" i="59" s="1"/>
  <c r="G14" i="58"/>
  <c r="H12" i="58"/>
  <c r="I12" i="58" s="1"/>
  <c r="D18" i="58"/>
  <c r="H13" i="58"/>
  <c r="I13" i="58" s="1"/>
  <c r="H16" i="58"/>
  <c r="I16" i="58" s="1"/>
  <c r="G18" i="58"/>
  <c r="H15" i="58"/>
  <c r="I15" i="58" s="1"/>
  <c r="H28" i="57"/>
  <c r="I28" i="57" s="1"/>
  <c r="H13" i="57"/>
  <c r="I13" i="57" s="1"/>
  <c r="H27" i="57"/>
  <c r="I27" i="57" s="1"/>
  <c r="G14" i="57"/>
  <c r="H12" i="57"/>
  <c r="I12" i="57" s="1"/>
  <c r="H37" i="57"/>
  <c r="I37" i="57" s="1"/>
  <c r="H36" i="57"/>
  <c r="I36" i="57" s="1"/>
  <c r="D14" i="57"/>
  <c r="G18" i="56"/>
  <c r="H15" i="56"/>
  <c r="I15" i="56" s="1"/>
  <c r="G14" i="56"/>
  <c r="H12" i="56"/>
  <c r="I12" i="56" s="1"/>
  <c r="D18" i="56"/>
  <c r="H16" i="56"/>
  <c r="I16" i="56" s="1"/>
  <c r="D18" i="54"/>
  <c r="G18" i="54"/>
  <c r="H15" i="54"/>
  <c r="I15" i="54" s="1"/>
  <c r="G14" i="54"/>
  <c r="H12" i="54"/>
  <c r="I12" i="54" s="1"/>
  <c r="H16" i="54"/>
  <c r="I16" i="54" s="1"/>
  <c r="D14" i="53"/>
  <c r="H28" i="53"/>
  <c r="I28" i="53" s="1"/>
  <c r="H37" i="53"/>
  <c r="I37" i="53" s="1"/>
  <c r="H36" i="53"/>
  <c r="I36" i="53" s="1"/>
  <c r="G14" i="53"/>
  <c r="H12" i="53"/>
  <c r="I12" i="53" s="1"/>
  <c r="H13" i="53"/>
  <c r="I13" i="53" s="1"/>
  <c r="H27" i="53"/>
  <c r="I27" i="53" s="1"/>
  <c r="G14" i="52"/>
  <c r="H12" i="52"/>
  <c r="I12" i="52" s="1"/>
  <c r="D18" i="52"/>
  <c r="H16" i="52"/>
  <c r="I16" i="52" s="1"/>
  <c r="G18" i="52"/>
  <c r="H15" i="52"/>
  <c r="I15" i="52" s="1"/>
  <c r="H13" i="51"/>
  <c r="I13" i="51" s="1"/>
  <c r="H36" i="51"/>
  <c r="I36" i="51" s="1"/>
  <c r="H37" i="51"/>
  <c r="I37" i="51" s="1"/>
  <c r="H28" i="51"/>
  <c r="I28" i="51" s="1"/>
  <c r="H27" i="51"/>
  <c r="I27" i="51" s="1"/>
  <c r="G14" i="51"/>
  <c r="H12" i="51"/>
  <c r="I12" i="51" s="1"/>
  <c r="H13" i="50"/>
  <c r="I13" i="50" s="1"/>
  <c r="G18" i="50"/>
  <c r="H15" i="50"/>
  <c r="I15" i="50" s="1"/>
  <c r="G14" i="50"/>
  <c r="H16" i="50"/>
  <c r="I16" i="50" s="1"/>
  <c r="G14" i="49"/>
  <c r="H12" i="49"/>
  <c r="I12" i="49" s="1"/>
  <c r="G18" i="49"/>
  <c r="H15" i="49"/>
  <c r="I15" i="49" s="1"/>
  <c r="H16" i="49"/>
  <c r="I16" i="49" s="1"/>
  <c r="H36" i="48"/>
  <c r="I36" i="48" s="1"/>
  <c r="H27" i="48"/>
  <c r="I27" i="48" s="1"/>
  <c r="H13" i="48"/>
  <c r="I13" i="48" s="1"/>
  <c r="H28" i="48"/>
  <c r="I28" i="48" s="1"/>
  <c r="G14" i="48"/>
  <c r="H12" i="48"/>
  <c r="I12" i="48" s="1"/>
  <c r="H37" i="48"/>
  <c r="I37" i="48" s="1"/>
  <c r="D14" i="48"/>
  <c r="H37" i="47"/>
  <c r="I37" i="47" s="1"/>
  <c r="G14" i="47"/>
  <c r="H12" i="47"/>
  <c r="I12" i="47" s="1"/>
  <c r="H36" i="47"/>
  <c r="I36" i="47" s="1"/>
  <c r="H28" i="47"/>
  <c r="I28" i="47" s="1"/>
  <c r="H16" i="47"/>
  <c r="I16" i="47" s="1"/>
  <c r="D14" i="47"/>
  <c r="H17" i="47"/>
  <c r="I17" i="47" s="1"/>
  <c r="H27" i="47"/>
  <c r="I27" i="47" s="1"/>
  <c r="G18" i="47"/>
  <c r="H13" i="47"/>
  <c r="I13" i="47" s="1"/>
  <c r="G14" i="46"/>
  <c r="H12" i="46"/>
  <c r="I12" i="46" s="1"/>
  <c r="D18" i="46"/>
  <c r="H16" i="46"/>
  <c r="I16" i="46" s="1"/>
  <c r="G18" i="46"/>
  <c r="H15" i="46"/>
  <c r="I15" i="46" s="1"/>
  <c r="H13" i="75" l="1"/>
  <c r="I13" i="75" s="1"/>
  <c r="G13" i="72"/>
  <c r="G15" i="72" s="1"/>
  <c r="H30" i="72"/>
  <c r="I30" i="72" s="1"/>
  <c r="D32" i="72"/>
  <c r="D40" i="56"/>
  <c r="G33" i="56"/>
  <c r="G40" i="50"/>
  <c r="D40" i="49"/>
  <c r="G33" i="49"/>
  <c r="G40" i="46"/>
  <c r="G33" i="50"/>
  <c r="G33" i="46"/>
  <c r="G32" i="72"/>
  <c r="G40" i="56"/>
  <c r="D40" i="50"/>
  <c r="G40" i="49"/>
  <c r="D40" i="46"/>
  <c r="D40" i="61"/>
  <c r="G40" i="60"/>
  <c r="G40" i="58"/>
  <c r="G40" i="54"/>
  <c r="D40" i="52"/>
  <c r="G40" i="61"/>
  <c r="G33" i="61"/>
  <c r="D40" i="60"/>
  <c r="G33" i="60"/>
  <c r="D40" i="58"/>
  <c r="G33" i="58"/>
  <c r="D40" i="54"/>
  <c r="G33" i="54"/>
  <c r="G40" i="52"/>
  <c r="G33" i="52"/>
  <c r="H30" i="81"/>
  <c r="I30" i="81" s="1"/>
  <c r="H15" i="81"/>
  <c r="I15" i="81" s="1"/>
  <c r="H30" i="79"/>
  <c r="I30" i="79" s="1"/>
  <c r="H15" i="79"/>
  <c r="I15" i="79" s="1"/>
  <c r="H15" i="78"/>
  <c r="I15" i="78" s="1"/>
  <c r="H32" i="78"/>
  <c r="I32" i="78" s="1"/>
  <c r="H15" i="76"/>
  <c r="I15" i="76" s="1"/>
  <c r="H32" i="76"/>
  <c r="I32" i="76" s="1"/>
  <c r="H32" i="75"/>
  <c r="I32" i="75" s="1"/>
  <c r="H15" i="75"/>
  <c r="I15" i="75" s="1"/>
  <c r="H15" i="73"/>
  <c r="I15" i="73" s="1"/>
  <c r="H32" i="73"/>
  <c r="I32" i="73" s="1"/>
  <c r="H29" i="72"/>
  <c r="I29" i="72" s="1"/>
  <c r="H28" i="72"/>
  <c r="I28" i="72" s="1"/>
  <c r="H31" i="70"/>
  <c r="I31" i="70" s="1"/>
  <c r="H14" i="70"/>
  <c r="I14" i="70" s="1"/>
  <c r="H14" i="68"/>
  <c r="I14" i="68" s="1"/>
  <c r="H31" i="68"/>
  <c r="I31" i="68" s="1"/>
  <c r="H14" i="67"/>
  <c r="I14" i="67" s="1"/>
  <c r="H31" i="67"/>
  <c r="I31" i="67" s="1"/>
  <c r="H31" i="65"/>
  <c r="I31" i="65" s="1"/>
  <c r="H14" i="65"/>
  <c r="I14" i="65" s="1"/>
  <c r="H31" i="64"/>
  <c r="I31" i="64" s="1"/>
  <c r="H14" i="64"/>
  <c r="I14" i="64" s="1"/>
  <c r="H40" i="62"/>
  <c r="I40" i="62" s="1"/>
  <c r="H14" i="62"/>
  <c r="I14" i="62" s="1"/>
  <c r="H18" i="61"/>
  <c r="I18" i="61" s="1"/>
  <c r="H37" i="61"/>
  <c r="I37" i="61" s="1"/>
  <c r="H27" i="61"/>
  <c r="I27" i="61" s="1"/>
  <c r="H28" i="61"/>
  <c r="I28" i="61" s="1"/>
  <c r="H36" i="61"/>
  <c r="I36" i="61" s="1"/>
  <c r="H14" i="61"/>
  <c r="I14" i="61" s="1"/>
  <c r="H37" i="60"/>
  <c r="I37" i="60" s="1"/>
  <c r="H27" i="60"/>
  <c r="I27" i="60" s="1"/>
  <c r="H18" i="60"/>
  <c r="I18" i="60" s="1"/>
  <c r="H28" i="60"/>
  <c r="I28" i="60" s="1"/>
  <c r="H14" i="60"/>
  <c r="I14" i="60" s="1"/>
  <c r="H36" i="60"/>
  <c r="I36" i="60" s="1"/>
  <c r="H18" i="59"/>
  <c r="I18" i="59" s="1"/>
  <c r="H40" i="59"/>
  <c r="I40" i="59" s="1"/>
  <c r="H14" i="59"/>
  <c r="I14" i="59" s="1"/>
  <c r="H18" i="58"/>
  <c r="I18" i="58" s="1"/>
  <c r="H27" i="58"/>
  <c r="I27" i="58" s="1"/>
  <c r="H14" i="58"/>
  <c r="I14" i="58" s="1"/>
  <c r="H28" i="58"/>
  <c r="I28" i="58" s="1"/>
  <c r="H36" i="58"/>
  <c r="I36" i="58" s="1"/>
  <c r="H37" i="58"/>
  <c r="I37" i="58" s="1"/>
  <c r="H14" i="57"/>
  <c r="I14" i="57" s="1"/>
  <c r="H40" i="57"/>
  <c r="I40" i="57" s="1"/>
  <c r="H36" i="56"/>
  <c r="I36" i="56" s="1"/>
  <c r="H14" i="56"/>
  <c r="I14" i="56" s="1"/>
  <c r="H37" i="56"/>
  <c r="I37" i="56" s="1"/>
  <c r="H27" i="56"/>
  <c r="I27" i="56" s="1"/>
  <c r="H28" i="56"/>
  <c r="I28" i="56" s="1"/>
  <c r="H18" i="56"/>
  <c r="I18" i="56" s="1"/>
  <c r="H14" i="54"/>
  <c r="I14" i="54" s="1"/>
  <c r="H27" i="54"/>
  <c r="I27" i="54" s="1"/>
  <c r="H28" i="54"/>
  <c r="I28" i="54" s="1"/>
  <c r="H36" i="54"/>
  <c r="I36" i="54" s="1"/>
  <c r="H18" i="54"/>
  <c r="I18" i="54" s="1"/>
  <c r="H37" i="54"/>
  <c r="I37" i="54" s="1"/>
  <c r="H40" i="53"/>
  <c r="I40" i="53" s="1"/>
  <c r="H14" i="53"/>
  <c r="I14" i="53" s="1"/>
  <c r="H27" i="52"/>
  <c r="I27" i="52" s="1"/>
  <c r="H18" i="52"/>
  <c r="I18" i="52" s="1"/>
  <c r="H37" i="52"/>
  <c r="I37" i="52" s="1"/>
  <c r="H28" i="52"/>
  <c r="I28" i="52" s="1"/>
  <c r="H36" i="52"/>
  <c r="I36" i="52" s="1"/>
  <c r="H14" i="52"/>
  <c r="I14" i="52" s="1"/>
  <c r="H40" i="51"/>
  <c r="I40" i="51" s="1"/>
  <c r="H14" i="51"/>
  <c r="I14" i="51" s="1"/>
  <c r="H18" i="50"/>
  <c r="I18" i="50" s="1"/>
  <c r="H28" i="50"/>
  <c r="I28" i="50" s="1"/>
  <c r="H36" i="50"/>
  <c r="I36" i="50" s="1"/>
  <c r="H14" i="50"/>
  <c r="I14" i="50" s="1"/>
  <c r="H37" i="50"/>
  <c r="I37" i="50" s="1"/>
  <c r="H27" i="50"/>
  <c r="I27" i="50" s="1"/>
  <c r="H18" i="49"/>
  <c r="I18" i="49" s="1"/>
  <c r="H37" i="49"/>
  <c r="I37" i="49" s="1"/>
  <c r="H14" i="49"/>
  <c r="I14" i="49" s="1"/>
  <c r="H27" i="49"/>
  <c r="I27" i="49" s="1"/>
  <c r="H28" i="49"/>
  <c r="I28" i="49" s="1"/>
  <c r="H36" i="49"/>
  <c r="I36" i="49" s="1"/>
  <c r="H40" i="48"/>
  <c r="I40" i="48" s="1"/>
  <c r="H14" i="48"/>
  <c r="I14" i="48" s="1"/>
  <c r="H40" i="47"/>
  <c r="I40" i="47" s="1"/>
  <c r="H14" i="47"/>
  <c r="I14" i="47" s="1"/>
  <c r="H18" i="47"/>
  <c r="I18" i="47" s="1"/>
  <c r="H18" i="46"/>
  <c r="I18" i="46" s="1"/>
  <c r="H28" i="46"/>
  <c r="I28" i="46" s="1"/>
  <c r="H27" i="46"/>
  <c r="I27" i="46" s="1"/>
  <c r="H37" i="46"/>
  <c r="I37" i="46" s="1"/>
  <c r="H14" i="46"/>
  <c r="I14" i="46" s="1"/>
  <c r="H36" i="46"/>
  <c r="I36" i="46" s="1"/>
  <c r="H13" i="72" l="1"/>
  <c r="I13" i="72" s="1"/>
  <c r="H32" i="72"/>
  <c r="I32" i="72" s="1"/>
  <c r="H15" i="72"/>
  <c r="I15" i="72" s="1"/>
  <c r="H40" i="61"/>
  <c r="I40" i="61" s="1"/>
  <c r="H40" i="60"/>
  <c r="I40" i="60" s="1"/>
  <c r="H40" i="58"/>
  <c r="I40" i="58" s="1"/>
  <c r="H40" i="56"/>
  <c r="I40" i="56" s="1"/>
  <c r="H40" i="54"/>
  <c r="I40" i="54" s="1"/>
  <c r="H40" i="52"/>
  <c r="I40" i="52" s="1"/>
  <c r="H40" i="50"/>
  <c r="I40" i="50" s="1"/>
  <c r="H40" i="49"/>
  <c r="I40" i="49" s="1"/>
  <c r="H40" i="46"/>
  <c r="I40" i="46" s="1"/>
  <c r="F37" i="5" l="1"/>
  <c r="F35" i="5"/>
  <c r="B25" i="5" l="1"/>
  <c r="B24" i="5"/>
  <c r="H17" i="5"/>
  <c r="I17" i="5" s="1"/>
  <c r="F14" i="5"/>
  <c r="F13" i="5"/>
  <c r="F36" i="25"/>
  <c r="F34" i="25"/>
  <c r="F32" i="25"/>
  <c r="B32" i="25"/>
  <c r="E32" i="25" s="1"/>
  <c r="F30" i="25"/>
  <c r="E30" i="25"/>
  <c r="D30" i="25"/>
  <c r="E15" i="25"/>
  <c r="F13" i="25"/>
  <c r="F12" i="25"/>
  <c r="G30" i="25" l="1"/>
  <c r="G32" i="25"/>
  <c r="E25" i="5"/>
  <c r="G25" i="5" s="1"/>
  <c r="E24" i="5"/>
  <c r="G24" i="5" s="1"/>
  <c r="H31" i="5"/>
  <c r="I31" i="5" s="1"/>
  <c r="H30" i="25"/>
  <c r="I30" i="25" s="1"/>
  <c r="D32" i="25"/>
  <c r="B9" i="4"/>
  <c r="C26" i="4"/>
  <c r="D26" i="4" s="1"/>
  <c r="C20" i="4"/>
  <c r="H32" i="25" l="1"/>
  <c r="I32" i="25" s="1"/>
  <c r="G26" i="5"/>
  <c r="B23" i="4"/>
  <c r="B24" i="4"/>
  <c r="B9" i="25" l="1"/>
  <c r="B7" i="25"/>
  <c r="B6" i="25"/>
  <c r="B5" i="25"/>
  <c r="B13" i="25" l="1"/>
  <c r="B12" i="25"/>
  <c r="B18" i="25"/>
  <c r="B17" i="25"/>
  <c r="C21" i="25"/>
  <c r="F21" i="25" s="1"/>
  <c r="B8" i="25"/>
  <c r="B29" i="25" l="1"/>
  <c r="E29" i="25" s="1"/>
  <c r="G29" i="25" s="1"/>
  <c r="B19" i="25"/>
  <c r="E19" i="25" s="1"/>
  <c r="E13" i="25"/>
  <c r="G13" i="25" s="1"/>
  <c r="D13" i="25"/>
  <c r="E17" i="25"/>
  <c r="B28" i="25"/>
  <c r="B24" i="25"/>
  <c r="B27" i="25"/>
  <c r="B23" i="25"/>
  <c r="B21" i="25"/>
  <c r="E12" i="25"/>
  <c r="G12" i="25" s="1"/>
  <c r="D12" i="25"/>
  <c r="E18" i="25"/>
  <c r="D29" i="25" l="1"/>
  <c r="H29" i="25" s="1"/>
  <c r="I29" i="25" s="1"/>
  <c r="D14" i="25"/>
  <c r="D21" i="25"/>
  <c r="E21" i="25"/>
  <c r="G21" i="25" s="1"/>
  <c r="E23" i="25"/>
  <c r="E24" i="25"/>
  <c r="H12" i="25"/>
  <c r="I12" i="25" s="1"/>
  <c r="G14" i="25"/>
  <c r="E27" i="25"/>
  <c r="G27" i="25" s="1"/>
  <c r="D27" i="25"/>
  <c r="E28" i="25"/>
  <c r="G28" i="25" s="1"/>
  <c r="D28" i="25"/>
  <c r="H13" i="25"/>
  <c r="I13" i="25" s="1"/>
  <c r="B33" i="5"/>
  <c r="D33" i="5" l="1"/>
  <c r="E33" i="5"/>
  <c r="G33" i="5" s="1"/>
  <c r="H21" i="25"/>
  <c r="I21" i="25" s="1"/>
  <c r="G31" i="25"/>
  <c r="H27" i="25"/>
  <c r="I27" i="25" s="1"/>
  <c r="H28" i="25"/>
  <c r="I28" i="25" s="1"/>
  <c r="D31" i="25"/>
  <c r="H14" i="25"/>
  <c r="I14" i="25" s="1"/>
  <c r="H31" i="25" l="1"/>
  <c r="I31" i="25" s="1"/>
  <c r="H33" i="5"/>
  <c r="I33" i="5" s="1"/>
  <c r="B8" i="5" l="1"/>
  <c r="B6" i="5"/>
  <c r="B7" i="4"/>
  <c r="B6" i="4"/>
  <c r="B5" i="4"/>
  <c r="B13" i="4" l="1"/>
  <c r="B12" i="4"/>
  <c r="B21" i="5"/>
  <c r="B20" i="5"/>
  <c r="E14" i="5"/>
  <c r="G14" i="5" s="1"/>
  <c r="D14" i="5"/>
  <c r="F28" i="4"/>
  <c r="C27" i="4"/>
  <c r="F27" i="4" s="1"/>
  <c r="E24" i="4"/>
  <c r="E21" i="5" l="1"/>
  <c r="E20" i="5"/>
  <c r="H14" i="5"/>
  <c r="I14" i="5" s="1"/>
  <c r="B9" i="5"/>
  <c r="B22" i="5" s="1"/>
  <c r="D22" i="5" l="1"/>
  <c r="E22" i="5"/>
  <c r="G22" i="5" s="1"/>
  <c r="B13" i="5"/>
  <c r="E13" i="5" s="1"/>
  <c r="G13" i="5" s="1"/>
  <c r="B30" i="5"/>
  <c r="B28" i="5"/>
  <c r="B29" i="5"/>
  <c r="F48" i="4"/>
  <c r="F45" i="4"/>
  <c r="F43" i="4"/>
  <c r="F41" i="4"/>
  <c r="F39" i="4"/>
  <c r="E39" i="4"/>
  <c r="D39" i="4"/>
  <c r="E20" i="4"/>
  <c r="G20" i="4" s="1"/>
  <c r="D20" i="4"/>
  <c r="E19" i="4"/>
  <c r="F17" i="4"/>
  <c r="F16" i="4"/>
  <c r="F15" i="4"/>
  <c r="F13" i="4"/>
  <c r="F12" i="4"/>
  <c r="H22" i="5" l="1"/>
  <c r="I22" i="5" s="1"/>
  <c r="D13" i="5"/>
  <c r="D15" i="5" s="1"/>
  <c r="E30" i="5"/>
  <c r="G30" i="5" s="1"/>
  <c r="D30" i="5"/>
  <c r="D28" i="5"/>
  <c r="E28" i="5"/>
  <c r="G28" i="5" s="1"/>
  <c r="D29" i="5"/>
  <c r="E29" i="5"/>
  <c r="G29" i="5" s="1"/>
  <c r="G39" i="4"/>
  <c r="H39" i="4" s="1"/>
  <c r="I39" i="4" s="1"/>
  <c r="G15" i="5"/>
  <c r="E13" i="4"/>
  <c r="G13" i="4" s="1"/>
  <c r="D13" i="4"/>
  <c r="B41" i="4"/>
  <c r="B8" i="4"/>
  <c r="B38" i="4" s="1"/>
  <c r="H20" i="4"/>
  <c r="I20" i="4" s="1"/>
  <c r="H13" i="5" l="1"/>
  <c r="I13" i="5" s="1"/>
  <c r="H30" i="5"/>
  <c r="I30" i="5" s="1"/>
  <c r="E38" i="4"/>
  <c r="G38" i="4" s="1"/>
  <c r="D38" i="4"/>
  <c r="H15" i="5"/>
  <c r="I15" i="5" s="1"/>
  <c r="G32" i="5"/>
  <c r="D32" i="5"/>
  <c r="H28" i="5"/>
  <c r="I28" i="5" s="1"/>
  <c r="H29" i="5"/>
  <c r="I29" i="5" s="1"/>
  <c r="B27" i="4"/>
  <c r="D27" i="4" s="1"/>
  <c r="B28" i="4"/>
  <c r="D15" i="4"/>
  <c r="E15" i="4"/>
  <c r="G15" i="4" s="1"/>
  <c r="E16" i="4"/>
  <c r="G16" i="4" s="1"/>
  <c r="D16" i="4"/>
  <c r="E41" i="4"/>
  <c r="G41" i="4" s="1"/>
  <c r="D41" i="4"/>
  <c r="E23" i="4"/>
  <c r="B37" i="4"/>
  <c r="B36" i="4"/>
  <c r="B32" i="4"/>
  <c r="B31" i="4"/>
  <c r="E17" i="4"/>
  <c r="G17" i="4" s="1"/>
  <c r="D17" i="4"/>
  <c r="E12" i="4"/>
  <c r="G12" i="4" s="1"/>
  <c r="D12" i="4"/>
  <c r="D14" i="4" s="1"/>
  <c r="H13" i="4"/>
  <c r="I13" i="4" s="1"/>
  <c r="H38" i="4" l="1"/>
  <c r="I38" i="4" s="1"/>
  <c r="H32" i="5"/>
  <c r="I32" i="5" s="1"/>
  <c r="E27" i="4"/>
  <c r="G27" i="4" s="1"/>
  <c r="D28" i="4"/>
  <c r="E28" i="4"/>
  <c r="G28" i="4" s="1"/>
  <c r="D18" i="4"/>
  <c r="E31" i="4"/>
  <c r="E36" i="4"/>
  <c r="G36" i="4" s="1"/>
  <c r="D36" i="4"/>
  <c r="G18" i="4"/>
  <c r="H15" i="4"/>
  <c r="I15" i="4" s="1"/>
  <c r="G14" i="4"/>
  <c r="H12" i="4"/>
  <c r="I12" i="4" s="1"/>
  <c r="H17" i="4"/>
  <c r="I17" i="4" s="1"/>
  <c r="E32" i="4"/>
  <c r="E37" i="4"/>
  <c r="G37" i="4" s="1"/>
  <c r="D37" i="4"/>
  <c r="H41" i="4"/>
  <c r="I41" i="4" s="1"/>
  <c r="H16" i="4"/>
  <c r="I16" i="4" s="1"/>
  <c r="H27" i="4" l="1"/>
  <c r="I27" i="4" s="1"/>
  <c r="H28" i="4"/>
  <c r="I28" i="4" s="1"/>
  <c r="D40" i="4"/>
  <c r="H37" i="4"/>
  <c r="I37" i="4" s="1"/>
  <c r="H14" i="4"/>
  <c r="I14" i="4" s="1"/>
  <c r="H36" i="4"/>
  <c r="I36" i="4" s="1"/>
  <c r="G40" i="4"/>
  <c r="H18" i="4"/>
  <c r="I18" i="4" s="1"/>
  <c r="H40" i="4" l="1"/>
  <c r="I40" i="4" s="1"/>
  <c r="G26" i="4" l="1"/>
  <c r="H26" i="4" s="1"/>
  <c r="I26" i="4" s="1"/>
  <c r="G24" i="25" l="1"/>
  <c r="G32" i="4"/>
  <c r="G23" i="25"/>
  <c r="G31" i="4"/>
  <c r="G33" i="4" l="1"/>
  <c r="G25" i="25"/>
  <c r="G21" i="59" l="1"/>
  <c r="G21" i="58"/>
  <c r="G21" i="57"/>
  <c r="G21" i="60"/>
  <c r="G21" i="62"/>
  <c r="G21" i="61"/>
  <c r="G21" i="46"/>
  <c r="G21" i="47"/>
  <c r="G21" i="4"/>
  <c r="G21" i="53"/>
  <c r="G21" i="52"/>
  <c r="G21" i="51"/>
  <c r="G21" i="50" l="1"/>
  <c r="G21" i="49"/>
  <c r="G21" i="48"/>
  <c r="G18" i="5"/>
  <c r="G18" i="72"/>
  <c r="G18" i="71"/>
  <c r="G18" i="78"/>
  <c r="G18" i="76"/>
  <c r="G18" i="75"/>
  <c r="G18" i="73"/>
  <c r="G18" i="74"/>
  <c r="G21" i="56"/>
  <c r="G21" i="54"/>
  <c r="C21" i="47" l="1"/>
  <c r="D21" i="47" s="1"/>
  <c r="C21" i="4"/>
  <c r="D21" i="4" s="1"/>
  <c r="C21" i="46"/>
  <c r="D21" i="46" s="1"/>
  <c r="C21" i="50"/>
  <c r="D21" i="50" s="1"/>
  <c r="C21" i="48"/>
  <c r="D21" i="48" s="1"/>
  <c r="C21" i="49"/>
  <c r="D21" i="49" s="1"/>
  <c r="C21" i="51"/>
  <c r="D21" i="51" s="1"/>
  <c r="C21" i="53"/>
  <c r="D21" i="53" s="1"/>
  <c r="C21" i="52"/>
  <c r="D21" i="52" s="1"/>
  <c r="C21" i="54"/>
  <c r="D21" i="54" s="1"/>
  <c r="C21" i="56"/>
  <c r="D21" i="56" s="1"/>
  <c r="C21" i="57"/>
  <c r="D21" i="57" s="1"/>
  <c r="C21" i="59"/>
  <c r="D21" i="59" s="1"/>
  <c r="C21" i="58"/>
  <c r="D21" i="58" s="1"/>
  <c r="C21" i="61"/>
  <c r="D21" i="61" s="1"/>
  <c r="C21" i="60"/>
  <c r="D21" i="60" s="1"/>
  <c r="C21" i="62"/>
  <c r="D21" i="62" s="1"/>
  <c r="C18" i="72"/>
  <c r="D18" i="72" s="1"/>
  <c r="C18" i="71"/>
  <c r="D18" i="71" s="1"/>
  <c r="C18" i="5"/>
  <c r="D18" i="5" s="1"/>
  <c r="C18" i="75"/>
  <c r="D18" i="75" s="1"/>
  <c r="C18" i="74"/>
  <c r="D18" i="74" s="1"/>
  <c r="C18" i="73"/>
  <c r="D18" i="73" s="1"/>
  <c r="C18" i="78"/>
  <c r="D18" i="78" s="1"/>
  <c r="C18" i="76"/>
  <c r="D18" i="76" s="1"/>
  <c r="D19" i="64"/>
  <c r="D19" i="25"/>
  <c r="D19" i="67"/>
  <c r="D19" i="65"/>
  <c r="D19" i="70"/>
  <c r="D19" i="68"/>
  <c r="D20" i="79"/>
  <c r="D20" i="81"/>
  <c r="H18" i="76" l="1"/>
  <c r="I18" i="76" s="1"/>
  <c r="H18" i="78"/>
  <c r="I18" i="78" s="1"/>
  <c r="H18" i="74"/>
  <c r="I18" i="74" s="1"/>
  <c r="H18" i="5"/>
  <c r="I18" i="5" s="1"/>
  <c r="H18" i="72"/>
  <c r="I18" i="72" s="1"/>
  <c r="H21" i="62"/>
  <c r="I21" i="62" s="1"/>
  <c r="H21" i="61"/>
  <c r="I21" i="61" s="1"/>
  <c r="H21" i="59"/>
  <c r="I21" i="59" s="1"/>
  <c r="H21" i="56"/>
  <c r="I21" i="56" s="1"/>
  <c r="H21" i="53"/>
  <c r="I21" i="53" s="1"/>
  <c r="H21" i="49"/>
  <c r="I21" i="49" s="1"/>
  <c r="H21" i="50"/>
  <c r="I21" i="50" s="1"/>
  <c r="H21" i="4"/>
  <c r="I21" i="4" s="1"/>
  <c r="H18" i="73"/>
  <c r="I18" i="73" s="1"/>
  <c r="H18" i="75"/>
  <c r="I18" i="75" s="1"/>
  <c r="H18" i="71"/>
  <c r="I18" i="71" s="1"/>
  <c r="H21" i="60"/>
  <c r="I21" i="60" s="1"/>
  <c r="H21" i="58"/>
  <c r="I21" i="58" s="1"/>
  <c r="H21" i="57"/>
  <c r="I21" i="57" s="1"/>
  <c r="H21" i="54"/>
  <c r="I21" i="54" s="1"/>
  <c r="H21" i="52"/>
  <c r="I21" i="52" s="1"/>
  <c r="H21" i="51"/>
  <c r="I21" i="51" s="1"/>
  <c r="H21" i="48"/>
  <c r="I21" i="48" s="1"/>
  <c r="H21" i="46"/>
  <c r="I21" i="46" s="1"/>
  <c r="H21" i="47"/>
  <c r="I21" i="47" s="1"/>
  <c r="C23" i="50" l="1"/>
  <c r="D23" i="50" s="1"/>
  <c r="C23" i="58"/>
  <c r="D23" i="58" s="1"/>
  <c r="C23" i="59"/>
  <c r="D23" i="59" s="1"/>
  <c r="C23" i="48"/>
  <c r="D23" i="48" s="1"/>
  <c r="C23" i="49"/>
  <c r="D23" i="49" s="1"/>
  <c r="C23" i="57"/>
  <c r="D23" i="57" s="1"/>
  <c r="C23" i="47" l="1"/>
  <c r="D23" i="47" s="1"/>
  <c r="C23" i="46"/>
  <c r="D23" i="46" s="1"/>
  <c r="C23" i="4"/>
  <c r="D23" i="4" s="1"/>
  <c r="C17" i="70" l="1"/>
  <c r="D17" i="70" s="1"/>
  <c r="C17" i="69"/>
  <c r="C17" i="68"/>
  <c r="D17" i="68" s="1"/>
  <c r="C23" i="53" l="1"/>
  <c r="D23" i="53" s="1"/>
  <c r="C23" i="52"/>
  <c r="D23" i="52" s="1"/>
  <c r="C23" i="51"/>
  <c r="D23" i="51" s="1"/>
  <c r="C20" i="74"/>
  <c r="C20" i="75"/>
  <c r="D20" i="75" s="1"/>
  <c r="C20" i="73"/>
  <c r="D20" i="73" s="1"/>
  <c r="C17" i="65"/>
  <c r="D17" i="65" s="1"/>
  <c r="C17" i="66"/>
  <c r="C17" i="67"/>
  <c r="D17" i="67" s="1"/>
  <c r="C20" i="5" l="1"/>
  <c r="D20" i="5" s="1"/>
  <c r="C17" i="63"/>
  <c r="C23" i="61"/>
  <c r="D23" i="61" s="1"/>
  <c r="C20" i="72"/>
  <c r="D20" i="72" s="1"/>
  <c r="C20" i="71"/>
  <c r="C17" i="25"/>
  <c r="D17" i="25" s="1"/>
  <c r="C17" i="64"/>
  <c r="D17" i="64" s="1"/>
  <c r="C23" i="62"/>
  <c r="D23" i="62" s="1"/>
  <c r="C23" i="60"/>
  <c r="D23" i="60" s="1"/>
  <c r="D16" i="64" l="1"/>
  <c r="D16" i="63"/>
  <c r="C23" i="104" l="1"/>
  <c r="D23" i="104" s="1"/>
  <c r="C23" i="56"/>
  <c r="D23" i="56" s="1"/>
  <c r="C23" i="54"/>
  <c r="D23" i="54" s="1"/>
  <c r="C16" i="25" l="1"/>
  <c r="D16" i="25" s="1"/>
  <c r="C24" i="116"/>
  <c r="C22" i="116"/>
  <c r="D22" i="116" s="1"/>
  <c r="C24" i="117"/>
  <c r="C22" i="117"/>
  <c r="D22" i="117" s="1"/>
  <c r="C24" i="115"/>
  <c r="C22" i="115"/>
  <c r="D22" i="115" s="1"/>
  <c r="C24" i="114"/>
  <c r="C22" i="114"/>
  <c r="D22" i="114" s="1"/>
  <c r="C24" i="113"/>
  <c r="C22" i="113"/>
  <c r="D22" i="113" s="1"/>
  <c r="C24" i="112"/>
  <c r="C22" i="112"/>
  <c r="D22" i="112" s="1"/>
  <c r="C19" i="116"/>
  <c r="D19" i="116" s="1"/>
  <c r="C19" i="117"/>
  <c r="D19" i="117" s="1"/>
  <c r="C19" i="115"/>
  <c r="D19" i="115" s="1"/>
  <c r="C19" i="114"/>
  <c r="D19" i="114" s="1"/>
  <c r="C19" i="113"/>
  <c r="D19" i="113" s="1"/>
  <c r="C19" i="112"/>
  <c r="D19" i="112" s="1"/>
  <c r="C22" i="50" l="1"/>
  <c r="D22" i="50" s="1"/>
  <c r="C22" i="48"/>
  <c r="D22" i="48" s="1"/>
  <c r="C22" i="49"/>
  <c r="D22" i="49" s="1"/>
  <c r="C22" i="54"/>
  <c r="D22" i="54" s="1"/>
  <c r="C22" i="56"/>
  <c r="D22" i="56" s="1"/>
  <c r="C22" i="104"/>
  <c r="D22" i="104" s="1"/>
  <c r="C22" i="62"/>
  <c r="D22" i="62" s="1"/>
  <c r="C22" i="61"/>
  <c r="D22" i="61" s="1"/>
  <c r="C22" i="60"/>
  <c r="D22" i="60" s="1"/>
  <c r="C16" i="67"/>
  <c r="D16" i="67" s="1"/>
  <c r="C16" i="66"/>
  <c r="D16" i="66" s="1"/>
  <c r="C16" i="65"/>
  <c r="D16" i="65" s="1"/>
  <c r="C19" i="71"/>
  <c r="D19" i="71" s="1"/>
  <c r="C19" i="5"/>
  <c r="D19" i="5" s="1"/>
  <c r="C19" i="72"/>
  <c r="D19" i="72" s="1"/>
  <c r="C19" i="76"/>
  <c r="D19" i="76" s="1"/>
  <c r="C19" i="78"/>
  <c r="D19" i="78" s="1"/>
  <c r="C19" i="77"/>
  <c r="D19" i="77" s="1"/>
  <c r="C19" i="50"/>
  <c r="D19" i="50" s="1"/>
  <c r="C19" i="49"/>
  <c r="D19" i="49" s="1"/>
  <c r="C19" i="48"/>
  <c r="D19" i="48" s="1"/>
  <c r="C19" i="54"/>
  <c r="D19" i="54" s="1"/>
  <c r="C19" i="104"/>
  <c r="D19" i="104" s="1"/>
  <c r="C19" i="56"/>
  <c r="D19" i="56" s="1"/>
  <c r="C19" i="60"/>
  <c r="D19" i="60" s="1"/>
  <c r="C19" i="61"/>
  <c r="D19" i="61" s="1"/>
  <c r="C19" i="62"/>
  <c r="D19" i="62" s="1"/>
  <c r="C15" i="65"/>
  <c r="D15" i="65" s="1"/>
  <c r="C15" i="66"/>
  <c r="D15" i="66" s="1"/>
  <c r="C15" i="67"/>
  <c r="D15" i="67" s="1"/>
  <c r="C16" i="72"/>
  <c r="D16" i="72" s="1"/>
  <c r="C16" i="71"/>
  <c r="D16" i="71" s="1"/>
  <c r="C16" i="5"/>
  <c r="D16" i="5" s="1"/>
  <c r="C16" i="76"/>
  <c r="D16" i="76" s="1"/>
  <c r="C16" i="77"/>
  <c r="D16" i="77" s="1"/>
  <c r="C16" i="78"/>
  <c r="D16" i="78" s="1"/>
  <c r="C24" i="49"/>
  <c r="D24" i="49" s="1"/>
  <c r="C24" i="50"/>
  <c r="D24" i="50" s="1"/>
  <c r="C24" i="48"/>
  <c r="D24" i="48" s="1"/>
  <c r="C24" i="54"/>
  <c r="D24" i="54" s="1"/>
  <c r="C24" i="104"/>
  <c r="D24" i="104" s="1"/>
  <c r="C24" i="56"/>
  <c r="D24" i="56" s="1"/>
  <c r="C24" i="61"/>
  <c r="D24" i="61" s="1"/>
  <c r="C24" i="60"/>
  <c r="D24" i="60" s="1"/>
  <c r="C24" i="62"/>
  <c r="D24" i="62" s="1"/>
  <c r="C18" i="66"/>
  <c r="C18" i="65"/>
  <c r="D18" i="65" s="1"/>
  <c r="C18" i="67"/>
  <c r="D18" i="67" s="1"/>
  <c r="C21" i="5"/>
  <c r="D21" i="5" s="1"/>
  <c r="C21" i="71"/>
  <c r="C21" i="72"/>
  <c r="D21" i="72" s="1"/>
  <c r="C21" i="77"/>
  <c r="C21" i="76"/>
  <c r="D21" i="76" s="1"/>
  <c r="C21" i="78"/>
  <c r="D21" i="78" s="1"/>
  <c r="C22" i="46"/>
  <c r="D22" i="46" s="1"/>
  <c r="C22" i="47"/>
  <c r="D22" i="47" s="1"/>
  <c r="C22" i="4"/>
  <c r="D22" i="4" s="1"/>
  <c r="C22" i="53"/>
  <c r="D22" i="53" s="1"/>
  <c r="C22" i="52"/>
  <c r="D22" i="52" s="1"/>
  <c r="C22" i="51"/>
  <c r="D22" i="51" s="1"/>
  <c r="C22" i="57"/>
  <c r="D22" i="57" s="1"/>
  <c r="C22" i="58"/>
  <c r="D22" i="58" s="1"/>
  <c r="C22" i="59"/>
  <c r="D22" i="59" s="1"/>
  <c r="C16" i="70"/>
  <c r="D16" i="70" s="1"/>
  <c r="C16" i="68"/>
  <c r="D16" i="68" s="1"/>
  <c r="C16" i="69"/>
  <c r="D16" i="69" s="1"/>
  <c r="C19" i="73"/>
  <c r="D19" i="73" s="1"/>
  <c r="C19" i="74"/>
  <c r="D19" i="74" s="1"/>
  <c r="C19" i="75"/>
  <c r="D19" i="75" s="1"/>
  <c r="C17" i="80"/>
  <c r="D17" i="80" s="1"/>
  <c r="C17" i="81"/>
  <c r="D17" i="81" s="1"/>
  <c r="C17" i="79"/>
  <c r="D17" i="79" s="1"/>
  <c r="C19" i="47"/>
  <c r="D19" i="47" s="1"/>
  <c r="C19" i="46"/>
  <c r="D19" i="46" s="1"/>
  <c r="C19" i="4"/>
  <c r="D19" i="4" s="1"/>
  <c r="C19" i="53"/>
  <c r="D19" i="53" s="1"/>
  <c r="C19" i="52"/>
  <c r="D19" i="52" s="1"/>
  <c r="C19" i="51"/>
  <c r="D19" i="51" s="1"/>
  <c r="C19" i="58"/>
  <c r="D19" i="58" s="1"/>
  <c r="C19" i="59"/>
  <c r="D19" i="59" s="1"/>
  <c r="C19" i="57"/>
  <c r="D19" i="57" s="1"/>
  <c r="C15" i="25"/>
  <c r="D15" i="25" s="1"/>
  <c r="C15" i="64"/>
  <c r="D15" i="64" s="1"/>
  <c r="C15" i="63"/>
  <c r="D15" i="63" s="1"/>
  <c r="C15" i="69"/>
  <c r="D15" i="69" s="1"/>
  <c r="C15" i="68"/>
  <c r="D15" i="68" s="1"/>
  <c r="C15" i="70"/>
  <c r="D15" i="70" s="1"/>
  <c r="C16" i="74"/>
  <c r="D16" i="74" s="1"/>
  <c r="C16" i="75"/>
  <c r="D16" i="75" s="1"/>
  <c r="C16" i="73"/>
  <c r="D16" i="73" s="1"/>
  <c r="C24" i="46"/>
  <c r="D24" i="46" s="1"/>
  <c r="C24" i="47"/>
  <c r="D24" i="47" s="1"/>
  <c r="C24" i="4"/>
  <c r="D24" i="4" s="1"/>
  <c r="C24" i="53"/>
  <c r="D24" i="53" s="1"/>
  <c r="C24" i="51"/>
  <c r="D24" i="51" s="1"/>
  <c r="C24" i="52"/>
  <c r="D24" i="52" s="1"/>
  <c r="C24" i="57"/>
  <c r="D24" i="57" s="1"/>
  <c r="C24" i="58"/>
  <c r="D24" i="58" s="1"/>
  <c r="C24" i="59"/>
  <c r="D24" i="59" s="1"/>
  <c r="C18" i="64"/>
  <c r="D18" i="64" s="1"/>
  <c r="C18" i="25"/>
  <c r="D18" i="25" s="1"/>
  <c r="C18" i="63"/>
  <c r="C18" i="68"/>
  <c r="D18" i="68" s="1"/>
  <c r="C18" i="70"/>
  <c r="D18" i="70" s="1"/>
  <c r="C18" i="69"/>
  <c r="C21" i="73"/>
  <c r="D21" i="73" s="1"/>
  <c r="C21" i="74"/>
  <c r="C21" i="75"/>
  <c r="D21" i="75" s="1"/>
  <c r="C19" i="81"/>
  <c r="D19" i="81" s="1"/>
  <c r="C19" i="80"/>
  <c r="C19" i="79"/>
  <c r="D19" i="79" s="1"/>
  <c r="D23" i="72" l="1"/>
  <c r="D23" i="75"/>
  <c r="D21" i="79"/>
  <c r="D23" i="76"/>
  <c r="D20" i="65"/>
  <c r="D20" i="25"/>
  <c r="D20" i="64"/>
  <c r="D21" i="81"/>
  <c r="D23" i="78"/>
  <c r="D23" i="5"/>
  <c r="D20" i="67"/>
  <c r="D20" i="68"/>
  <c r="D23" i="73"/>
  <c r="D20" i="70"/>
  <c r="D25" i="4"/>
  <c r="D25" i="59"/>
  <c r="D25" i="52"/>
  <c r="D25" i="46"/>
  <c r="D25" i="61"/>
  <c r="D25" i="50"/>
  <c r="D25" i="51"/>
  <c r="D25" i="104"/>
  <c r="D25" i="58"/>
  <c r="D25" i="53"/>
  <c r="D25" i="47"/>
  <c r="D25" i="60"/>
  <c r="D25" i="54"/>
  <c r="D25" i="62"/>
  <c r="D25" i="49"/>
  <c r="D25" i="57"/>
  <c r="D25" i="56"/>
  <c r="D25" i="48"/>
  <c r="C32" i="116"/>
  <c r="C31" i="116"/>
  <c r="C32" i="117"/>
  <c r="C31" i="117"/>
  <c r="C32" i="115"/>
  <c r="C31" i="115"/>
  <c r="C32" i="114"/>
  <c r="C31" i="114"/>
  <c r="C32" i="113"/>
  <c r="C31" i="113"/>
  <c r="C32" i="112"/>
  <c r="C31" i="112"/>
  <c r="C32" i="104" l="1"/>
  <c r="D32" i="104" s="1"/>
  <c r="H32" i="104" s="1"/>
  <c r="I32" i="104" s="1"/>
  <c r="C32" i="56"/>
  <c r="D32" i="56" s="1"/>
  <c r="H32" i="56" s="1"/>
  <c r="I32" i="56" s="1"/>
  <c r="C32" i="54"/>
  <c r="D32" i="54" s="1"/>
  <c r="H32" i="54" s="1"/>
  <c r="I32" i="54" s="1"/>
  <c r="C24" i="68"/>
  <c r="D24" i="68" s="1"/>
  <c r="H24" i="68" s="1"/>
  <c r="I24" i="68" s="1"/>
  <c r="C24" i="70"/>
  <c r="D24" i="70" s="1"/>
  <c r="H24" i="70" s="1"/>
  <c r="I24" i="70" s="1"/>
  <c r="C24" i="69"/>
  <c r="C31" i="47"/>
  <c r="D31" i="47" s="1"/>
  <c r="C31" i="4"/>
  <c r="D31" i="4" s="1"/>
  <c r="C31" i="46"/>
  <c r="D31" i="46" s="1"/>
  <c r="C31" i="53"/>
  <c r="D31" i="53" s="1"/>
  <c r="C31" i="51"/>
  <c r="D31" i="51" s="1"/>
  <c r="C31" i="52"/>
  <c r="D31" i="52" s="1"/>
  <c r="C31" i="59"/>
  <c r="D31" i="59" s="1"/>
  <c r="C31" i="58"/>
  <c r="D31" i="58" s="1"/>
  <c r="C31" i="57"/>
  <c r="D31" i="57" s="1"/>
  <c r="C23" i="63"/>
  <c r="C23" i="64"/>
  <c r="D23" i="64" s="1"/>
  <c r="C23" i="25"/>
  <c r="D23" i="25" s="1"/>
  <c r="C24" i="71"/>
  <c r="C24" i="5"/>
  <c r="D24" i="5" s="1"/>
  <c r="C24" i="72"/>
  <c r="D24" i="72" s="1"/>
  <c r="C24" i="76"/>
  <c r="D24" i="76" s="1"/>
  <c r="C24" i="78"/>
  <c r="D24" i="78" s="1"/>
  <c r="C24" i="77"/>
  <c r="C32" i="46"/>
  <c r="D32" i="46" s="1"/>
  <c r="H32" i="46" s="1"/>
  <c r="I32" i="46" s="1"/>
  <c r="C32" i="4"/>
  <c r="D32" i="4" s="1"/>
  <c r="H32" i="4" s="1"/>
  <c r="I32" i="4" s="1"/>
  <c r="C32" i="47"/>
  <c r="D32" i="47" s="1"/>
  <c r="H32" i="47" s="1"/>
  <c r="I32" i="47" s="1"/>
  <c r="C32" i="53"/>
  <c r="D32" i="53" s="1"/>
  <c r="H32" i="53" s="1"/>
  <c r="I32" i="53" s="1"/>
  <c r="C32" i="51"/>
  <c r="D32" i="51" s="1"/>
  <c r="H32" i="51" s="1"/>
  <c r="I32" i="51" s="1"/>
  <c r="C32" i="52"/>
  <c r="D32" i="52" s="1"/>
  <c r="H32" i="52" s="1"/>
  <c r="I32" i="52" s="1"/>
  <c r="C32" i="57"/>
  <c r="D32" i="57" s="1"/>
  <c r="H32" i="57" s="1"/>
  <c r="I32" i="57" s="1"/>
  <c r="C32" i="59"/>
  <c r="D32" i="59" s="1"/>
  <c r="H32" i="59" s="1"/>
  <c r="I32" i="59" s="1"/>
  <c r="C32" i="58"/>
  <c r="D32" i="58" s="1"/>
  <c r="H32" i="58" s="1"/>
  <c r="I32" i="58" s="1"/>
  <c r="C24" i="63"/>
  <c r="C24" i="25"/>
  <c r="D24" i="25" s="1"/>
  <c r="H24" i="25" s="1"/>
  <c r="I24" i="25" s="1"/>
  <c r="C24" i="64"/>
  <c r="D24" i="64" s="1"/>
  <c r="H24" i="64" s="1"/>
  <c r="I24" i="64" s="1"/>
  <c r="C25" i="5"/>
  <c r="D25" i="5" s="1"/>
  <c r="H25" i="5" s="1"/>
  <c r="I25" i="5" s="1"/>
  <c r="C25" i="71"/>
  <c r="C25" i="72"/>
  <c r="D25" i="72" s="1"/>
  <c r="H25" i="72" s="1"/>
  <c r="I25" i="72" s="1"/>
  <c r="C25" i="77"/>
  <c r="C25" i="76"/>
  <c r="D25" i="76" s="1"/>
  <c r="H25" i="76" s="1"/>
  <c r="I25" i="76" s="1"/>
  <c r="C25" i="78"/>
  <c r="D25" i="78" s="1"/>
  <c r="H25" i="78" s="1"/>
  <c r="I25" i="78" s="1"/>
  <c r="D29" i="48"/>
  <c r="D30" i="48"/>
  <c r="D29" i="62"/>
  <c r="D30" i="62"/>
  <c r="D29" i="60"/>
  <c r="D30" i="60"/>
  <c r="D22" i="67"/>
  <c r="D30" i="47"/>
  <c r="D29" i="47"/>
  <c r="D30" i="58"/>
  <c r="D29" i="58"/>
  <c r="D22" i="68"/>
  <c r="D30" i="61"/>
  <c r="D29" i="61"/>
  <c r="D29" i="52"/>
  <c r="D30" i="52"/>
  <c r="D22" i="25"/>
  <c r="C31" i="48"/>
  <c r="D31" i="48" s="1"/>
  <c r="C31" i="50"/>
  <c r="D31" i="50" s="1"/>
  <c r="C31" i="49"/>
  <c r="D31" i="49" s="1"/>
  <c r="C31" i="104"/>
  <c r="D31" i="104" s="1"/>
  <c r="C31" i="54"/>
  <c r="D31" i="54" s="1"/>
  <c r="C31" i="56"/>
  <c r="D31" i="56" s="1"/>
  <c r="C31" i="61"/>
  <c r="D31" i="61" s="1"/>
  <c r="C31" i="60"/>
  <c r="D31" i="60" s="1"/>
  <c r="C31" i="62"/>
  <c r="D31" i="62" s="1"/>
  <c r="C23" i="68"/>
  <c r="D23" i="68" s="1"/>
  <c r="C23" i="70"/>
  <c r="D23" i="70" s="1"/>
  <c r="C23" i="69"/>
  <c r="C24" i="73"/>
  <c r="D24" i="73" s="1"/>
  <c r="C24" i="74"/>
  <c r="C24" i="75"/>
  <c r="D24" i="75" s="1"/>
  <c r="C22" i="80"/>
  <c r="C22" i="79"/>
  <c r="D22" i="79" s="1"/>
  <c r="C22" i="81"/>
  <c r="D22" i="81" s="1"/>
  <c r="C32" i="49"/>
  <c r="D32" i="49" s="1"/>
  <c r="H32" i="49" s="1"/>
  <c r="I32" i="49" s="1"/>
  <c r="C32" i="50"/>
  <c r="D32" i="50" s="1"/>
  <c r="H32" i="50" s="1"/>
  <c r="I32" i="50" s="1"/>
  <c r="C32" i="48"/>
  <c r="D32" i="48" s="1"/>
  <c r="H32" i="48" s="1"/>
  <c r="I32" i="48" s="1"/>
  <c r="C32" i="62"/>
  <c r="D32" i="62" s="1"/>
  <c r="H32" i="62" s="1"/>
  <c r="I32" i="62" s="1"/>
  <c r="C32" i="61"/>
  <c r="D32" i="61" s="1"/>
  <c r="H32" i="61" s="1"/>
  <c r="I32" i="61" s="1"/>
  <c r="C32" i="60"/>
  <c r="D32" i="60" s="1"/>
  <c r="H32" i="60" s="1"/>
  <c r="I32" i="60" s="1"/>
  <c r="C25" i="75"/>
  <c r="D25" i="75" s="1"/>
  <c r="H25" i="75" s="1"/>
  <c r="I25" i="75" s="1"/>
  <c r="C25" i="74"/>
  <c r="C25" i="73"/>
  <c r="D25" i="73" s="1"/>
  <c r="H25" i="73" s="1"/>
  <c r="I25" i="73" s="1"/>
  <c r="C23" i="79"/>
  <c r="D23" i="79" s="1"/>
  <c r="H23" i="79" s="1"/>
  <c r="I23" i="79" s="1"/>
  <c r="C23" i="80"/>
  <c r="C23" i="81"/>
  <c r="D23" i="81" s="1"/>
  <c r="H23" i="81" s="1"/>
  <c r="I23" i="81" s="1"/>
  <c r="D29" i="56"/>
  <c r="D30" i="56"/>
  <c r="D30" i="57"/>
  <c r="D29" i="57"/>
  <c r="D22" i="70"/>
  <c r="D30" i="49"/>
  <c r="D29" i="49"/>
  <c r="D22" i="64"/>
  <c r="D30" i="54"/>
  <c r="D29" i="54"/>
  <c r="D29" i="53"/>
  <c r="D30" i="53"/>
  <c r="D22" i="65"/>
  <c r="D29" i="104"/>
  <c r="D30" i="104"/>
  <c r="D29" i="51"/>
  <c r="D30" i="51"/>
  <c r="D30" i="50"/>
  <c r="D29" i="50"/>
  <c r="D30" i="46"/>
  <c r="D29" i="46"/>
  <c r="D29" i="59"/>
  <c r="D30" i="59"/>
  <c r="D30" i="4"/>
  <c r="D29" i="4"/>
  <c r="D24" i="81" l="1"/>
  <c r="H22" i="81"/>
  <c r="I22" i="81" s="1"/>
  <c r="D33" i="61"/>
  <c r="D34" i="61" s="1"/>
  <c r="H31" i="61"/>
  <c r="I31" i="61" s="1"/>
  <c r="D26" i="5"/>
  <c r="D27" i="5" s="1"/>
  <c r="H24" i="5"/>
  <c r="I24" i="5" s="1"/>
  <c r="D33" i="57"/>
  <c r="D34" i="57" s="1"/>
  <c r="H31" i="57"/>
  <c r="I31" i="57" s="1"/>
  <c r="D24" i="79"/>
  <c r="H22" i="79"/>
  <c r="I22" i="79" s="1"/>
  <c r="D26" i="75"/>
  <c r="D27" i="75" s="1"/>
  <c r="H24" i="75"/>
  <c r="I24" i="75" s="1"/>
  <c r="D33" i="54"/>
  <c r="D35" i="54" s="1"/>
  <c r="H31" i="54"/>
  <c r="I31" i="54" s="1"/>
  <c r="D33" i="48"/>
  <c r="H31" i="48"/>
  <c r="I31" i="48" s="1"/>
  <c r="D25" i="64"/>
  <c r="H25" i="64" s="1"/>
  <c r="I25" i="64" s="1"/>
  <c r="H23" i="64"/>
  <c r="I23" i="64" s="1"/>
  <c r="D33" i="58"/>
  <c r="D34" i="58" s="1"/>
  <c r="H31" i="58"/>
  <c r="I31" i="58" s="1"/>
  <c r="D33" i="52"/>
  <c r="D34" i="52" s="1"/>
  <c r="H31" i="52"/>
  <c r="I31" i="52" s="1"/>
  <c r="D33" i="46"/>
  <c r="D35" i="46" s="1"/>
  <c r="H31" i="46"/>
  <c r="I31" i="46" s="1"/>
  <c r="D33" i="50"/>
  <c r="D34" i="50" s="1"/>
  <c r="H31" i="50"/>
  <c r="I31" i="50" s="1"/>
  <c r="D33" i="62"/>
  <c r="D34" i="62" s="1"/>
  <c r="H31" i="62"/>
  <c r="I31" i="62" s="1"/>
  <c r="D33" i="104"/>
  <c r="D34" i="104" s="1"/>
  <c r="H31" i="104"/>
  <c r="I31" i="104" s="1"/>
  <c r="D33" i="59"/>
  <c r="D34" i="59" s="1"/>
  <c r="H31" i="59"/>
  <c r="I31" i="59" s="1"/>
  <c r="D33" i="51"/>
  <c r="D34" i="51" s="1"/>
  <c r="H31" i="51"/>
  <c r="I31" i="51" s="1"/>
  <c r="D33" i="4"/>
  <c r="D35" i="4" s="1"/>
  <c r="H31" i="4"/>
  <c r="I31" i="4" s="1"/>
  <c r="D25" i="68"/>
  <c r="H25" i="68" s="1"/>
  <c r="I25" i="68" s="1"/>
  <c r="H23" i="68"/>
  <c r="I23" i="68" s="1"/>
  <c r="D26" i="76"/>
  <c r="D27" i="76" s="1"/>
  <c r="H24" i="76"/>
  <c r="I24" i="76" s="1"/>
  <c r="D25" i="25"/>
  <c r="H25" i="25" s="1"/>
  <c r="I25" i="25" s="1"/>
  <c r="H23" i="25"/>
  <c r="I23" i="25" s="1"/>
  <c r="D26" i="73"/>
  <c r="D27" i="73" s="1"/>
  <c r="H24" i="73"/>
  <c r="I24" i="73" s="1"/>
  <c r="D25" i="70"/>
  <c r="H25" i="70" s="1"/>
  <c r="I25" i="70" s="1"/>
  <c r="H23" i="70"/>
  <c r="I23" i="70" s="1"/>
  <c r="D33" i="60"/>
  <c r="D35" i="60" s="1"/>
  <c r="H31" i="60"/>
  <c r="I31" i="60" s="1"/>
  <c r="D33" i="56"/>
  <c r="D35" i="56" s="1"/>
  <c r="H31" i="56"/>
  <c r="I31" i="56" s="1"/>
  <c r="D33" i="49"/>
  <c r="D34" i="49" s="1"/>
  <c r="H31" i="49"/>
  <c r="I31" i="49" s="1"/>
  <c r="D26" i="78"/>
  <c r="D27" i="78" s="1"/>
  <c r="H24" i="78"/>
  <c r="I24" i="78" s="1"/>
  <c r="D26" i="72"/>
  <c r="D27" i="72" s="1"/>
  <c r="H24" i="72"/>
  <c r="I24" i="72" s="1"/>
  <c r="D33" i="53"/>
  <c r="D35" i="53" s="1"/>
  <c r="H31" i="53"/>
  <c r="I31" i="53" s="1"/>
  <c r="D33" i="47"/>
  <c r="H31" i="47"/>
  <c r="I31" i="47" s="1"/>
  <c r="D34" i="4" l="1"/>
  <c r="D34" i="60"/>
  <c r="D26" i="25"/>
  <c r="D35" i="61"/>
  <c r="D35" i="62"/>
  <c r="D34" i="46"/>
  <c r="D33" i="68"/>
  <c r="D36" i="68" s="1"/>
  <c r="D35" i="58"/>
  <c r="D35" i="57"/>
  <c r="D35" i="59"/>
  <c r="H26" i="78"/>
  <c r="I26" i="78" s="1"/>
  <c r="D34" i="78"/>
  <c r="D37" i="78" s="1"/>
  <c r="D33" i="64"/>
  <c r="D36" i="64" s="1"/>
  <c r="H33" i="56"/>
  <c r="I33" i="56" s="1"/>
  <c r="D42" i="56"/>
  <c r="D45" i="56" s="1"/>
  <c r="D47" i="56"/>
  <c r="D50" i="56" s="1"/>
  <c r="D26" i="68"/>
  <c r="H26" i="5"/>
  <c r="I26" i="5" s="1"/>
  <c r="D34" i="5"/>
  <c r="D37" i="5" s="1"/>
  <c r="H24" i="81"/>
  <c r="I24" i="81" s="1"/>
  <c r="D32" i="81"/>
  <c r="D35" i="81" s="1"/>
  <c r="D25" i="81"/>
  <c r="H33" i="52"/>
  <c r="I33" i="52" s="1"/>
  <c r="D47" i="52"/>
  <c r="D50" i="52" s="1"/>
  <c r="D42" i="52"/>
  <c r="D45" i="52" s="1"/>
  <c r="H33" i="48"/>
  <c r="I33" i="48" s="1"/>
  <c r="D42" i="48"/>
  <c r="D45" i="48" s="1"/>
  <c r="D47" i="48"/>
  <c r="D50" i="48" s="1"/>
  <c r="H26" i="75"/>
  <c r="I26" i="75" s="1"/>
  <c r="D34" i="75"/>
  <c r="D37" i="75" s="1"/>
  <c r="H33" i="47"/>
  <c r="I33" i="47" s="1"/>
  <c r="D47" i="47"/>
  <c r="D50" i="47" s="1"/>
  <c r="D42" i="47"/>
  <c r="D45" i="47" s="1"/>
  <c r="H26" i="72"/>
  <c r="I26" i="72" s="1"/>
  <c r="D34" i="72"/>
  <c r="D37" i="72" s="1"/>
  <c r="D35" i="48"/>
  <c r="D34" i="53"/>
  <c r="H33" i="4"/>
  <c r="I33" i="4" s="1"/>
  <c r="D42" i="4"/>
  <c r="D45" i="4" s="1"/>
  <c r="D47" i="4"/>
  <c r="D50" i="4" s="1"/>
  <c r="H33" i="59"/>
  <c r="I33" i="59" s="1"/>
  <c r="D42" i="59"/>
  <c r="D45" i="59" s="1"/>
  <c r="D47" i="59"/>
  <c r="D50" i="59" s="1"/>
  <c r="H33" i="104"/>
  <c r="I33" i="104" s="1"/>
  <c r="D47" i="104"/>
  <c r="D50" i="104" s="1"/>
  <c r="D42" i="104"/>
  <c r="D45" i="104" s="1"/>
  <c r="H33" i="62"/>
  <c r="I33" i="62" s="1"/>
  <c r="D47" i="62"/>
  <c r="D50" i="62" s="1"/>
  <c r="D42" i="62"/>
  <c r="D45" i="62" s="1"/>
  <c r="D34" i="56"/>
  <c r="H33" i="50"/>
  <c r="I33" i="50" s="1"/>
  <c r="D47" i="50"/>
  <c r="D50" i="50" s="1"/>
  <c r="D42" i="50"/>
  <c r="D45" i="50" s="1"/>
  <c r="H33" i="46"/>
  <c r="I33" i="46" s="1"/>
  <c r="D47" i="46"/>
  <c r="D50" i="46" s="1"/>
  <c r="D42" i="46"/>
  <c r="D45" i="46" s="1"/>
  <c r="H33" i="58"/>
  <c r="I33" i="58" s="1"/>
  <c r="D47" i="58"/>
  <c r="D50" i="58" s="1"/>
  <c r="D42" i="58"/>
  <c r="D45" i="58" s="1"/>
  <c r="D34" i="48"/>
  <c r="D34" i="47"/>
  <c r="H33" i="54"/>
  <c r="I33" i="54" s="1"/>
  <c r="D47" i="54"/>
  <c r="D50" i="54" s="1"/>
  <c r="D42" i="54"/>
  <c r="D45" i="54" s="1"/>
  <c r="H24" i="79"/>
  <c r="I24" i="79" s="1"/>
  <c r="D25" i="79"/>
  <c r="D32" i="79"/>
  <c r="D35" i="79" s="1"/>
  <c r="D34" i="54"/>
  <c r="D33" i="70"/>
  <c r="D36" i="70" s="1"/>
  <c r="H33" i="53"/>
  <c r="I33" i="53" s="1"/>
  <c r="D47" i="53"/>
  <c r="D50" i="53" s="1"/>
  <c r="D42" i="53"/>
  <c r="D45" i="53" s="1"/>
  <c r="H33" i="51"/>
  <c r="I33" i="51" s="1"/>
  <c r="D42" i="51"/>
  <c r="D45" i="51" s="1"/>
  <c r="D47" i="51"/>
  <c r="D50" i="51" s="1"/>
  <c r="D35" i="51"/>
  <c r="D33" i="25"/>
  <c r="D36" i="25" s="1"/>
  <c r="H33" i="49"/>
  <c r="I33" i="49" s="1"/>
  <c r="D42" i="49"/>
  <c r="D45" i="49" s="1"/>
  <c r="D47" i="49"/>
  <c r="D50" i="49" s="1"/>
  <c r="H33" i="60"/>
  <c r="I33" i="60" s="1"/>
  <c r="D47" i="60"/>
  <c r="D50" i="60" s="1"/>
  <c r="D42" i="60"/>
  <c r="D45" i="60" s="1"/>
  <c r="H26" i="73"/>
  <c r="I26" i="73" s="1"/>
  <c r="D34" i="73"/>
  <c r="D37" i="73" s="1"/>
  <c r="H26" i="76"/>
  <c r="I26" i="76" s="1"/>
  <c r="D34" i="76"/>
  <c r="D37" i="76" s="1"/>
  <c r="D35" i="49"/>
  <c r="D35" i="47"/>
  <c r="D35" i="52"/>
  <c r="D35" i="104"/>
  <c r="D26" i="64"/>
  <c r="D35" i="50"/>
  <c r="H33" i="57"/>
  <c r="I33" i="57" s="1"/>
  <c r="D47" i="57"/>
  <c r="D50" i="57" s="1"/>
  <c r="D42" i="57"/>
  <c r="D45" i="57" s="1"/>
  <c r="H33" i="61"/>
  <c r="I33" i="61" s="1"/>
  <c r="D42" i="61"/>
  <c r="D45" i="61" s="1"/>
  <c r="D47" i="61"/>
  <c r="D50" i="61" s="1"/>
  <c r="D26" i="70"/>
  <c r="D34" i="68" l="1"/>
  <c r="D35" i="68" s="1"/>
  <c r="D48" i="61"/>
  <c r="D48" i="60"/>
  <c r="D33" i="81"/>
  <c r="D35" i="73"/>
  <c r="D34" i="25"/>
  <c r="D43" i="51"/>
  <c r="D43" i="53"/>
  <c r="D33" i="79"/>
  <c r="D48" i="54"/>
  <c r="D43" i="46"/>
  <c r="D48" i="50"/>
  <c r="D48" i="4"/>
  <c r="D35" i="72"/>
  <c r="D43" i="52"/>
  <c r="D35" i="75"/>
  <c r="D43" i="57"/>
  <c r="D48" i="49"/>
  <c r="D48" i="53"/>
  <c r="D34" i="70"/>
  <c r="D43" i="58"/>
  <c r="D48" i="46"/>
  <c r="D43" i="104"/>
  <c r="D48" i="59"/>
  <c r="D43" i="4"/>
  <c r="D48" i="48"/>
  <c r="D48" i="52"/>
  <c r="D35" i="5"/>
  <c r="D48" i="56"/>
  <c r="D34" i="64"/>
  <c r="D35" i="78"/>
  <c r="D35" i="76"/>
  <c r="D36" i="76" s="1"/>
  <c r="D48" i="51"/>
  <c r="D43" i="54"/>
  <c r="D43" i="50"/>
  <c r="D48" i="62"/>
  <c r="D48" i="47"/>
  <c r="D43" i="61"/>
  <c r="D48" i="57"/>
  <c r="D43" i="60"/>
  <c r="D43" i="49"/>
  <c r="D48" i="58"/>
  <c r="D43" i="62"/>
  <c r="D48" i="104"/>
  <c r="D43" i="59"/>
  <c r="D43" i="47"/>
  <c r="D43" i="48"/>
  <c r="D43" i="56"/>
  <c r="D49" i="47" l="1"/>
  <c r="D44" i="49"/>
  <c r="D44" i="54"/>
  <c r="D49" i="54"/>
  <c r="D44" i="48"/>
  <c r="D49" i="48"/>
  <c r="D36" i="5"/>
  <c r="D36" i="72"/>
  <c r="D44" i="62"/>
  <c r="D35" i="70"/>
  <c r="D49" i="49"/>
  <c r="D49" i="4"/>
  <c r="D44" i="46"/>
  <c r="D44" i="56"/>
  <c r="D44" i="47"/>
  <c r="D49" i="56"/>
  <c r="D44" i="4"/>
  <c r="D44" i="57"/>
  <c r="D44" i="59"/>
  <c r="D49" i="58"/>
  <c r="D49" i="57"/>
  <c r="D44" i="50"/>
  <c r="D49" i="46"/>
  <c r="D34" i="79"/>
  <c r="D49" i="53"/>
  <c r="D44" i="53"/>
  <c r="D35" i="25"/>
  <c r="D44" i="52"/>
  <c r="D35" i="64"/>
  <c r="D44" i="104"/>
  <c r="D34" i="81"/>
  <c r="D49" i="60"/>
  <c r="D49" i="61"/>
  <c r="D44" i="60"/>
  <c r="D49" i="51"/>
  <c r="D49" i="104"/>
  <c r="D44" i="61"/>
  <c r="D49" i="62"/>
  <c r="D36" i="78"/>
  <c r="D49" i="52"/>
  <c r="D49" i="59"/>
  <c r="D44" i="58"/>
  <c r="D37" i="68"/>
  <c r="D36" i="75"/>
  <c r="D49" i="50"/>
  <c r="D44" i="51"/>
  <c r="D36" i="73"/>
  <c r="D38" i="72" l="1"/>
  <c r="E28" i="7" s="1"/>
  <c r="D51" i="56"/>
  <c r="E17" i="7" s="1"/>
  <c r="D46" i="48"/>
  <c r="D51" i="49"/>
  <c r="E7" i="7" s="1"/>
  <c r="D46" i="4"/>
  <c r="D46" i="56"/>
  <c r="D51" i="58"/>
  <c r="E19" i="7" s="1"/>
  <c r="D46" i="50"/>
  <c r="D51" i="54"/>
  <c r="D51" i="48"/>
  <c r="E6" i="7" s="1"/>
  <c r="D38" i="76"/>
  <c r="E41" i="7" s="1"/>
  <c r="D46" i="47"/>
  <c r="D36" i="79"/>
  <c r="D51" i="57"/>
  <c r="D46" i="46"/>
  <c r="D38" i="5"/>
  <c r="E38" i="7"/>
  <c r="D37" i="70"/>
  <c r="D51" i="47"/>
  <c r="D46" i="49"/>
  <c r="D51" i="46" l="1"/>
  <c r="E3" i="7" s="1"/>
  <c r="D46" i="54"/>
  <c r="D51" i="4"/>
  <c r="E2" i="7" s="1"/>
  <c r="D46" i="57"/>
  <c r="E14" i="7"/>
  <c r="D51" i="61"/>
  <c r="E23" i="7" s="1"/>
  <c r="D36" i="81"/>
  <c r="E46" i="7" s="1"/>
  <c r="D38" i="75"/>
  <c r="E31" i="7" s="1"/>
  <c r="E44" i="7"/>
  <c r="D46" i="60"/>
  <c r="D46" i="52"/>
  <c r="D46" i="58"/>
  <c r="D51" i="52"/>
  <c r="D51" i="104"/>
  <c r="D38" i="78"/>
  <c r="D38" i="73"/>
  <c r="D51" i="60"/>
  <c r="D51" i="51"/>
  <c r="D46" i="53"/>
  <c r="D46" i="104"/>
  <c r="E26" i="7"/>
  <c r="E18" i="7"/>
  <c r="D37" i="25"/>
  <c r="E5" i="7"/>
  <c r="E40" i="7"/>
  <c r="D51" i="50"/>
  <c r="D46" i="61"/>
  <c r="D46" i="51"/>
  <c r="D51" i="53"/>
  <c r="D37" i="64"/>
  <c r="E10" i="7" l="1"/>
  <c r="E29" i="7"/>
  <c r="E11" i="7"/>
  <c r="E13" i="7"/>
  <c r="E9" i="7"/>
  <c r="D51" i="62"/>
  <c r="E15" i="7"/>
  <c r="E34" i="7"/>
  <c r="E32" i="7"/>
  <c r="E43" i="7"/>
  <c r="D46" i="59"/>
  <c r="E22" i="7"/>
  <c r="D46" i="62"/>
  <c r="D51" i="59"/>
  <c r="E25" i="7" l="1"/>
  <c r="E21" i="7"/>
  <c r="C24" i="65" l="1"/>
  <c r="D24" i="65" s="1"/>
  <c r="H24" i="65" s="1"/>
  <c r="I24" i="65" s="1"/>
  <c r="C24" i="67"/>
  <c r="D24" i="67" s="1"/>
  <c r="H24" i="67" s="1"/>
  <c r="I24" i="67" s="1"/>
  <c r="C24" i="66"/>
  <c r="C23" i="66"/>
  <c r="C23" i="65"/>
  <c r="D23" i="65" s="1"/>
  <c r="C23" i="67"/>
  <c r="D23" i="67" s="1"/>
  <c r="D25" i="67" l="1"/>
  <c r="H23" i="67"/>
  <c r="I23" i="67" s="1"/>
  <c r="D25" i="65"/>
  <c r="H23" i="65"/>
  <c r="I23" i="65" s="1"/>
  <c r="H25" i="65" l="1"/>
  <c r="I25" i="65" s="1"/>
  <c r="D33" i="65"/>
  <c r="D36" i="65" s="1"/>
  <c r="D26" i="65"/>
  <c r="H25" i="67"/>
  <c r="I25" i="67" s="1"/>
  <c r="D26" i="67"/>
  <c r="D33" i="67"/>
  <c r="D36" i="67" s="1"/>
  <c r="D34" i="67" l="1"/>
  <c r="D34" i="65"/>
  <c r="D35" i="67" l="1"/>
  <c r="D35" i="65"/>
  <c r="D37" i="65" l="1"/>
  <c r="E35" i="7" s="1"/>
  <c r="D37" i="67"/>
  <c r="E37" i="7" l="1"/>
  <c r="F19" i="81" l="1"/>
  <c r="G19" i="81" s="1"/>
  <c r="F19" i="80"/>
  <c r="F19" i="79"/>
  <c r="G19" i="79" s="1"/>
  <c r="H19" i="79" l="1"/>
  <c r="I19" i="79" s="1"/>
  <c r="H19" i="81"/>
  <c r="I19" i="81" s="1"/>
  <c r="G19" i="67" l="1"/>
  <c r="G19" i="65"/>
  <c r="F20" i="80"/>
  <c r="F20" i="81"/>
  <c r="G20" i="81" s="1"/>
  <c r="H20" i="81" s="1"/>
  <c r="I20" i="81" s="1"/>
  <c r="F20" i="79"/>
  <c r="G20" i="79" s="1"/>
  <c r="H20" i="79" s="1"/>
  <c r="I20" i="79" s="1"/>
  <c r="G19" i="64"/>
  <c r="G19" i="25"/>
  <c r="G19" i="70"/>
  <c r="H19" i="70" s="1"/>
  <c r="I19" i="70" s="1"/>
  <c r="G19" i="68"/>
  <c r="H19" i="68" s="1"/>
  <c r="I19" i="68" s="1"/>
  <c r="H19" i="67" l="1"/>
  <c r="I19" i="67" s="1"/>
  <c r="H19" i="64"/>
  <c r="I19" i="64" s="1"/>
  <c r="H19" i="65"/>
  <c r="I19" i="65" s="1"/>
  <c r="H19" i="25"/>
  <c r="I19" i="25" s="1"/>
  <c r="F24" i="115"/>
  <c r="F16" i="63"/>
  <c r="G16" i="63" s="1"/>
  <c r="F18" i="64"/>
  <c r="G18" i="64" s="1"/>
  <c r="F16" i="65"/>
  <c r="G16" i="65" s="1"/>
  <c r="H16" i="65" s="1"/>
  <c r="I16" i="65" s="1"/>
  <c r="F16" i="69"/>
  <c r="G16" i="69" s="1"/>
  <c r="F18" i="68"/>
  <c r="G18" i="68" s="1"/>
  <c r="H18" i="68" s="1"/>
  <c r="I18" i="68" s="1"/>
  <c r="F19" i="74"/>
  <c r="G19" i="74" s="1"/>
  <c r="F21" i="73"/>
  <c r="G21" i="73" s="1"/>
  <c r="F19" i="77"/>
  <c r="G19" i="77" s="1"/>
  <c r="F17" i="79"/>
  <c r="G17" i="79" s="1"/>
  <c r="F24" i="4" l="1"/>
  <c r="G24" i="4" s="1"/>
  <c r="H24" i="4" s="1"/>
  <c r="I24" i="4" s="1"/>
  <c r="F22" i="117"/>
  <c r="G22" i="117" s="1"/>
  <c r="F22" i="47"/>
  <c r="G22" i="47" s="1"/>
  <c r="F22" i="112"/>
  <c r="G22" i="112" s="1"/>
  <c r="F22" i="61"/>
  <c r="G22" i="61" s="1"/>
  <c r="H22" i="61" s="1"/>
  <c r="I22" i="61" s="1"/>
  <c r="F22" i="116"/>
  <c r="G22" i="116" s="1"/>
  <c r="F22" i="56"/>
  <c r="G22" i="56" s="1"/>
  <c r="H22" i="56" s="1"/>
  <c r="I22" i="56" s="1"/>
  <c r="F22" i="115"/>
  <c r="G22" i="115" s="1"/>
  <c r="F22" i="113"/>
  <c r="G22" i="113" s="1"/>
  <c r="F22" i="53"/>
  <c r="G22" i="53" s="1"/>
  <c r="H22" i="53" s="1"/>
  <c r="I22" i="53" s="1"/>
  <c r="F22" i="114"/>
  <c r="G22" i="114" s="1"/>
  <c r="F24" i="116"/>
  <c r="F24" i="113"/>
  <c r="F24" i="117"/>
  <c r="F24" i="53"/>
  <c r="G24" i="53" s="1"/>
  <c r="H24" i="53" s="1"/>
  <c r="I24" i="53" s="1"/>
  <c r="F24" i="114"/>
  <c r="F24" i="47"/>
  <c r="G24" i="47" s="1"/>
  <c r="H24" i="47" s="1"/>
  <c r="I24" i="47" s="1"/>
  <c r="F24" i="112"/>
  <c r="F18" i="70"/>
  <c r="G18" i="70" s="1"/>
  <c r="H18" i="70" s="1"/>
  <c r="I18" i="70" s="1"/>
  <c r="F19" i="73"/>
  <c r="G19" i="73" s="1"/>
  <c r="F16" i="67"/>
  <c r="G16" i="67" s="1"/>
  <c r="F22" i="58"/>
  <c r="G22" i="58" s="1"/>
  <c r="H22" i="58" s="1"/>
  <c r="I22" i="58" s="1"/>
  <c r="F18" i="69"/>
  <c r="F22" i="46"/>
  <c r="G22" i="46" s="1"/>
  <c r="F16" i="66"/>
  <c r="G16" i="66" s="1"/>
  <c r="H16" i="66" s="1"/>
  <c r="I16" i="66" s="1"/>
  <c r="F22" i="62"/>
  <c r="G22" i="62" s="1"/>
  <c r="H22" i="62" s="1"/>
  <c r="I22" i="62" s="1"/>
  <c r="F22" i="4"/>
  <c r="G22" i="4" s="1"/>
  <c r="H17" i="79"/>
  <c r="I17" i="79" s="1"/>
  <c r="H16" i="63"/>
  <c r="I16" i="63" s="1"/>
  <c r="H19" i="77"/>
  <c r="I19" i="77" s="1"/>
  <c r="F19" i="76"/>
  <c r="G19" i="76" s="1"/>
  <c r="F19" i="78"/>
  <c r="G19" i="78" s="1"/>
  <c r="H21" i="73"/>
  <c r="I21" i="73" s="1"/>
  <c r="H19" i="74"/>
  <c r="I19" i="74" s="1"/>
  <c r="H18" i="64"/>
  <c r="I18" i="64" s="1"/>
  <c r="F17" i="81"/>
  <c r="G17" i="81" s="1"/>
  <c r="F17" i="80"/>
  <c r="G17" i="80" s="1"/>
  <c r="H16" i="69"/>
  <c r="I16" i="69" s="1"/>
  <c r="F21" i="71"/>
  <c r="F21" i="72"/>
  <c r="G21" i="72" s="1"/>
  <c r="F18" i="66"/>
  <c r="F18" i="67"/>
  <c r="G18" i="67" s="1"/>
  <c r="F18" i="65"/>
  <c r="G18" i="65" s="1"/>
  <c r="F24" i="60"/>
  <c r="G24" i="60" s="1"/>
  <c r="F24" i="61"/>
  <c r="G24" i="61" s="1"/>
  <c r="F24" i="56"/>
  <c r="G24" i="56" s="1"/>
  <c r="F24" i="54"/>
  <c r="G24" i="54" s="1"/>
  <c r="F24" i="104"/>
  <c r="G24" i="104" s="1"/>
  <c r="F24" i="49"/>
  <c r="G24" i="49" s="1"/>
  <c r="F24" i="50"/>
  <c r="G24" i="50" s="1"/>
  <c r="F24" i="48"/>
  <c r="G24" i="48" s="1"/>
  <c r="F24" i="46"/>
  <c r="G24" i="46" s="1"/>
  <c r="F18" i="25"/>
  <c r="G18" i="25" s="1"/>
  <c r="F18" i="63"/>
  <c r="F21" i="5"/>
  <c r="G21" i="5" s="1"/>
  <c r="F24" i="59"/>
  <c r="G24" i="59" s="1"/>
  <c r="F24" i="58"/>
  <c r="G24" i="58" s="1"/>
  <c r="F24" i="51"/>
  <c r="G24" i="51" s="1"/>
  <c r="F24" i="52"/>
  <c r="G24" i="52" s="1"/>
  <c r="F24" i="62"/>
  <c r="G24" i="62" s="1"/>
  <c r="F21" i="75"/>
  <c r="G21" i="75" s="1"/>
  <c r="F21" i="74"/>
  <c r="F24" i="57"/>
  <c r="G24" i="57" s="1"/>
  <c r="F21" i="77"/>
  <c r="F21" i="78"/>
  <c r="G21" i="78" s="1"/>
  <c r="F21" i="76"/>
  <c r="G21" i="76" s="1"/>
  <c r="F22" i="59"/>
  <c r="G22" i="59" s="1"/>
  <c r="F22" i="57"/>
  <c r="G22" i="57" s="1"/>
  <c r="F22" i="51"/>
  <c r="G22" i="51" s="1"/>
  <c r="F22" i="52"/>
  <c r="G22" i="52" s="1"/>
  <c r="F22" i="60"/>
  <c r="G22" i="60" s="1"/>
  <c r="F19" i="75"/>
  <c r="G19" i="75" s="1"/>
  <c r="F16" i="25"/>
  <c r="G16" i="25" s="1"/>
  <c r="F16" i="64"/>
  <c r="G16" i="64" s="1"/>
  <c r="F22" i="104"/>
  <c r="G22" i="104" s="1"/>
  <c r="F19" i="5"/>
  <c r="G19" i="5" s="1"/>
  <c r="F19" i="71"/>
  <c r="G19" i="71" s="1"/>
  <c r="F19" i="72"/>
  <c r="G19" i="72" s="1"/>
  <c r="F22" i="49"/>
  <c r="G22" i="49" s="1"/>
  <c r="F22" i="50"/>
  <c r="G22" i="50" s="1"/>
  <c r="F16" i="68"/>
  <c r="G16" i="68" s="1"/>
  <c r="F16" i="70"/>
  <c r="G16" i="70" s="1"/>
  <c r="F22" i="54"/>
  <c r="G22" i="54" s="1"/>
  <c r="F22" i="48"/>
  <c r="G22" i="48" s="1"/>
  <c r="H22" i="47" l="1"/>
  <c r="I22" i="47" s="1"/>
  <c r="H22" i="46"/>
  <c r="I22" i="46" s="1"/>
  <c r="H22" i="112"/>
  <c r="I22" i="112" s="1"/>
  <c r="H22" i="113"/>
  <c r="I22" i="113" s="1"/>
  <c r="H22" i="116"/>
  <c r="I22" i="116" s="1"/>
  <c r="H22" i="117"/>
  <c r="I22" i="117" s="1"/>
  <c r="H22" i="115"/>
  <c r="I22" i="115" s="1"/>
  <c r="H22" i="114"/>
  <c r="I22" i="114" s="1"/>
  <c r="H22" i="4"/>
  <c r="I22" i="4" s="1"/>
  <c r="H16" i="67"/>
  <c r="I16" i="67" s="1"/>
  <c r="H19" i="73"/>
  <c r="I19" i="73" s="1"/>
  <c r="H19" i="72"/>
  <c r="I19" i="72" s="1"/>
  <c r="H16" i="64"/>
  <c r="I16" i="64" s="1"/>
  <c r="H22" i="52"/>
  <c r="I22" i="52" s="1"/>
  <c r="H24" i="59"/>
  <c r="I24" i="59" s="1"/>
  <c r="H24" i="46"/>
  <c r="I24" i="46" s="1"/>
  <c r="H24" i="60"/>
  <c r="I24" i="60" s="1"/>
  <c r="H19" i="71"/>
  <c r="I19" i="71" s="1"/>
  <c r="H22" i="51"/>
  <c r="I22" i="51" s="1"/>
  <c r="H18" i="25"/>
  <c r="I18" i="25" s="1"/>
  <c r="H24" i="54"/>
  <c r="I24" i="54" s="1"/>
  <c r="H19" i="76"/>
  <c r="I19" i="76" s="1"/>
  <c r="H22" i="54"/>
  <c r="I22" i="54" s="1"/>
  <c r="H22" i="49"/>
  <c r="I22" i="49" s="1"/>
  <c r="H22" i="104"/>
  <c r="I22" i="104" s="1"/>
  <c r="H22" i="60"/>
  <c r="I22" i="60" s="1"/>
  <c r="H22" i="59"/>
  <c r="I22" i="59" s="1"/>
  <c r="H21" i="75"/>
  <c r="I21" i="75" s="1"/>
  <c r="H24" i="58"/>
  <c r="I24" i="58" s="1"/>
  <c r="H24" i="49"/>
  <c r="I24" i="49" s="1"/>
  <c r="H24" i="61"/>
  <c r="I24" i="61" s="1"/>
  <c r="H17" i="81"/>
  <c r="I17" i="81" s="1"/>
  <c r="H16" i="70"/>
  <c r="I16" i="70" s="1"/>
  <c r="H21" i="76"/>
  <c r="I21" i="76" s="1"/>
  <c r="H24" i="62"/>
  <c r="I24" i="62" s="1"/>
  <c r="H24" i="104"/>
  <c r="I24" i="104" s="1"/>
  <c r="H21" i="72"/>
  <c r="I21" i="72" s="1"/>
  <c r="H19" i="78"/>
  <c r="I19" i="78" s="1"/>
  <c r="H16" i="68"/>
  <c r="I16" i="68" s="1"/>
  <c r="H16" i="25"/>
  <c r="I16" i="25" s="1"/>
  <c r="H21" i="78"/>
  <c r="I21" i="78" s="1"/>
  <c r="H24" i="52"/>
  <c r="I24" i="52" s="1"/>
  <c r="H21" i="5"/>
  <c r="I21" i="5" s="1"/>
  <c r="H24" i="48"/>
  <c r="I24" i="48" s="1"/>
  <c r="H18" i="65"/>
  <c r="I18" i="65" s="1"/>
  <c r="H22" i="48"/>
  <c r="I22" i="48" s="1"/>
  <c r="H22" i="50"/>
  <c r="I22" i="50" s="1"/>
  <c r="H19" i="5"/>
  <c r="I19" i="5" s="1"/>
  <c r="H19" i="75"/>
  <c r="I19" i="75" s="1"/>
  <c r="H22" i="57"/>
  <c r="I22" i="57" s="1"/>
  <c r="H24" i="57"/>
  <c r="I24" i="57" s="1"/>
  <c r="H24" i="51"/>
  <c r="I24" i="51" s="1"/>
  <c r="H24" i="50"/>
  <c r="I24" i="50" s="1"/>
  <c r="H24" i="56"/>
  <c r="I24" i="56" s="1"/>
  <c r="H18" i="67"/>
  <c r="I18" i="67" s="1"/>
  <c r="H17" i="80"/>
  <c r="I17" i="80" s="1"/>
  <c r="B5" i="77" l="1"/>
  <c r="B5" i="74"/>
  <c r="B5" i="71"/>
  <c r="D42" i="7" l="1"/>
  <c r="B24" i="77"/>
  <c r="B21" i="77"/>
  <c r="B20" i="77"/>
  <c r="B25" i="77"/>
  <c r="D30" i="7"/>
  <c r="B20" i="74"/>
  <c r="B24" i="74"/>
  <c r="B25" i="74"/>
  <c r="B21" i="74"/>
  <c r="D27" i="7"/>
  <c r="B25" i="71"/>
  <c r="B20" i="71"/>
  <c r="B24" i="71"/>
  <c r="B21" i="71"/>
  <c r="B5" i="80"/>
  <c r="E21" i="74" l="1"/>
  <c r="G21" i="74" s="1"/>
  <c r="D21" i="74"/>
  <c r="E21" i="77"/>
  <c r="G21" i="77" s="1"/>
  <c r="D21" i="77"/>
  <c r="D45" i="7"/>
  <c r="B18" i="80"/>
  <c r="B19" i="80"/>
  <c r="B23" i="80"/>
  <c r="B22" i="80"/>
  <c r="E25" i="71"/>
  <c r="G25" i="71" s="1"/>
  <c r="D25" i="71"/>
  <c r="E25" i="74"/>
  <c r="G25" i="74" s="1"/>
  <c r="D25" i="74"/>
  <c r="E24" i="77"/>
  <c r="G24" i="77" s="1"/>
  <c r="D24" i="77"/>
  <c r="E21" i="71"/>
  <c r="G21" i="71" s="1"/>
  <c r="D21" i="71"/>
  <c r="E24" i="74"/>
  <c r="G24" i="74" s="1"/>
  <c r="D24" i="74"/>
  <c r="E25" i="77"/>
  <c r="G25" i="77" s="1"/>
  <c r="D25" i="77"/>
  <c r="E20" i="71"/>
  <c r="D20" i="71"/>
  <c r="E24" i="71"/>
  <c r="G24" i="71" s="1"/>
  <c r="D24" i="71"/>
  <c r="E20" i="74"/>
  <c r="D20" i="74"/>
  <c r="D20" i="77"/>
  <c r="E20" i="77"/>
  <c r="B4" i="80"/>
  <c r="B4" i="77"/>
  <c r="B4" i="69"/>
  <c r="B4" i="66"/>
  <c r="B4" i="63"/>
  <c r="B4" i="74"/>
  <c r="B4" i="116"/>
  <c r="B4" i="71"/>
  <c r="B4" i="117"/>
  <c r="B4" i="115"/>
  <c r="B4" i="114"/>
  <c r="B4" i="113"/>
  <c r="B4" i="112"/>
  <c r="H25" i="71" l="1"/>
  <c r="I25" i="71" s="1"/>
  <c r="D26" i="74"/>
  <c r="D26" i="77"/>
  <c r="C8" i="7"/>
  <c r="B15" i="113"/>
  <c r="C27" i="113"/>
  <c r="F27" i="113" s="1"/>
  <c r="B16" i="113"/>
  <c r="B12" i="113"/>
  <c r="B41" i="113"/>
  <c r="B24" i="113"/>
  <c r="B23" i="113"/>
  <c r="B13" i="113"/>
  <c r="B17" i="113"/>
  <c r="B8" i="113"/>
  <c r="B15" i="117"/>
  <c r="B24" i="117"/>
  <c r="C27" i="117"/>
  <c r="F27" i="117" s="1"/>
  <c r="B16" i="117"/>
  <c r="B17" i="117"/>
  <c r="C20" i="7"/>
  <c r="B8" i="117"/>
  <c r="B13" i="117"/>
  <c r="B41" i="117"/>
  <c r="B23" i="117"/>
  <c r="B12" i="117"/>
  <c r="C42" i="7"/>
  <c r="B7" i="77"/>
  <c r="B33" i="77"/>
  <c r="B9" i="77"/>
  <c r="E19" i="80"/>
  <c r="G19" i="80" s="1"/>
  <c r="D19" i="80"/>
  <c r="C30" i="7"/>
  <c r="B33" i="74"/>
  <c r="B7" i="74"/>
  <c r="B9" i="74"/>
  <c r="G26" i="74"/>
  <c r="H24" i="74"/>
  <c r="I24" i="74" s="1"/>
  <c r="G26" i="77"/>
  <c r="H24" i="77"/>
  <c r="I24" i="77" s="1"/>
  <c r="E18" i="80"/>
  <c r="D18" i="80"/>
  <c r="H21" i="77"/>
  <c r="I21" i="77" s="1"/>
  <c r="B17" i="114"/>
  <c r="B8" i="114"/>
  <c r="B16" i="114"/>
  <c r="B13" i="114"/>
  <c r="B23" i="114"/>
  <c r="B15" i="114"/>
  <c r="B41" i="114"/>
  <c r="B12" i="114"/>
  <c r="B24" i="114"/>
  <c r="C27" i="114"/>
  <c r="F27" i="114" s="1"/>
  <c r="C12" i="7"/>
  <c r="B17" i="116"/>
  <c r="B8" i="116"/>
  <c r="B41" i="116"/>
  <c r="B12" i="116"/>
  <c r="B15" i="116"/>
  <c r="B24" i="116"/>
  <c r="B23" i="116"/>
  <c r="B13" i="116"/>
  <c r="C24" i="7"/>
  <c r="B16" i="116"/>
  <c r="C27" i="116"/>
  <c r="F27" i="116" s="1"/>
  <c r="D26" i="71"/>
  <c r="H25" i="77"/>
  <c r="I25" i="77" s="1"/>
  <c r="H25" i="74"/>
  <c r="I25" i="74" s="1"/>
  <c r="E22" i="80"/>
  <c r="G22" i="80" s="1"/>
  <c r="D22" i="80"/>
  <c r="B41" i="115"/>
  <c r="B15" i="115"/>
  <c r="B12" i="115"/>
  <c r="B24" i="115"/>
  <c r="C16" i="7"/>
  <c r="B8" i="115"/>
  <c r="C27" i="115"/>
  <c r="F27" i="115" s="1"/>
  <c r="B16" i="115"/>
  <c r="B17" i="115"/>
  <c r="B13" i="115"/>
  <c r="B23" i="115"/>
  <c r="C33" i="7"/>
  <c r="B32" i="63"/>
  <c r="B18" i="63"/>
  <c r="B12" i="63"/>
  <c r="B17" i="63"/>
  <c r="C21" i="63"/>
  <c r="F21" i="63" s="1"/>
  <c r="B13" i="63"/>
  <c r="B8" i="63"/>
  <c r="B15" i="112"/>
  <c r="C27" i="112"/>
  <c r="F27" i="112" s="1"/>
  <c r="B24" i="112"/>
  <c r="B41" i="112"/>
  <c r="B16" i="112"/>
  <c r="B13" i="112"/>
  <c r="C4" i="7"/>
  <c r="B17" i="112"/>
  <c r="B23" i="112"/>
  <c r="B12" i="112"/>
  <c r="B8" i="112"/>
  <c r="C27" i="7"/>
  <c r="B33" i="71"/>
  <c r="B7" i="71"/>
  <c r="B9" i="71"/>
  <c r="C36" i="7"/>
  <c r="B32" i="66"/>
  <c r="B12" i="66"/>
  <c r="B18" i="66"/>
  <c r="B13" i="66"/>
  <c r="B17" i="66"/>
  <c r="B8" i="66"/>
  <c r="C21" i="66"/>
  <c r="F21" i="66" s="1"/>
  <c r="C39" i="7"/>
  <c r="B32" i="69"/>
  <c r="B8" i="69"/>
  <c r="C21" i="69"/>
  <c r="F21" i="69" s="1"/>
  <c r="B12" i="69"/>
  <c r="B13" i="69"/>
  <c r="B17" i="69"/>
  <c r="B18" i="69"/>
  <c r="C45" i="7"/>
  <c r="B31" i="80"/>
  <c r="B7" i="80"/>
  <c r="B9" i="80"/>
  <c r="G26" i="71"/>
  <c r="H24" i="71"/>
  <c r="I24" i="71" s="1"/>
  <c r="H21" i="71"/>
  <c r="I21" i="71" s="1"/>
  <c r="E23" i="80"/>
  <c r="G23" i="80" s="1"/>
  <c r="D23" i="80"/>
  <c r="H21" i="74"/>
  <c r="I21" i="74" s="1"/>
  <c r="D32" i="69" l="1"/>
  <c r="E32" i="69"/>
  <c r="G32" i="69" s="1"/>
  <c r="E12" i="66"/>
  <c r="G12" i="66" s="1"/>
  <c r="D12" i="66"/>
  <c r="E17" i="112"/>
  <c r="G17" i="112" s="1"/>
  <c r="D17" i="112"/>
  <c r="E41" i="115"/>
  <c r="G41" i="115" s="1"/>
  <c r="D41" i="115"/>
  <c r="E12" i="114"/>
  <c r="G12" i="114" s="1"/>
  <c r="D12" i="114"/>
  <c r="D41" i="117"/>
  <c r="E41" i="117"/>
  <c r="G41" i="117" s="1"/>
  <c r="D17" i="117"/>
  <c r="E17" i="117"/>
  <c r="G17" i="117" s="1"/>
  <c r="D15" i="117"/>
  <c r="E15" i="117"/>
  <c r="G15" i="117" s="1"/>
  <c r="E23" i="113"/>
  <c r="D23" i="113"/>
  <c r="B28" i="80"/>
  <c r="B26" i="80"/>
  <c r="B13" i="80"/>
  <c r="B20" i="80"/>
  <c r="B27" i="80"/>
  <c r="E12" i="69"/>
  <c r="G12" i="69" s="1"/>
  <c r="D12" i="69"/>
  <c r="E17" i="66"/>
  <c r="D17" i="66"/>
  <c r="D32" i="66"/>
  <c r="E32" i="66"/>
  <c r="G32" i="66" s="1"/>
  <c r="B31" i="112"/>
  <c r="B27" i="112"/>
  <c r="B38" i="112"/>
  <c r="B28" i="112"/>
  <c r="B32" i="112"/>
  <c r="B37" i="112"/>
  <c r="B36" i="112"/>
  <c r="E24" i="112"/>
  <c r="G24" i="112" s="1"/>
  <c r="D24" i="112"/>
  <c r="B29" i="63"/>
  <c r="B21" i="63"/>
  <c r="B24" i="63"/>
  <c r="B19" i="63"/>
  <c r="B28" i="63"/>
  <c r="B27" i="63"/>
  <c r="B23" i="63"/>
  <c r="E12" i="63"/>
  <c r="G12" i="63" s="1"/>
  <c r="D12" i="63"/>
  <c r="D16" i="115"/>
  <c r="E16" i="115"/>
  <c r="G16" i="115" s="1"/>
  <c r="E24" i="115"/>
  <c r="G24" i="115" s="1"/>
  <c r="D24" i="115"/>
  <c r="D24" i="80"/>
  <c r="D13" i="116"/>
  <c r="E13" i="116"/>
  <c r="G13" i="116" s="1"/>
  <c r="E12" i="116"/>
  <c r="G12" i="116" s="1"/>
  <c r="D12" i="116"/>
  <c r="D41" i="114"/>
  <c r="E41" i="114"/>
  <c r="G41" i="114" s="1"/>
  <c r="D16" i="114"/>
  <c r="E16" i="114"/>
  <c r="G16" i="114" s="1"/>
  <c r="E33" i="74"/>
  <c r="G33" i="74" s="1"/>
  <c r="D33" i="74"/>
  <c r="H19" i="80"/>
  <c r="I19" i="80" s="1"/>
  <c r="B13" i="77"/>
  <c r="B28" i="77"/>
  <c r="B29" i="77"/>
  <c r="B30" i="77"/>
  <c r="B22" i="77"/>
  <c r="E13" i="117"/>
  <c r="G13" i="117" s="1"/>
  <c r="D13" i="117"/>
  <c r="D16" i="117"/>
  <c r="E16" i="117"/>
  <c r="G16" i="117" s="1"/>
  <c r="B31" i="113"/>
  <c r="B28" i="113"/>
  <c r="B38" i="113"/>
  <c r="B36" i="113"/>
  <c r="B32" i="113"/>
  <c r="B27" i="113"/>
  <c r="B37" i="113"/>
  <c r="E24" i="113"/>
  <c r="G24" i="113" s="1"/>
  <c r="D24" i="113"/>
  <c r="E18" i="69"/>
  <c r="G18" i="69" s="1"/>
  <c r="D18" i="69"/>
  <c r="E13" i="66"/>
  <c r="G13" i="66" s="1"/>
  <c r="D13" i="66"/>
  <c r="D33" i="71"/>
  <c r="E33" i="71"/>
  <c r="G33" i="71" s="1"/>
  <c r="E12" i="112"/>
  <c r="G12" i="112" s="1"/>
  <c r="D12" i="112"/>
  <c r="D13" i="112"/>
  <c r="E13" i="112"/>
  <c r="G13" i="112" s="1"/>
  <c r="D13" i="63"/>
  <c r="E13" i="63"/>
  <c r="G13" i="63" s="1"/>
  <c r="E18" i="63"/>
  <c r="G18" i="63" s="1"/>
  <c r="D18" i="63"/>
  <c r="E23" i="115"/>
  <c r="D23" i="115"/>
  <c r="D12" i="115"/>
  <c r="E12" i="115"/>
  <c r="G12" i="115" s="1"/>
  <c r="G24" i="80"/>
  <c r="H22" i="80"/>
  <c r="I22" i="80" s="1"/>
  <c r="E23" i="116"/>
  <c r="D23" i="116"/>
  <c r="E41" i="116"/>
  <c r="G41" i="116" s="1"/>
  <c r="D41" i="116"/>
  <c r="D15" i="114"/>
  <c r="E15" i="114"/>
  <c r="G15" i="114" s="1"/>
  <c r="B38" i="114"/>
  <c r="B28" i="114"/>
  <c r="B32" i="114"/>
  <c r="B31" i="114"/>
  <c r="B27" i="114"/>
  <c r="B37" i="114"/>
  <c r="B36" i="114"/>
  <c r="H26" i="74"/>
  <c r="I26" i="74" s="1"/>
  <c r="D33" i="77"/>
  <c r="E33" i="77"/>
  <c r="G33" i="77" s="1"/>
  <c r="D12" i="117"/>
  <c r="D14" i="117" s="1"/>
  <c r="E12" i="117"/>
  <c r="G12" i="117" s="1"/>
  <c r="B37" i="117"/>
  <c r="B32" i="117"/>
  <c r="B38" i="117"/>
  <c r="B27" i="117"/>
  <c r="B28" i="117"/>
  <c r="B36" i="117"/>
  <c r="B31" i="117"/>
  <c r="E17" i="113"/>
  <c r="G17" i="113" s="1"/>
  <c r="D17" i="113"/>
  <c r="D41" i="113"/>
  <c r="E41" i="113"/>
  <c r="G41" i="113" s="1"/>
  <c r="E15" i="113"/>
  <c r="G15" i="113" s="1"/>
  <c r="D15" i="113"/>
  <c r="E13" i="69"/>
  <c r="G13" i="69" s="1"/>
  <c r="D13" i="69"/>
  <c r="B29" i="66"/>
  <c r="B28" i="66"/>
  <c r="B23" i="66"/>
  <c r="B21" i="66"/>
  <c r="B19" i="66"/>
  <c r="B27" i="66"/>
  <c r="B24" i="66"/>
  <c r="B22" i="71"/>
  <c r="B30" i="71"/>
  <c r="B28" i="71"/>
  <c r="B29" i="71"/>
  <c r="B13" i="71"/>
  <c r="E41" i="112"/>
  <c r="G41" i="112" s="1"/>
  <c r="D41" i="112"/>
  <c r="E17" i="63"/>
  <c r="D17" i="63"/>
  <c r="D17" i="115"/>
  <c r="E17" i="115"/>
  <c r="G17" i="115" s="1"/>
  <c r="E15" i="116"/>
  <c r="G15" i="116" s="1"/>
  <c r="D15" i="116"/>
  <c r="E17" i="116"/>
  <c r="G17" i="116" s="1"/>
  <c r="D17" i="116"/>
  <c r="E13" i="114"/>
  <c r="G13" i="114" s="1"/>
  <c r="D13" i="114"/>
  <c r="D16" i="113"/>
  <c r="E16" i="113"/>
  <c r="G16" i="113" s="1"/>
  <c r="H23" i="80"/>
  <c r="I23" i="80" s="1"/>
  <c r="H26" i="71"/>
  <c r="I26" i="71" s="1"/>
  <c r="E31" i="80"/>
  <c r="G31" i="80" s="1"/>
  <c r="D31" i="80"/>
  <c r="E17" i="69"/>
  <c r="D17" i="69"/>
  <c r="B27" i="69"/>
  <c r="B24" i="69"/>
  <c r="B29" i="69"/>
  <c r="B21" i="69"/>
  <c r="B19" i="69"/>
  <c r="B23" i="69"/>
  <c r="B28" i="69"/>
  <c r="E18" i="66"/>
  <c r="G18" i="66" s="1"/>
  <c r="D18" i="66"/>
  <c r="E23" i="112"/>
  <c r="D23" i="112"/>
  <c r="D16" i="112"/>
  <c r="E16" i="112"/>
  <c r="G16" i="112" s="1"/>
  <c r="E15" i="112"/>
  <c r="G15" i="112" s="1"/>
  <c r="D15" i="112"/>
  <c r="D32" i="63"/>
  <c r="E32" i="63"/>
  <c r="G32" i="63" s="1"/>
  <c r="E13" i="115"/>
  <c r="G13" i="115" s="1"/>
  <c r="D13" i="115"/>
  <c r="B36" i="115"/>
  <c r="B28" i="115"/>
  <c r="B38" i="115"/>
  <c r="B27" i="115"/>
  <c r="B32" i="115"/>
  <c r="B37" i="115"/>
  <c r="B31" i="115"/>
  <c r="E15" i="115"/>
  <c r="G15" i="115" s="1"/>
  <c r="D15" i="115"/>
  <c r="D16" i="116"/>
  <c r="E16" i="116"/>
  <c r="G16" i="116" s="1"/>
  <c r="E24" i="116"/>
  <c r="G24" i="116" s="1"/>
  <c r="D24" i="116"/>
  <c r="B32" i="116"/>
  <c r="B38" i="116"/>
  <c r="B31" i="116"/>
  <c r="B37" i="116"/>
  <c r="B36" i="116"/>
  <c r="B27" i="116"/>
  <c r="B28" i="116"/>
  <c r="E24" i="114"/>
  <c r="G24" i="114" s="1"/>
  <c r="D24" i="114"/>
  <c r="E23" i="114"/>
  <c r="D23" i="114"/>
  <c r="D17" i="114"/>
  <c r="E17" i="114"/>
  <c r="G17" i="114" s="1"/>
  <c r="H26" i="77"/>
  <c r="I26" i="77" s="1"/>
  <c r="B22" i="74"/>
  <c r="B29" i="74"/>
  <c r="B13" i="74"/>
  <c r="B30" i="74"/>
  <c r="B28" i="74"/>
  <c r="E23" i="117"/>
  <c r="D23" i="117"/>
  <c r="E24" i="117"/>
  <c r="G24" i="117" s="1"/>
  <c r="D24" i="117"/>
  <c r="D13" i="113"/>
  <c r="E13" i="113"/>
  <c r="G13" i="113" s="1"/>
  <c r="D12" i="113"/>
  <c r="E12" i="113"/>
  <c r="G12" i="113" s="1"/>
  <c r="D18" i="115" l="1"/>
  <c r="D18" i="116"/>
  <c r="D14" i="113"/>
  <c r="D18" i="117"/>
  <c r="D18" i="112"/>
  <c r="D25" i="112"/>
  <c r="D14" i="112"/>
  <c r="D25" i="117"/>
  <c r="D25" i="116"/>
  <c r="D14" i="63"/>
  <c r="H13" i="69"/>
  <c r="I13" i="69" s="1"/>
  <c r="D25" i="114"/>
  <c r="D25" i="115"/>
  <c r="H13" i="66"/>
  <c r="I13" i="66" s="1"/>
  <c r="H24" i="117"/>
  <c r="I24" i="117" s="1"/>
  <c r="E31" i="116"/>
  <c r="G31" i="116" s="1"/>
  <c r="D31" i="116"/>
  <c r="H24" i="116"/>
  <c r="I24" i="116" s="1"/>
  <c r="D27" i="115"/>
  <c r="E27" i="115"/>
  <c r="G27" i="115" s="1"/>
  <c r="E29" i="69"/>
  <c r="G29" i="69" s="1"/>
  <c r="D29" i="69"/>
  <c r="H41" i="113"/>
  <c r="I41" i="113" s="1"/>
  <c r="E31" i="117"/>
  <c r="G31" i="117" s="1"/>
  <c r="D31" i="117"/>
  <c r="E38" i="117"/>
  <c r="G38" i="117" s="1"/>
  <c r="D38" i="117"/>
  <c r="E38" i="114"/>
  <c r="G38" i="114" s="1"/>
  <c r="D38" i="114"/>
  <c r="H13" i="117"/>
  <c r="I13" i="117" s="1"/>
  <c r="E28" i="63"/>
  <c r="G28" i="63" s="1"/>
  <c r="D28" i="63"/>
  <c r="E29" i="63"/>
  <c r="G29" i="63" s="1"/>
  <c r="D29" i="63"/>
  <c r="E27" i="112"/>
  <c r="G27" i="112" s="1"/>
  <c r="D27" i="112"/>
  <c r="D27" i="80"/>
  <c r="E27" i="80"/>
  <c r="G27" i="80" s="1"/>
  <c r="E28" i="80"/>
  <c r="G28" i="80" s="1"/>
  <c r="D28" i="80"/>
  <c r="H41" i="115"/>
  <c r="I41" i="115" s="1"/>
  <c r="E13" i="74"/>
  <c r="G13" i="74" s="1"/>
  <c r="D13" i="74"/>
  <c r="D15" i="74" s="1"/>
  <c r="H16" i="116"/>
  <c r="I16" i="116" s="1"/>
  <c r="H15" i="112"/>
  <c r="I15" i="112" s="1"/>
  <c r="G18" i="112"/>
  <c r="H15" i="116"/>
  <c r="I15" i="116" s="1"/>
  <c r="G18" i="116"/>
  <c r="E29" i="71"/>
  <c r="G29" i="71" s="1"/>
  <c r="D29" i="71"/>
  <c r="E24" i="66"/>
  <c r="G24" i="66" s="1"/>
  <c r="D24" i="66"/>
  <c r="E23" i="66"/>
  <c r="G23" i="66" s="1"/>
  <c r="D23" i="66"/>
  <c r="E32" i="117"/>
  <c r="G32" i="117" s="1"/>
  <c r="D32" i="117"/>
  <c r="H33" i="77"/>
  <c r="I33" i="77" s="1"/>
  <c r="E31" i="114"/>
  <c r="G31" i="114" s="1"/>
  <c r="D31" i="114"/>
  <c r="H15" i="114"/>
  <c r="I15" i="114" s="1"/>
  <c r="G18" i="114"/>
  <c r="H24" i="80"/>
  <c r="I24" i="80" s="1"/>
  <c r="H24" i="113"/>
  <c r="I24" i="113" s="1"/>
  <c r="H16" i="117"/>
  <c r="I16" i="117" s="1"/>
  <c r="E13" i="77"/>
  <c r="G13" i="77" s="1"/>
  <c r="D13" i="77"/>
  <c r="D15" i="77" s="1"/>
  <c r="H24" i="115"/>
  <c r="I24" i="115" s="1"/>
  <c r="E19" i="63"/>
  <c r="G19" i="63" s="1"/>
  <c r="D19" i="63"/>
  <c r="D20" i="63" s="1"/>
  <c r="E32" i="112"/>
  <c r="G32" i="112" s="1"/>
  <c r="D32" i="112"/>
  <c r="E31" i="112"/>
  <c r="G31" i="112" s="1"/>
  <c r="D31" i="112"/>
  <c r="E20" i="80"/>
  <c r="G20" i="80" s="1"/>
  <c r="D20" i="80"/>
  <c r="D21" i="80" s="1"/>
  <c r="D25" i="80" s="1"/>
  <c r="D25" i="113"/>
  <c r="H17" i="117"/>
  <c r="I17" i="117" s="1"/>
  <c r="D14" i="114"/>
  <c r="H32" i="69"/>
  <c r="I32" i="69" s="1"/>
  <c r="D29" i="74"/>
  <c r="E29" i="74"/>
  <c r="G29" i="74" s="1"/>
  <c r="H17" i="114"/>
  <c r="I17" i="114" s="1"/>
  <c r="D36" i="116"/>
  <c r="E36" i="116"/>
  <c r="G36" i="116" s="1"/>
  <c r="E32" i="116"/>
  <c r="G32" i="116" s="1"/>
  <c r="D32" i="116"/>
  <c r="D37" i="115"/>
  <c r="E37" i="115"/>
  <c r="G37" i="115" s="1"/>
  <c r="D28" i="115"/>
  <c r="E28" i="115"/>
  <c r="G28" i="115" s="1"/>
  <c r="H32" i="63"/>
  <c r="I32" i="63" s="1"/>
  <c r="H16" i="112"/>
  <c r="I16" i="112" s="1"/>
  <c r="E19" i="69"/>
  <c r="G19" i="69" s="1"/>
  <c r="D19" i="69"/>
  <c r="D20" i="69" s="1"/>
  <c r="E27" i="69"/>
  <c r="G27" i="69" s="1"/>
  <c r="D27" i="69"/>
  <c r="H31" i="80"/>
  <c r="I31" i="80" s="1"/>
  <c r="H16" i="113"/>
  <c r="I16" i="113" s="1"/>
  <c r="H17" i="115"/>
  <c r="I17" i="115" s="1"/>
  <c r="H41" i="112"/>
  <c r="I41" i="112" s="1"/>
  <c r="E28" i="71"/>
  <c r="G28" i="71" s="1"/>
  <c r="D28" i="71"/>
  <c r="D27" i="66"/>
  <c r="E27" i="66"/>
  <c r="G27" i="66" s="1"/>
  <c r="E28" i="66"/>
  <c r="G28" i="66" s="1"/>
  <c r="D28" i="66"/>
  <c r="H15" i="113"/>
  <c r="I15" i="113" s="1"/>
  <c r="D18" i="113"/>
  <c r="H17" i="113"/>
  <c r="I17" i="113" s="1"/>
  <c r="D28" i="117"/>
  <c r="E28" i="117"/>
  <c r="G28" i="117" s="1"/>
  <c r="E37" i="117"/>
  <c r="G37" i="117" s="1"/>
  <c r="D37" i="117"/>
  <c r="D36" i="114"/>
  <c r="E36" i="114"/>
  <c r="G36" i="114" s="1"/>
  <c r="E32" i="114"/>
  <c r="G32" i="114" s="1"/>
  <c r="D32" i="114"/>
  <c r="G14" i="115"/>
  <c r="H12" i="115"/>
  <c r="I12" i="115" s="1"/>
  <c r="H13" i="112"/>
  <c r="I13" i="112" s="1"/>
  <c r="H33" i="71"/>
  <c r="I33" i="71" s="1"/>
  <c r="D37" i="113"/>
  <c r="E37" i="113"/>
  <c r="G37" i="113" s="1"/>
  <c r="D38" i="113"/>
  <c r="E38" i="113"/>
  <c r="G38" i="113" s="1"/>
  <c r="D30" i="77"/>
  <c r="E30" i="77"/>
  <c r="G30" i="77" s="1"/>
  <c r="H16" i="114"/>
  <c r="I16" i="114" s="1"/>
  <c r="D14" i="116"/>
  <c r="H16" i="115"/>
  <c r="I16" i="115" s="1"/>
  <c r="E23" i="63"/>
  <c r="G23" i="63" s="1"/>
  <c r="D23" i="63"/>
  <c r="E24" i="63"/>
  <c r="G24" i="63" s="1"/>
  <c r="D24" i="63"/>
  <c r="H24" i="112"/>
  <c r="I24" i="112" s="1"/>
  <c r="E28" i="112"/>
  <c r="G28" i="112" s="1"/>
  <c r="D28" i="112"/>
  <c r="H32" i="66"/>
  <c r="I32" i="66" s="1"/>
  <c r="D14" i="69"/>
  <c r="D13" i="80"/>
  <c r="D15" i="80" s="1"/>
  <c r="E13" i="80"/>
  <c r="G13" i="80" s="1"/>
  <c r="H12" i="114"/>
  <c r="I12" i="114" s="1"/>
  <c r="G14" i="114"/>
  <c r="H17" i="112"/>
  <c r="I17" i="112" s="1"/>
  <c r="D30" i="74"/>
  <c r="E30" i="74"/>
  <c r="G30" i="74" s="1"/>
  <c r="E28" i="116"/>
  <c r="G28" i="116" s="1"/>
  <c r="D28" i="116"/>
  <c r="H15" i="115"/>
  <c r="I15" i="115" s="1"/>
  <c r="G18" i="115"/>
  <c r="E28" i="69"/>
  <c r="G28" i="69" s="1"/>
  <c r="D28" i="69"/>
  <c r="E13" i="71"/>
  <c r="G13" i="71" s="1"/>
  <c r="D13" i="71"/>
  <c r="D15" i="71" s="1"/>
  <c r="E22" i="71"/>
  <c r="G22" i="71" s="1"/>
  <c r="D22" i="71"/>
  <c r="D23" i="71" s="1"/>
  <c r="D27" i="71" s="1"/>
  <c r="E21" i="66"/>
  <c r="G21" i="66" s="1"/>
  <c r="D21" i="66"/>
  <c r="D27" i="114"/>
  <c r="E27" i="114"/>
  <c r="G27" i="114" s="1"/>
  <c r="H41" i="116"/>
  <c r="I41" i="116" s="1"/>
  <c r="H13" i="63"/>
  <c r="I13" i="63" s="1"/>
  <c r="E32" i="113"/>
  <c r="G32" i="113" s="1"/>
  <c r="D32" i="113"/>
  <c r="E31" i="113"/>
  <c r="G31" i="113" s="1"/>
  <c r="D31" i="113"/>
  <c r="E28" i="77"/>
  <c r="G28" i="77" s="1"/>
  <c r="D28" i="77"/>
  <c r="H41" i="114"/>
  <c r="I41" i="114" s="1"/>
  <c r="H13" i="116"/>
  <c r="I13" i="116" s="1"/>
  <c r="E37" i="112"/>
  <c r="G37" i="112" s="1"/>
  <c r="D37" i="112"/>
  <c r="G14" i="66"/>
  <c r="H12" i="66"/>
  <c r="I12" i="66" s="1"/>
  <c r="H13" i="113"/>
  <c r="I13" i="113" s="1"/>
  <c r="D27" i="116"/>
  <c r="E27" i="116"/>
  <c r="G27" i="116" s="1"/>
  <c r="E38" i="116"/>
  <c r="G38" i="116" s="1"/>
  <c r="D38" i="116"/>
  <c r="E31" i="115"/>
  <c r="G31" i="115" s="1"/>
  <c r="D31" i="115"/>
  <c r="E38" i="115"/>
  <c r="G38" i="115" s="1"/>
  <c r="D38" i="115"/>
  <c r="H13" i="115"/>
  <c r="I13" i="115" s="1"/>
  <c r="E23" i="69"/>
  <c r="G23" i="69" s="1"/>
  <c r="D23" i="69"/>
  <c r="E24" i="69"/>
  <c r="G24" i="69" s="1"/>
  <c r="D24" i="69"/>
  <c r="H13" i="114"/>
  <c r="I13" i="114" s="1"/>
  <c r="E36" i="117"/>
  <c r="G36" i="117" s="1"/>
  <c r="D36" i="117"/>
  <c r="G14" i="112"/>
  <c r="H12" i="112"/>
  <c r="I12" i="112" s="1"/>
  <c r="E36" i="113"/>
  <c r="G36" i="113" s="1"/>
  <c r="D36" i="113"/>
  <c r="D22" i="77"/>
  <c r="D23" i="77" s="1"/>
  <c r="D27" i="77" s="1"/>
  <c r="E22" i="77"/>
  <c r="G22" i="77" s="1"/>
  <c r="H33" i="74"/>
  <c r="I33" i="74" s="1"/>
  <c r="H12" i="63"/>
  <c r="I12" i="63" s="1"/>
  <c r="G14" i="63"/>
  <c r="H12" i="113"/>
  <c r="I12" i="113" s="1"/>
  <c r="G14" i="113"/>
  <c r="E28" i="74"/>
  <c r="G28" i="74" s="1"/>
  <c r="D28" i="74"/>
  <c r="D22" i="74"/>
  <c r="D23" i="74" s="1"/>
  <c r="D27" i="74" s="1"/>
  <c r="E22" i="74"/>
  <c r="G22" i="74" s="1"/>
  <c r="H24" i="114"/>
  <c r="I24" i="114" s="1"/>
  <c r="D37" i="116"/>
  <c r="E37" i="116"/>
  <c r="G37" i="116" s="1"/>
  <c r="E32" i="115"/>
  <c r="G32" i="115" s="1"/>
  <c r="D32" i="115"/>
  <c r="E36" i="115"/>
  <c r="G36" i="115" s="1"/>
  <c r="D36" i="115"/>
  <c r="H18" i="66"/>
  <c r="I18" i="66" s="1"/>
  <c r="D21" i="69"/>
  <c r="E21" i="69"/>
  <c r="G21" i="69" s="1"/>
  <c r="H17" i="116"/>
  <c r="I17" i="116" s="1"/>
  <c r="D30" i="71"/>
  <c r="E30" i="71"/>
  <c r="G30" i="71" s="1"/>
  <c r="E19" i="66"/>
  <c r="G19" i="66" s="1"/>
  <c r="D19" i="66"/>
  <c r="D20" i="66" s="1"/>
  <c r="E29" i="66"/>
  <c r="G29" i="66" s="1"/>
  <c r="D29" i="66"/>
  <c r="G18" i="113"/>
  <c r="D27" i="117"/>
  <c r="E27" i="117"/>
  <c r="G27" i="117" s="1"/>
  <c r="G14" i="117"/>
  <c r="H12" i="117"/>
  <c r="I12" i="117" s="1"/>
  <c r="D37" i="114"/>
  <c r="E37" i="114"/>
  <c r="G37" i="114" s="1"/>
  <c r="D28" i="114"/>
  <c r="E28" i="114"/>
  <c r="G28" i="114" s="1"/>
  <c r="D14" i="115"/>
  <c r="H18" i="63"/>
  <c r="I18" i="63" s="1"/>
  <c r="H18" i="69"/>
  <c r="I18" i="69" s="1"/>
  <c r="E27" i="113"/>
  <c r="G27" i="113" s="1"/>
  <c r="D27" i="113"/>
  <c r="E28" i="113"/>
  <c r="G28" i="113" s="1"/>
  <c r="D28" i="113"/>
  <c r="E29" i="77"/>
  <c r="G29" i="77" s="1"/>
  <c r="D29" i="77"/>
  <c r="D18" i="114"/>
  <c r="H12" i="116"/>
  <c r="I12" i="116" s="1"/>
  <c r="G14" i="116"/>
  <c r="D27" i="63"/>
  <c r="E27" i="63"/>
  <c r="G27" i="63" s="1"/>
  <c r="D21" i="63"/>
  <c r="E21" i="63"/>
  <c r="G21" i="63" s="1"/>
  <c r="E36" i="112"/>
  <c r="G36" i="112" s="1"/>
  <c r="D36" i="112"/>
  <c r="E38" i="112"/>
  <c r="G38" i="112" s="1"/>
  <c r="D38" i="112"/>
  <c r="H12" i="69"/>
  <c r="I12" i="69" s="1"/>
  <c r="G14" i="69"/>
  <c r="D26" i="80"/>
  <c r="E26" i="80"/>
  <c r="G26" i="80" s="1"/>
  <c r="H15" i="117"/>
  <c r="I15" i="117" s="1"/>
  <c r="G18" i="117"/>
  <c r="H41" i="117"/>
  <c r="I41" i="117" s="1"/>
  <c r="D14" i="66"/>
  <c r="D29" i="116" l="1"/>
  <c r="H28" i="116"/>
  <c r="I28" i="116" s="1"/>
  <c r="H32" i="117"/>
  <c r="I32" i="117" s="1"/>
  <c r="H24" i="66"/>
  <c r="I24" i="66" s="1"/>
  <c r="H27" i="112"/>
  <c r="I27" i="112" s="1"/>
  <c r="D22" i="66"/>
  <c r="D33" i="116"/>
  <c r="H29" i="77"/>
  <c r="I29" i="77" s="1"/>
  <c r="D29" i="117"/>
  <c r="D33" i="115"/>
  <c r="D29" i="115"/>
  <c r="D30" i="114"/>
  <c r="D29" i="114"/>
  <c r="D31" i="66"/>
  <c r="D33" i="114"/>
  <c r="D30" i="115"/>
  <c r="H38" i="112"/>
  <c r="I38" i="112" s="1"/>
  <c r="D32" i="74"/>
  <c r="D34" i="74" s="1"/>
  <c r="D37" i="74" s="1"/>
  <c r="H24" i="69"/>
  <c r="I24" i="69" s="1"/>
  <c r="H37" i="112"/>
  <c r="I37" i="112" s="1"/>
  <c r="H24" i="63"/>
  <c r="I24" i="63" s="1"/>
  <c r="D32" i="71"/>
  <c r="D34" i="71" s="1"/>
  <c r="D37" i="71" s="1"/>
  <c r="D22" i="69"/>
  <c r="H29" i="69"/>
  <c r="I29" i="69" s="1"/>
  <c r="D31" i="63"/>
  <c r="D30" i="80"/>
  <c r="D32" i="80" s="1"/>
  <c r="D35" i="80" s="1"/>
  <c r="H29" i="66"/>
  <c r="I29" i="66" s="1"/>
  <c r="D40" i="113"/>
  <c r="D22" i="63"/>
  <c r="H26" i="80"/>
  <c r="I26" i="80" s="1"/>
  <c r="G30" i="80"/>
  <c r="G40" i="112"/>
  <c r="H19" i="66"/>
  <c r="I19" i="66" s="1"/>
  <c r="G40" i="117"/>
  <c r="H28" i="117"/>
  <c r="I28" i="117" s="1"/>
  <c r="H37" i="115"/>
  <c r="I37" i="115" s="1"/>
  <c r="H36" i="116"/>
  <c r="I36" i="116" s="1"/>
  <c r="G40" i="116"/>
  <c r="H29" i="74"/>
  <c r="I29" i="74" s="1"/>
  <c r="H18" i="112"/>
  <c r="I18" i="112" s="1"/>
  <c r="H28" i="80"/>
  <c r="I28" i="80" s="1"/>
  <c r="H27" i="115"/>
  <c r="I27" i="115" s="1"/>
  <c r="H21" i="63"/>
  <c r="I21" i="63" s="1"/>
  <c r="H28" i="114"/>
  <c r="I28" i="114" s="1"/>
  <c r="H37" i="116"/>
  <c r="I37" i="116" s="1"/>
  <c r="D30" i="116"/>
  <c r="H31" i="113"/>
  <c r="I31" i="113" s="1"/>
  <c r="D33" i="113"/>
  <c r="H30" i="77"/>
  <c r="I30" i="77" s="1"/>
  <c r="D40" i="114"/>
  <c r="H20" i="80"/>
  <c r="I20" i="80" s="1"/>
  <c r="H32" i="112"/>
  <c r="I32" i="112" s="1"/>
  <c r="G33" i="114"/>
  <c r="H31" i="114"/>
  <c r="I31" i="114" s="1"/>
  <c r="H18" i="116"/>
  <c r="I18" i="116" s="1"/>
  <c r="G15" i="74"/>
  <c r="H13" i="74"/>
  <c r="I13" i="74" s="1"/>
  <c r="H27" i="80"/>
  <c r="I27" i="80" s="1"/>
  <c r="H28" i="63"/>
  <c r="I28" i="63" s="1"/>
  <c r="H38" i="117"/>
  <c r="I38" i="117" s="1"/>
  <c r="H18" i="117"/>
  <c r="I18" i="117" s="1"/>
  <c r="H14" i="116"/>
  <c r="I14" i="116" s="1"/>
  <c r="H27" i="113"/>
  <c r="I27" i="113" s="1"/>
  <c r="H32" i="115"/>
  <c r="I32" i="115" s="1"/>
  <c r="H22" i="74"/>
  <c r="I22" i="74" s="1"/>
  <c r="H14" i="63"/>
  <c r="I14" i="63" s="1"/>
  <c r="H22" i="77"/>
  <c r="I22" i="77" s="1"/>
  <c r="D25" i="69"/>
  <c r="D40" i="115"/>
  <c r="D40" i="116"/>
  <c r="H14" i="66"/>
  <c r="I14" i="66" s="1"/>
  <c r="G33" i="113"/>
  <c r="H22" i="71"/>
  <c r="I22" i="71" s="1"/>
  <c r="H18" i="115"/>
  <c r="I18" i="115" s="1"/>
  <c r="H30" i="74"/>
  <c r="I30" i="74" s="1"/>
  <c r="H13" i="80"/>
  <c r="I13" i="80" s="1"/>
  <c r="G15" i="80"/>
  <c r="D25" i="63"/>
  <c r="H32" i="114"/>
  <c r="I32" i="114" s="1"/>
  <c r="H28" i="66"/>
  <c r="I28" i="66" s="1"/>
  <c r="H28" i="71"/>
  <c r="I28" i="71" s="1"/>
  <c r="G32" i="71"/>
  <c r="D31" i="69"/>
  <c r="H28" i="115"/>
  <c r="I28" i="115" s="1"/>
  <c r="H32" i="116"/>
  <c r="I32" i="116" s="1"/>
  <c r="H31" i="112"/>
  <c r="I31" i="112" s="1"/>
  <c r="D33" i="112"/>
  <c r="H18" i="114"/>
  <c r="I18" i="114" s="1"/>
  <c r="D25" i="66"/>
  <c r="D30" i="117"/>
  <c r="D33" i="117"/>
  <c r="D29" i="112"/>
  <c r="G33" i="116"/>
  <c r="H31" i="116"/>
  <c r="I31" i="116" s="1"/>
  <c r="H27" i="117"/>
  <c r="I27" i="117" s="1"/>
  <c r="H18" i="113"/>
  <c r="I18" i="113" s="1"/>
  <c r="H21" i="69"/>
  <c r="I21" i="69" s="1"/>
  <c r="H14" i="112"/>
  <c r="I14" i="112" s="1"/>
  <c r="H27" i="116"/>
  <c r="I27" i="116" s="1"/>
  <c r="G32" i="77"/>
  <c r="H28" i="77"/>
  <c r="I28" i="77" s="1"/>
  <c r="H32" i="113"/>
  <c r="I32" i="113" s="1"/>
  <c r="H27" i="114"/>
  <c r="I27" i="114" s="1"/>
  <c r="H21" i="66"/>
  <c r="I21" i="66" s="1"/>
  <c r="G15" i="71"/>
  <c r="H13" i="71"/>
  <c r="I13" i="71" s="1"/>
  <c r="H14" i="114"/>
  <c r="I14" i="114" s="1"/>
  <c r="H36" i="114"/>
  <c r="I36" i="114" s="1"/>
  <c r="G40" i="114"/>
  <c r="H13" i="77"/>
  <c r="I13" i="77" s="1"/>
  <c r="G15" i="77"/>
  <c r="H30" i="71"/>
  <c r="I30" i="71" s="1"/>
  <c r="H36" i="115"/>
  <c r="I36" i="115" s="1"/>
  <c r="G40" i="115"/>
  <c r="G32" i="74"/>
  <c r="H28" i="74"/>
  <c r="I28" i="74" s="1"/>
  <c r="H36" i="113"/>
  <c r="I36" i="113" s="1"/>
  <c r="G40" i="113"/>
  <c r="G33" i="115"/>
  <c r="H31" i="115"/>
  <c r="I31" i="115" s="1"/>
  <c r="H37" i="113"/>
  <c r="I37" i="113" s="1"/>
  <c r="H14" i="115"/>
  <c r="I14" i="115" s="1"/>
  <c r="H19" i="69"/>
  <c r="I19" i="69" s="1"/>
  <c r="H14" i="69"/>
  <c r="I14" i="69" s="1"/>
  <c r="H36" i="112"/>
  <c r="I36" i="112" s="1"/>
  <c r="D40" i="112"/>
  <c r="H27" i="63"/>
  <c r="I27" i="63" s="1"/>
  <c r="G31" i="63"/>
  <c r="H28" i="113"/>
  <c r="I28" i="113" s="1"/>
  <c r="H37" i="114"/>
  <c r="I37" i="114" s="1"/>
  <c r="H14" i="117"/>
  <c r="I14" i="117" s="1"/>
  <c r="H14" i="113"/>
  <c r="I14" i="113" s="1"/>
  <c r="H36" i="117"/>
  <c r="I36" i="117" s="1"/>
  <c r="D40" i="117"/>
  <c r="G25" i="69"/>
  <c r="H23" i="69"/>
  <c r="I23" i="69" s="1"/>
  <c r="H38" i="115"/>
  <c r="I38" i="115" s="1"/>
  <c r="H38" i="116"/>
  <c r="I38" i="116" s="1"/>
  <c r="D32" i="77"/>
  <c r="H28" i="69"/>
  <c r="I28" i="69" s="1"/>
  <c r="H28" i="112"/>
  <c r="I28" i="112" s="1"/>
  <c r="G25" i="63"/>
  <c r="H23" i="63"/>
  <c r="I23" i="63" s="1"/>
  <c r="H38" i="113"/>
  <c r="I38" i="113" s="1"/>
  <c r="H37" i="117"/>
  <c r="I37" i="117" s="1"/>
  <c r="G31" i="66"/>
  <c r="H27" i="66"/>
  <c r="I27" i="66" s="1"/>
  <c r="G31" i="69"/>
  <c r="H27" i="69"/>
  <c r="I27" i="69" s="1"/>
  <c r="D30" i="113"/>
  <c r="D29" i="113"/>
  <c r="G33" i="112"/>
  <c r="H19" i="63"/>
  <c r="I19" i="63" s="1"/>
  <c r="G25" i="66"/>
  <c r="H23" i="66"/>
  <c r="I23" i="66" s="1"/>
  <c r="H29" i="71"/>
  <c r="I29" i="71" s="1"/>
  <c r="H29" i="63"/>
  <c r="I29" i="63" s="1"/>
  <c r="H38" i="114"/>
  <c r="I38" i="114" s="1"/>
  <c r="G33" i="117"/>
  <c r="H31" i="117"/>
  <c r="I31" i="117" s="1"/>
  <c r="D30" i="112"/>
  <c r="D34" i="116" l="1"/>
  <c r="D34" i="113"/>
  <c r="D47" i="116"/>
  <c r="D35" i="116"/>
  <c r="D34" i="115"/>
  <c r="D47" i="117"/>
  <c r="D42" i="112"/>
  <c r="D35" i="115"/>
  <c r="D26" i="66"/>
  <c r="D47" i="115"/>
  <c r="D35" i="114"/>
  <c r="H40" i="117"/>
  <c r="I40" i="117" s="1"/>
  <c r="D42" i="116"/>
  <c r="D34" i="114"/>
  <c r="D47" i="114"/>
  <c r="D42" i="117"/>
  <c r="D35" i="117"/>
  <c r="D35" i="112"/>
  <c r="H32" i="77"/>
  <c r="I32" i="77" s="1"/>
  <c r="H25" i="63"/>
  <c r="I25" i="63" s="1"/>
  <c r="H40" i="112"/>
  <c r="I40" i="112" s="1"/>
  <c r="D47" i="113"/>
  <c r="D34" i="117"/>
  <c r="H40" i="115"/>
  <c r="I40" i="115" s="1"/>
  <c r="H15" i="74"/>
  <c r="I15" i="74" s="1"/>
  <c r="H40" i="116"/>
  <c r="I40" i="116" s="1"/>
  <c r="H30" i="80"/>
  <c r="I30" i="80" s="1"/>
  <c r="H31" i="66"/>
  <c r="I31" i="66" s="1"/>
  <c r="H33" i="115"/>
  <c r="I33" i="115" s="1"/>
  <c r="H40" i="113"/>
  <c r="I40" i="113" s="1"/>
  <c r="H32" i="74"/>
  <c r="I32" i="74" s="1"/>
  <c r="D35" i="74"/>
  <c r="D36" i="74" s="1"/>
  <c r="D42" i="115"/>
  <c r="H33" i="116"/>
  <c r="I33" i="116" s="1"/>
  <c r="H25" i="69"/>
  <c r="I25" i="69" s="1"/>
  <c r="D33" i="66"/>
  <c r="D36" i="66" s="1"/>
  <c r="D33" i="63"/>
  <c r="D36" i="63" s="1"/>
  <c r="D34" i="77"/>
  <c r="D37" i="77" s="1"/>
  <c r="H31" i="69"/>
  <c r="I31" i="69" s="1"/>
  <c r="D35" i="71"/>
  <c r="D36" i="71" s="1"/>
  <c r="H15" i="71"/>
  <c r="I15" i="71" s="1"/>
  <c r="D34" i="112"/>
  <c r="D47" i="112"/>
  <c r="H32" i="71"/>
  <c r="I32" i="71" s="1"/>
  <c r="H15" i="80"/>
  <c r="I15" i="80" s="1"/>
  <c r="D33" i="69"/>
  <c r="D36" i="69" s="1"/>
  <c r="D26" i="69"/>
  <c r="D26" i="63"/>
  <c r="H31" i="63"/>
  <c r="I31" i="63" s="1"/>
  <c r="D35" i="113"/>
  <c r="D42" i="113"/>
  <c r="H25" i="66"/>
  <c r="I25" i="66" s="1"/>
  <c r="H33" i="117"/>
  <c r="I33" i="117" s="1"/>
  <c r="H33" i="112"/>
  <c r="I33" i="112" s="1"/>
  <c r="D33" i="80"/>
  <c r="D34" i="80" s="1"/>
  <c r="H15" i="77"/>
  <c r="I15" i="77" s="1"/>
  <c r="H40" i="114"/>
  <c r="I40" i="114" s="1"/>
  <c r="H33" i="113"/>
  <c r="I33" i="113" s="1"/>
  <c r="H33" i="114"/>
  <c r="I33" i="114" s="1"/>
  <c r="D42" i="114"/>
  <c r="D43" i="117" l="1"/>
  <c r="D44" i="117" s="1"/>
  <c r="D45" i="117"/>
  <c r="D43" i="113"/>
  <c r="D44" i="113" s="1"/>
  <c r="D45" i="113"/>
  <c r="D43" i="112"/>
  <c r="D44" i="112" s="1"/>
  <c r="D45" i="112"/>
  <c r="D48" i="113"/>
  <c r="D49" i="113" s="1"/>
  <c r="D50" i="113"/>
  <c r="D48" i="115"/>
  <c r="D49" i="115" s="1"/>
  <c r="D50" i="115"/>
  <c r="D48" i="117"/>
  <c r="D49" i="117" s="1"/>
  <c r="D50" i="117"/>
  <c r="D43" i="114"/>
  <c r="D44" i="114" s="1"/>
  <c r="D45" i="114"/>
  <c r="D48" i="112"/>
  <c r="D49" i="112" s="1"/>
  <c r="D50" i="112"/>
  <c r="D48" i="114"/>
  <c r="D49" i="114" s="1"/>
  <c r="D50" i="114"/>
  <c r="D48" i="116"/>
  <c r="D49" i="116" s="1"/>
  <c r="D50" i="116"/>
  <c r="D43" i="115"/>
  <c r="D44" i="115" s="1"/>
  <c r="D45" i="115"/>
  <c r="D43" i="116"/>
  <c r="D44" i="116" s="1"/>
  <c r="D45" i="116"/>
  <c r="D36" i="80"/>
  <c r="E45" i="7" s="1"/>
  <c r="D38" i="71"/>
  <c r="E27" i="7" s="1"/>
  <c r="D34" i="63"/>
  <c r="D35" i="63" s="1"/>
  <c r="D34" i="66"/>
  <c r="D35" i="66" s="1"/>
  <c r="D34" i="69"/>
  <c r="D35" i="69" s="1"/>
  <c r="D38" i="74"/>
  <c r="E30" i="7" s="1"/>
  <c r="D35" i="77"/>
  <c r="D36" i="77" s="1"/>
  <c r="D46" i="115" l="1"/>
  <c r="D51" i="114"/>
  <c r="E12" i="7" s="1"/>
  <c r="D46" i="114"/>
  <c r="D46" i="112"/>
  <c r="D51" i="115"/>
  <c r="E16" i="7" s="1"/>
  <c r="D51" i="116"/>
  <c r="E24" i="7" s="1"/>
  <c r="D51" i="117"/>
  <c r="E20" i="7" s="1"/>
  <c r="D51" i="113"/>
  <c r="E8" i="7" s="1"/>
  <c r="D46" i="113"/>
  <c r="D46" i="116"/>
  <c r="D51" i="112"/>
  <c r="E4" i="7" s="1"/>
  <c r="D46" i="117"/>
  <c r="D37" i="63"/>
  <c r="E33" i="7" s="1"/>
  <c r="D37" i="69"/>
  <c r="E39" i="7" s="1"/>
  <c r="D38" i="77"/>
  <c r="E42" i="7" s="1"/>
  <c r="D37" i="66"/>
  <c r="E36" i="7" s="1"/>
  <c r="F20" i="77" l="1"/>
  <c r="G20" i="77" s="1"/>
  <c r="F20" i="76"/>
  <c r="G20" i="76" s="1"/>
  <c r="F20" i="78"/>
  <c r="G20" i="78" s="1"/>
  <c r="H20" i="76" l="1"/>
  <c r="I20" i="76" s="1"/>
  <c r="H20" i="77"/>
  <c r="I20" i="77" s="1"/>
  <c r="H20" i="78"/>
  <c r="I20" i="78" s="1"/>
  <c r="F16" i="78" l="1"/>
  <c r="G16" i="78" s="1"/>
  <c r="F16" i="76"/>
  <c r="G16" i="76" s="1"/>
  <c r="F16" i="77"/>
  <c r="G16" i="77" s="1"/>
  <c r="H16" i="77" l="1"/>
  <c r="I16" i="77" s="1"/>
  <c r="G23" i="77"/>
  <c r="H16" i="76"/>
  <c r="I16" i="76" s="1"/>
  <c r="G23" i="76"/>
  <c r="H16" i="78"/>
  <c r="I16" i="78" s="1"/>
  <c r="G23" i="78"/>
  <c r="H23" i="76" l="1"/>
  <c r="G34" i="76"/>
  <c r="G37" i="76" s="1"/>
  <c r="G27" i="76"/>
  <c r="G27" i="77"/>
  <c r="H23" i="77"/>
  <c r="G34" i="77"/>
  <c r="G37" i="77" s="1"/>
  <c r="G27" i="78"/>
  <c r="H23" i="78"/>
  <c r="G34" i="78"/>
  <c r="G37" i="78" s="1"/>
  <c r="H34" i="78" l="1"/>
  <c r="I34" i="78" s="1"/>
  <c r="G35" i="78"/>
  <c r="G36" i="78" s="1"/>
  <c r="F43" i="7"/>
  <c r="I23" i="78"/>
  <c r="H27" i="76"/>
  <c r="I27" i="76" s="1"/>
  <c r="H27" i="78"/>
  <c r="I27" i="78" s="1"/>
  <c r="F41" i="7"/>
  <c r="I23" i="76"/>
  <c r="G35" i="76"/>
  <c r="H34" i="76"/>
  <c r="I34" i="76" s="1"/>
  <c r="H34" i="77"/>
  <c r="I34" i="77" s="1"/>
  <c r="G35" i="77"/>
  <c r="G36" i="77" s="1"/>
  <c r="H27" i="77"/>
  <c r="I27" i="77" s="1"/>
  <c r="F42" i="7"/>
  <c r="I23" i="77"/>
  <c r="G43" i="7" l="1"/>
  <c r="G36" i="76"/>
  <c r="H35" i="76"/>
  <c r="I35" i="76" s="1"/>
  <c r="H36" i="77"/>
  <c r="I36" i="77" s="1"/>
  <c r="G38" i="77"/>
  <c r="H35" i="77"/>
  <c r="I35" i="77" s="1"/>
  <c r="H35" i="78"/>
  <c r="I35" i="78" s="1"/>
  <c r="G41" i="7"/>
  <c r="G42" i="7"/>
  <c r="H37" i="78"/>
  <c r="I37" i="78" s="1"/>
  <c r="H36" i="78"/>
  <c r="I36" i="78" s="1"/>
  <c r="F15" i="69"/>
  <c r="G15" i="69" s="1"/>
  <c r="F15" i="70"/>
  <c r="G15" i="70" s="1"/>
  <c r="F15" i="68"/>
  <c r="G15" i="68" s="1"/>
  <c r="F15" i="66"/>
  <c r="G15" i="66" s="1"/>
  <c r="F15" i="67"/>
  <c r="G15" i="67" s="1"/>
  <c r="F15" i="65"/>
  <c r="G15" i="65" s="1"/>
  <c r="J35" i="77" l="1"/>
  <c r="J36" i="77"/>
  <c r="F17" i="68"/>
  <c r="G17" i="68" s="1"/>
  <c r="G20" i="68" s="1"/>
  <c r="F17" i="70"/>
  <c r="G17" i="70" s="1"/>
  <c r="G20" i="70" s="1"/>
  <c r="H36" i="76"/>
  <c r="I36" i="76" s="1"/>
  <c r="J31" i="77"/>
  <c r="J21" i="77"/>
  <c r="J19" i="77"/>
  <c r="J32" i="77"/>
  <c r="J26" i="77"/>
  <c r="J17" i="77"/>
  <c r="J24" i="77"/>
  <c r="J38" i="77"/>
  <c r="J18" i="77"/>
  <c r="J25" i="77"/>
  <c r="J13" i="77"/>
  <c r="H38" i="77"/>
  <c r="J33" i="77"/>
  <c r="J30" i="77"/>
  <c r="J29" i="77"/>
  <c r="J14" i="77"/>
  <c r="J28" i="77"/>
  <c r="J22" i="77"/>
  <c r="J20" i="77"/>
  <c r="J15" i="77"/>
  <c r="J16" i="77"/>
  <c r="J23" i="77"/>
  <c r="J27" i="77"/>
  <c r="J34" i="77"/>
  <c r="H37" i="77"/>
  <c r="I37" i="77" s="1"/>
  <c r="J37" i="77"/>
  <c r="G38" i="78"/>
  <c r="F17" i="69"/>
  <c r="G17" i="69" s="1"/>
  <c r="G20" i="69" s="1"/>
  <c r="H15" i="68"/>
  <c r="I15" i="68" s="1"/>
  <c r="H15" i="70"/>
  <c r="I15" i="70" s="1"/>
  <c r="F17" i="67"/>
  <c r="G17" i="67" s="1"/>
  <c r="F17" i="65"/>
  <c r="G17" i="65" s="1"/>
  <c r="F17" i="66"/>
  <c r="G17" i="66" s="1"/>
  <c r="G20" i="66" s="1"/>
  <c r="H15" i="65"/>
  <c r="I15" i="65" s="1"/>
  <c r="F19" i="115"/>
  <c r="G19" i="115" s="1"/>
  <c r="F19" i="104"/>
  <c r="G19" i="104" s="1"/>
  <c r="F19" i="54"/>
  <c r="G19" i="54" s="1"/>
  <c r="F19" i="56"/>
  <c r="G19" i="56" s="1"/>
  <c r="H15" i="69"/>
  <c r="I15" i="69" s="1"/>
  <c r="H15" i="67"/>
  <c r="I15" i="67" s="1"/>
  <c r="H15" i="66"/>
  <c r="I15" i="66" s="1"/>
  <c r="H17" i="68" l="1"/>
  <c r="I17" i="68" s="1"/>
  <c r="H17" i="70"/>
  <c r="I17" i="70" s="1"/>
  <c r="H37" i="76"/>
  <c r="I37" i="76" s="1"/>
  <c r="H17" i="69"/>
  <c r="I17" i="69" s="1"/>
  <c r="G38" i="76"/>
  <c r="J37" i="78"/>
  <c r="J24" i="78"/>
  <c r="J14" i="78"/>
  <c r="J28" i="78"/>
  <c r="J31" i="78"/>
  <c r="J30" i="78"/>
  <c r="J22" i="78"/>
  <c r="J38" i="78"/>
  <c r="J21" i="78"/>
  <c r="J25" i="78"/>
  <c r="J19" i="78"/>
  <c r="J29" i="78"/>
  <c r="J15" i="78"/>
  <c r="J18" i="78"/>
  <c r="J17" i="78"/>
  <c r="J26" i="78"/>
  <c r="H38" i="78"/>
  <c r="J20" i="78"/>
  <c r="J32" i="78"/>
  <c r="J13" i="78"/>
  <c r="J33" i="78"/>
  <c r="J16" i="78"/>
  <c r="J23" i="78"/>
  <c r="J27" i="78"/>
  <c r="J34" i="78"/>
  <c r="J36" i="78"/>
  <c r="J35" i="78"/>
  <c r="I38" i="77"/>
  <c r="H42" i="7"/>
  <c r="G22" i="70"/>
  <c r="H20" i="70"/>
  <c r="H19" i="54"/>
  <c r="I19" i="54" s="1"/>
  <c r="H17" i="65"/>
  <c r="I17" i="65" s="1"/>
  <c r="H19" i="104"/>
  <c r="I19" i="104" s="1"/>
  <c r="G20" i="65"/>
  <c r="H20" i="68"/>
  <c r="G22" i="68"/>
  <c r="H20" i="69"/>
  <c r="G22" i="69"/>
  <c r="H17" i="67"/>
  <c r="I17" i="67" s="1"/>
  <c r="H19" i="115"/>
  <c r="I19" i="115" s="1"/>
  <c r="H20" i="66"/>
  <c r="G22" i="66"/>
  <c r="H19" i="56"/>
  <c r="I19" i="56" s="1"/>
  <c r="G20" i="67"/>
  <c r="H17" i="66"/>
  <c r="I17" i="66" s="1"/>
  <c r="I42" i="7" l="1"/>
  <c r="F23" i="56"/>
  <c r="G23" i="56" s="1"/>
  <c r="J36" i="76"/>
  <c r="J26" i="76"/>
  <c r="J15" i="76"/>
  <c r="J21" i="76"/>
  <c r="J38" i="76"/>
  <c r="J28" i="76"/>
  <c r="J24" i="76"/>
  <c r="J13" i="76"/>
  <c r="J31" i="76"/>
  <c r="J32" i="76"/>
  <c r="J19" i="76"/>
  <c r="J17" i="76"/>
  <c r="J25" i="76"/>
  <c r="J20" i="76"/>
  <c r="J30" i="76"/>
  <c r="J14" i="76"/>
  <c r="J18" i="76"/>
  <c r="J33" i="76"/>
  <c r="J29" i="76"/>
  <c r="H38" i="76"/>
  <c r="J22" i="76"/>
  <c r="J16" i="76"/>
  <c r="J23" i="76"/>
  <c r="J27" i="76"/>
  <c r="J34" i="76"/>
  <c r="J35" i="76"/>
  <c r="J37" i="76"/>
  <c r="H43" i="7"/>
  <c r="I38" i="78"/>
  <c r="F36" i="7"/>
  <c r="I20" i="66"/>
  <c r="G33" i="69"/>
  <c r="G36" i="69" s="1"/>
  <c r="H22" i="69"/>
  <c r="I22" i="69" s="1"/>
  <c r="G26" i="69"/>
  <c r="H20" i="67"/>
  <c r="G22" i="67"/>
  <c r="I20" i="68"/>
  <c r="F38" i="7"/>
  <c r="G22" i="65"/>
  <c r="H20" i="65"/>
  <c r="I20" i="70"/>
  <c r="F40" i="7"/>
  <c r="I20" i="69"/>
  <c r="F39" i="7"/>
  <c r="H22" i="66"/>
  <c r="I22" i="66" s="1"/>
  <c r="G33" i="66"/>
  <c r="G36" i="66" s="1"/>
  <c r="G26" i="66"/>
  <c r="H22" i="68"/>
  <c r="I22" i="68" s="1"/>
  <c r="G26" i="68"/>
  <c r="G33" i="68"/>
  <c r="G36" i="68" s="1"/>
  <c r="G33" i="70"/>
  <c r="G36" i="70" s="1"/>
  <c r="H22" i="70"/>
  <c r="I22" i="70" s="1"/>
  <c r="G26" i="70"/>
  <c r="F23" i="115" l="1"/>
  <c r="G23" i="115" s="1"/>
  <c r="G25" i="115" s="1"/>
  <c r="F23" i="54"/>
  <c r="G23" i="54" s="1"/>
  <c r="H23" i="54" s="1"/>
  <c r="I23" i="54" s="1"/>
  <c r="F23" i="104"/>
  <c r="G23" i="104" s="1"/>
  <c r="H23" i="104" s="1"/>
  <c r="I23" i="104" s="1"/>
  <c r="I43" i="7"/>
  <c r="H41" i="7"/>
  <c r="I38" i="76"/>
  <c r="H26" i="66"/>
  <c r="I26" i="66" s="1"/>
  <c r="I20" i="67"/>
  <c r="F37" i="7"/>
  <c r="G36" i="7"/>
  <c r="H33" i="69"/>
  <c r="I33" i="69" s="1"/>
  <c r="G34" i="69"/>
  <c r="G33" i="67"/>
  <c r="G36" i="67" s="1"/>
  <c r="G26" i="67"/>
  <c r="H22" i="67"/>
  <c r="I22" i="67" s="1"/>
  <c r="H26" i="70"/>
  <c r="I26" i="70" s="1"/>
  <c r="G40" i="7"/>
  <c r="G26" i="65"/>
  <c r="H22" i="65"/>
  <c r="I22" i="65" s="1"/>
  <c r="G33" i="65"/>
  <c r="G36" i="65" s="1"/>
  <c r="H33" i="68"/>
  <c r="I33" i="68" s="1"/>
  <c r="G34" i="68"/>
  <c r="G35" i="68" s="1"/>
  <c r="H26" i="68"/>
  <c r="I26" i="68" s="1"/>
  <c r="G39" i="7"/>
  <c r="G38" i="7"/>
  <c r="H23" i="56"/>
  <c r="I23" i="56" s="1"/>
  <c r="G25" i="56"/>
  <c r="H33" i="66"/>
  <c r="I33" i="66" s="1"/>
  <c r="G34" i="66"/>
  <c r="H33" i="70"/>
  <c r="I33" i="70" s="1"/>
  <c r="G34" i="70"/>
  <c r="G35" i="70" s="1"/>
  <c r="I20" i="65"/>
  <c r="F35" i="7"/>
  <c r="H26" i="69"/>
  <c r="I26" i="69" s="1"/>
  <c r="H23" i="115" l="1"/>
  <c r="I23" i="115" s="1"/>
  <c r="G25" i="54"/>
  <c r="G30" i="54" s="1"/>
  <c r="G25" i="104"/>
  <c r="G29" i="104" s="1"/>
  <c r="I41" i="7"/>
  <c r="H36" i="70"/>
  <c r="I36" i="70" s="1"/>
  <c r="H35" i="70"/>
  <c r="I35" i="70" s="1"/>
  <c r="H34" i="70"/>
  <c r="I34" i="70" s="1"/>
  <c r="H26" i="67"/>
  <c r="I26" i="67" s="1"/>
  <c r="H25" i="115"/>
  <c r="G42" i="115"/>
  <c r="G45" i="115" s="1"/>
  <c r="G29" i="115"/>
  <c r="G47" i="115"/>
  <c r="G50" i="115" s="1"/>
  <c r="G30" i="115"/>
  <c r="H33" i="65"/>
  <c r="I33" i="65" s="1"/>
  <c r="G34" i="65"/>
  <c r="G35" i="65" s="1"/>
  <c r="G34" i="67"/>
  <c r="G35" i="67" s="1"/>
  <c r="H33" i="67"/>
  <c r="I33" i="67" s="1"/>
  <c r="G37" i="7"/>
  <c r="G35" i="7"/>
  <c r="H36" i="68"/>
  <c r="I36" i="68" s="1"/>
  <c r="H35" i="68"/>
  <c r="I35" i="68" s="1"/>
  <c r="H34" i="68"/>
  <c r="I34" i="68" s="1"/>
  <c r="H34" i="66"/>
  <c r="I34" i="66" s="1"/>
  <c r="G42" i="56"/>
  <c r="G45" i="56" s="1"/>
  <c r="G47" i="56"/>
  <c r="G50" i="56" s="1"/>
  <c r="G29" i="56"/>
  <c r="H25" i="56"/>
  <c r="G30" i="56"/>
  <c r="G35" i="66"/>
  <c r="H26" i="65"/>
  <c r="I26" i="65" s="1"/>
  <c r="G35" i="69"/>
  <c r="H34" i="69"/>
  <c r="I34" i="69" s="1"/>
  <c r="G42" i="54" l="1"/>
  <c r="G47" i="104"/>
  <c r="H25" i="54"/>
  <c r="H25" i="104"/>
  <c r="I25" i="104" s="1"/>
  <c r="G47" i="54"/>
  <c r="G42" i="104"/>
  <c r="G30" i="104"/>
  <c r="G35" i="104" s="1"/>
  <c r="G29" i="54"/>
  <c r="G34" i="54" s="1"/>
  <c r="G37" i="68"/>
  <c r="J12" i="68" s="1"/>
  <c r="G37" i="70"/>
  <c r="J16" i="70" s="1"/>
  <c r="H35" i="66"/>
  <c r="I35" i="66" s="1"/>
  <c r="H36" i="66"/>
  <c r="I36" i="66" s="1"/>
  <c r="H35" i="69"/>
  <c r="I35" i="69" s="1"/>
  <c r="H47" i="115"/>
  <c r="I47" i="115" s="1"/>
  <c r="G48" i="115"/>
  <c r="H29" i="115"/>
  <c r="I29" i="115" s="1"/>
  <c r="G34" i="115"/>
  <c r="H42" i="56"/>
  <c r="I42" i="56" s="1"/>
  <c r="G43" i="56"/>
  <c r="G44" i="56" s="1"/>
  <c r="G37" i="67"/>
  <c r="J35" i="67" s="1"/>
  <c r="H35" i="67"/>
  <c r="I35" i="67" s="1"/>
  <c r="H30" i="115"/>
  <c r="I30" i="115" s="1"/>
  <c r="G35" i="115"/>
  <c r="H34" i="67"/>
  <c r="I34" i="67" s="1"/>
  <c r="H35" i="65"/>
  <c r="I35" i="65" s="1"/>
  <c r="G37" i="65"/>
  <c r="J35" i="65" s="1"/>
  <c r="H42" i="115"/>
  <c r="I42" i="115" s="1"/>
  <c r="G43" i="115"/>
  <c r="H30" i="54"/>
  <c r="I30" i="54" s="1"/>
  <c r="G35" i="54"/>
  <c r="G48" i="56"/>
  <c r="H47" i="56"/>
  <c r="I47" i="56" s="1"/>
  <c r="G34" i="104"/>
  <c r="H29" i="104"/>
  <c r="I29" i="104" s="1"/>
  <c r="F14" i="7"/>
  <c r="I25" i="54"/>
  <c r="H30" i="56"/>
  <c r="I30" i="56" s="1"/>
  <c r="G35" i="56"/>
  <c r="I25" i="56"/>
  <c r="F17" i="7"/>
  <c r="H34" i="65"/>
  <c r="I34" i="65" s="1"/>
  <c r="I25" i="115"/>
  <c r="G16" i="7" s="1"/>
  <c r="F16" i="7"/>
  <c r="G34" i="56"/>
  <c r="H29" i="56"/>
  <c r="I29" i="56" s="1"/>
  <c r="H47" i="104" l="1"/>
  <c r="I47" i="104" s="1"/>
  <c r="G50" i="104"/>
  <c r="G43" i="104"/>
  <c r="G45" i="104"/>
  <c r="H47" i="54"/>
  <c r="I47" i="54" s="1"/>
  <c r="G50" i="54"/>
  <c r="H42" i="54"/>
  <c r="I42" i="54" s="1"/>
  <c r="G45" i="54"/>
  <c r="G43" i="54"/>
  <c r="H43" i="54" s="1"/>
  <c r="I43" i="54" s="1"/>
  <c r="G48" i="104"/>
  <c r="G49" i="104" s="1"/>
  <c r="H50" i="104" s="1"/>
  <c r="I50" i="104" s="1"/>
  <c r="H42" i="104"/>
  <c r="I42" i="104" s="1"/>
  <c r="G48" i="54"/>
  <c r="G49" i="54" s="1"/>
  <c r="J19" i="68"/>
  <c r="J26" i="68"/>
  <c r="J15" i="68"/>
  <c r="J22" i="68"/>
  <c r="J37" i="68"/>
  <c r="J32" i="68"/>
  <c r="F15" i="7"/>
  <c r="J18" i="68"/>
  <c r="H29" i="54"/>
  <c r="I29" i="54" s="1"/>
  <c r="H30" i="104"/>
  <c r="I30" i="104" s="1"/>
  <c r="J14" i="68"/>
  <c r="J13" i="68"/>
  <c r="J27" i="68"/>
  <c r="J33" i="68"/>
  <c r="J17" i="68"/>
  <c r="J24" i="68"/>
  <c r="J28" i="68"/>
  <c r="G37" i="66"/>
  <c r="J35" i="66" s="1"/>
  <c r="J32" i="70"/>
  <c r="J20" i="68"/>
  <c r="J29" i="68"/>
  <c r="J21" i="68"/>
  <c r="J30" i="68"/>
  <c r="J25" i="68"/>
  <c r="J36" i="68"/>
  <c r="J30" i="70"/>
  <c r="J16" i="68"/>
  <c r="H37" i="68"/>
  <c r="I37" i="68" s="1"/>
  <c r="J31" i="68"/>
  <c r="J23" i="68"/>
  <c r="J19" i="70"/>
  <c r="J36" i="70"/>
  <c r="J26" i="70"/>
  <c r="J22" i="70"/>
  <c r="J17" i="70"/>
  <c r="J31" i="70"/>
  <c r="J23" i="70"/>
  <c r="J13" i="70"/>
  <c r="J25" i="70"/>
  <c r="J29" i="70"/>
  <c r="J33" i="70"/>
  <c r="J14" i="70"/>
  <c r="J20" i="70"/>
  <c r="H37" i="70"/>
  <c r="H40" i="7" s="1"/>
  <c r="J24" i="70"/>
  <c r="J28" i="70"/>
  <c r="J18" i="70"/>
  <c r="J21" i="70"/>
  <c r="J12" i="70"/>
  <c r="J37" i="70"/>
  <c r="J15" i="70"/>
  <c r="J27" i="70"/>
  <c r="J35" i="70"/>
  <c r="J34" i="70"/>
  <c r="J34" i="68"/>
  <c r="J35" i="68"/>
  <c r="H36" i="69"/>
  <c r="I36" i="69" s="1"/>
  <c r="J21" i="65"/>
  <c r="J31" i="65"/>
  <c r="J27" i="65"/>
  <c r="J24" i="65"/>
  <c r="J16" i="65"/>
  <c r="J19" i="65"/>
  <c r="J14" i="65"/>
  <c r="J23" i="65"/>
  <c r="J12" i="65"/>
  <c r="J13" i="65"/>
  <c r="J25" i="65"/>
  <c r="H37" i="65"/>
  <c r="J29" i="65"/>
  <c r="J18" i="65"/>
  <c r="J32" i="65"/>
  <c r="J37" i="65"/>
  <c r="J28" i="65"/>
  <c r="J30" i="65"/>
  <c r="J15" i="65"/>
  <c r="J17" i="65"/>
  <c r="J20" i="65"/>
  <c r="J22" i="65"/>
  <c r="J33" i="65"/>
  <c r="J26" i="65"/>
  <c r="J34" i="65"/>
  <c r="H35" i="104"/>
  <c r="I35" i="104" s="1"/>
  <c r="H35" i="54"/>
  <c r="I35" i="54" s="1"/>
  <c r="H36" i="65"/>
  <c r="I36" i="65" s="1"/>
  <c r="J36" i="65"/>
  <c r="H36" i="67"/>
  <c r="I36" i="67" s="1"/>
  <c r="J36" i="67"/>
  <c r="J13" i="67"/>
  <c r="J28" i="67"/>
  <c r="J16" i="67"/>
  <c r="J31" i="67"/>
  <c r="J21" i="67"/>
  <c r="J32" i="67"/>
  <c r="J12" i="67"/>
  <c r="J23" i="67"/>
  <c r="J25" i="67"/>
  <c r="J37" i="67"/>
  <c r="J14" i="67"/>
  <c r="J24" i="67"/>
  <c r="J27" i="67"/>
  <c r="H37" i="67"/>
  <c r="J29" i="67"/>
  <c r="J19" i="67"/>
  <c r="J18" i="67"/>
  <c r="J30" i="67"/>
  <c r="J15" i="67"/>
  <c r="J17" i="67"/>
  <c r="J20" i="67"/>
  <c r="J22" i="67"/>
  <c r="J26" i="67"/>
  <c r="J33" i="67"/>
  <c r="H35" i="56"/>
  <c r="I35" i="56" s="1"/>
  <c r="H34" i="104"/>
  <c r="I34" i="104" s="1"/>
  <c r="H34" i="54"/>
  <c r="I34" i="54" s="1"/>
  <c r="H43" i="104"/>
  <c r="I43" i="104" s="1"/>
  <c r="H34" i="115"/>
  <c r="I34" i="115" s="1"/>
  <c r="H35" i="115"/>
  <c r="I35" i="115" s="1"/>
  <c r="H34" i="56"/>
  <c r="I34" i="56" s="1"/>
  <c r="J34" i="67"/>
  <c r="G44" i="104"/>
  <c r="H44" i="56"/>
  <c r="I44" i="56" s="1"/>
  <c r="G17" i="7"/>
  <c r="H43" i="115"/>
  <c r="I43" i="115" s="1"/>
  <c r="H48" i="115"/>
  <c r="I48" i="115" s="1"/>
  <c r="G15" i="7"/>
  <c r="H48" i="56"/>
  <c r="I48" i="56" s="1"/>
  <c r="G14" i="7"/>
  <c r="G49" i="56"/>
  <c r="G44" i="115"/>
  <c r="H43" i="56"/>
  <c r="I43" i="56" s="1"/>
  <c r="G49" i="115"/>
  <c r="G37" i="69"/>
  <c r="J36" i="69" s="1"/>
  <c r="H50" i="54" l="1"/>
  <c r="I50" i="54" s="1"/>
  <c r="H48" i="54"/>
  <c r="I48" i="54" s="1"/>
  <c r="H49" i="54"/>
  <c r="I49" i="54" s="1"/>
  <c r="G44" i="54"/>
  <c r="H44" i="54" s="1"/>
  <c r="I44" i="54" s="1"/>
  <c r="H38" i="7"/>
  <c r="H49" i="104"/>
  <c r="I49" i="104" s="1"/>
  <c r="H48" i="104"/>
  <c r="I48" i="104" s="1"/>
  <c r="J36" i="66"/>
  <c r="J12" i="66"/>
  <c r="J26" i="66"/>
  <c r="J15" i="66"/>
  <c r="J24" i="66"/>
  <c r="J14" i="66"/>
  <c r="J34" i="66"/>
  <c r="J37" i="66"/>
  <c r="J13" i="66"/>
  <c r="H37" i="66"/>
  <c r="H36" i="7" s="1"/>
  <c r="J17" i="66"/>
  <c r="J21" i="66"/>
  <c r="J19" i="66"/>
  <c r="J28" i="66"/>
  <c r="J22" i="66"/>
  <c r="J16" i="66"/>
  <c r="J31" i="66"/>
  <c r="J30" i="66"/>
  <c r="J33" i="66"/>
  <c r="J20" i="66"/>
  <c r="J25" i="66"/>
  <c r="J23" i="66"/>
  <c r="J32" i="66"/>
  <c r="J29" i="66"/>
  <c r="J27" i="66"/>
  <c r="J18" i="66"/>
  <c r="I37" i="70"/>
  <c r="I40" i="7" s="1"/>
  <c r="F15" i="25"/>
  <c r="G15" i="25" s="1"/>
  <c r="F15" i="64"/>
  <c r="G15" i="64" s="1"/>
  <c r="F15" i="63"/>
  <c r="G15" i="63" s="1"/>
  <c r="F23" i="117"/>
  <c r="G23" i="117" s="1"/>
  <c r="F23" i="57"/>
  <c r="G23" i="57" s="1"/>
  <c r="F23" i="58"/>
  <c r="G23" i="58" s="1"/>
  <c r="F23" i="59"/>
  <c r="G23" i="59" s="1"/>
  <c r="F16" i="71"/>
  <c r="G16" i="71" s="1"/>
  <c r="F16" i="72"/>
  <c r="G16" i="72" s="1"/>
  <c r="F16" i="5"/>
  <c r="G16" i="5" s="1"/>
  <c r="F19" i="117"/>
  <c r="G19" i="117" s="1"/>
  <c r="F19" i="58"/>
  <c r="G19" i="58" s="1"/>
  <c r="F19" i="59"/>
  <c r="G19" i="59" s="1"/>
  <c r="F19" i="57"/>
  <c r="G19" i="57" s="1"/>
  <c r="F20" i="74"/>
  <c r="G20" i="74" s="1"/>
  <c r="F20" i="75"/>
  <c r="G20" i="75" s="1"/>
  <c r="F20" i="73"/>
  <c r="G20" i="73" s="1"/>
  <c r="F19" i="62"/>
  <c r="G19" i="62" s="1"/>
  <c r="F19" i="116"/>
  <c r="G19" i="116" s="1"/>
  <c r="F19" i="60"/>
  <c r="G19" i="60" s="1"/>
  <c r="F19" i="61"/>
  <c r="G19" i="61" s="1"/>
  <c r="F16" i="80"/>
  <c r="G16" i="80" s="1"/>
  <c r="F16" i="79"/>
  <c r="G16" i="79" s="1"/>
  <c r="F16" i="81"/>
  <c r="G16" i="81" s="1"/>
  <c r="F16" i="74"/>
  <c r="G16" i="74" s="1"/>
  <c r="F16" i="75"/>
  <c r="G16" i="75" s="1"/>
  <c r="F16" i="73"/>
  <c r="G16" i="73" s="1"/>
  <c r="G51" i="54"/>
  <c r="K49" i="54" s="1"/>
  <c r="G51" i="104"/>
  <c r="K41" i="104" s="1"/>
  <c r="H45" i="56"/>
  <c r="I45" i="56" s="1"/>
  <c r="I38" i="7"/>
  <c r="H35" i="7"/>
  <c r="I37" i="65"/>
  <c r="H44" i="115"/>
  <c r="I44" i="115" s="1"/>
  <c r="H49" i="56"/>
  <c r="I49" i="56" s="1"/>
  <c r="G51" i="56"/>
  <c r="K49" i="56" s="1"/>
  <c r="H37" i="7"/>
  <c r="I37" i="67"/>
  <c r="J32" i="69"/>
  <c r="J21" i="69"/>
  <c r="J25" i="69"/>
  <c r="J24" i="69"/>
  <c r="J19" i="69"/>
  <c r="J12" i="69"/>
  <c r="J14" i="69"/>
  <c r="H37" i="69"/>
  <c r="J30" i="69"/>
  <c r="J18" i="69"/>
  <c r="J13" i="69"/>
  <c r="J28" i="69"/>
  <c r="J37" i="69"/>
  <c r="J16" i="69"/>
  <c r="J29" i="69"/>
  <c r="J31" i="69"/>
  <c r="J27" i="69"/>
  <c r="J23" i="69"/>
  <c r="J17" i="69"/>
  <c r="J15" i="69"/>
  <c r="J20" i="69"/>
  <c r="J22" i="69"/>
  <c r="J33" i="69"/>
  <c r="J26" i="69"/>
  <c r="J34" i="69"/>
  <c r="J35" i="69"/>
  <c r="H45" i="104"/>
  <c r="I45" i="104" s="1"/>
  <c r="H44" i="104"/>
  <c r="I44" i="104" s="1"/>
  <c r="G51" i="115"/>
  <c r="K49" i="115" s="1"/>
  <c r="H49" i="115"/>
  <c r="I49" i="115" s="1"/>
  <c r="G46" i="56"/>
  <c r="H45" i="54" l="1"/>
  <c r="I45" i="54" s="1"/>
  <c r="I37" i="66"/>
  <c r="I36" i="7" s="1"/>
  <c r="K16" i="54"/>
  <c r="K22" i="54"/>
  <c r="K47" i="54"/>
  <c r="K18" i="54"/>
  <c r="K48" i="104"/>
  <c r="H51" i="104"/>
  <c r="I51" i="104" s="1"/>
  <c r="K51" i="104"/>
  <c r="K21" i="104"/>
  <c r="H20" i="75"/>
  <c r="I20" i="75" s="1"/>
  <c r="H19" i="60"/>
  <c r="I19" i="60" s="1"/>
  <c r="H16" i="5"/>
  <c r="I16" i="5" s="1"/>
  <c r="H16" i="81"/>
  <c r="I16" i="81" s="1"/>
  <c r="H16" i="71"/>
  <c r="I16" i="71" s="1"/>
  <c r="H23" i="57"/>
  <c r="I23" i="57" s="1"/>
  <c r="K47" i="104"/>
  <c r="K36" i="104"/>
  <c r="H16" i="73"/>
  <c r="I16" i="73" s="1"/>
  <c r="G23" i="73"/>
  <c r="H16" i="79"/>
  <c r="I16" i="79" s="1"/>
  <c r="H19" i="62"/>
  <c r="I19" i="62" s="1"/>
  <c r="H19" i="57"/>
  <c r="I19" i="57" s="1"/>
  <c r="G25" i="57"/>
  <c r="H23" i="117"/>
  <c r="I23" i="117" s="1"/>
  <c r="F19" i="113"/>
  <c r="G19" i="113" s="1"/>
  <c r="F19" i="49"/>
  <c r="G19" i="49" s="1"/>
  <c r="F19" i="50"/>
  <c r="G19" i="50" s="1"/>
  <c r="F19" i="48"/>
  <c r="G19" i="48" s="1"/>
  <c r="H19" i="117"/>
  <c r="I19" i="117" s="1"/>
  <c r="G25" i="117"/>
  <c r="H20" i="74"/>
  <c r="I20" i="74" s="1"/>
  <c r="H16" i="72"/>
  <c r="I16" i="72" s="1"/>
  <c r="K31" i="104"/>
  <c r="H16" i="75"/>
  <c r="I16" i="75" s="1"/>
  <c r="G23" i="75"/>
  <c r="H16" i="80"/>
  <c r="I16" i="80" s="1"/>
  <c r="H19" i="59"/>
  <c r="I19" i="59" s="1"/>
  <c r="G25" i="59"/>
  <c r="F19" i="112"/>
  <c r="G19" i="112" s="1"/>
  <c r="F19" i="47"/>
  <c r="G19" i="47" s="1"/>
  <c r="F19" i="46"/>
  <c r="G19" i="46" s="1"/>
  <c r="F19" i="4"/>
  <c r="G19" i="4" s="1"/>
  <c r="H23" i="59"/>
  <c r="I23" i="59" s="1"/>
  <c r="H15" i="25"/>
  <c r="I15" i="25" s="1"/>
  <c r="H19" i="116"/>
  <c r="I19" i="116" s="1"/>
  <c r="K30" i="104"/>
  <c r="F17" i="63"/>
  <c r="G17" i="63" s="1"/>
  <c r="F17" i="64"/>
  <c r="G17" i="64" s="1"/>
  <c r="F17" i="25"/>
  <c r="G17" i="25" s="1"/>
  <c r="K16" i="104"/>
  <c r="F20" i="5"/>
  <c r="G20" i="5" s="1"/>
  <c r="G23" i="5" s="1"/>
  <c r="F20" i="71"/>
  <c r="G20" i="71" s="1"/>
  <c r="G23" i="71" s="1"/>
  <c r="F20" i="72"/>
  <c r="G20" i="72" s="1"/>
  <c r="F23" i="116"/>
  <c r="G23" i="116" s="1"/>
  <c r="F23" i="62"/>
  <c r="G23" i="62" s="1"/>
  <c r="F23" i="60"/>
  <c r="G23" i="60" s="1"/>
  <c r="G25" i="60" s="1"/>
  <c r="F23" i="61"/>
  <c r="G23" i="61" s="1"/>
  <c r="G25" i="61" s="1"/>
  <c r="H15" i="64"/>
  <c r="I15" i="64" s="1"/>
  <c r="H23" i="58"/>
  <c r="I23" i="58" s="1"/>
  <c r="K33" i="104"/>
  <c r="K18" i="104"/>
  <c r="F18" i="80"/>
  <c r="G18" i="80" s="1"/>
  <c r="G21" i="80" s="1"/>
  <c r="F18" i="81"/>
  <c r="G18" i="81" s="1"/>
  <c r="F18" i="79"/>
  <c r="G18" i="79" s="1"/>
  <c r="G21" i="79" s="1"/>
  <c r="H16" i="74"/>
  <c r="I16" i="74" s="1"/>
  <c r="G23" i="74"/>
  <c r="H19" i="61"/>
  <c r="I19" i="61" s="1"/>
  <c r="H20" i="73"/>
  <c r="I20" i="73" s="1"/>
  <c r="H19" i="58"/>
  <c r="I19" i="58" s="1"/>
  <c r="G25" i="58"/>
  <c r="H15" i="63"/>
  <c r="I15" i="63" s="1"/>
  <c r="G46" i="104"/>
  <c r="J44" i="104" s="1"/>
  <c r="K38" i="54"/>
  <c r="K33" i="54"/>
  <c r="K26" i="54"/>
  <c r="K50" i="54"/>
  <c r="K39" i="54"/>
  <c r="K40" i="54"/>
  <c r="K20" i="54"/>
  <c r="K31" i="54"/>
  <c r="K19" i="54"/>
  <c r="K32" i="54"/>
  <c r="K41" i="54"/>
  <c r="K34" i="54"/>
  <c r="K27" i="54"/>
  <c r="K30" i="54"/>
  <c r="K23" i="54"/>
  <c r="K17" i="54"/>
  <c r="K21" i="54"/>
  <c r="K37" i="54"/>
  <c r="K35" i="54"/>
  <c r="K29" i="54"/>
  <c r="K28" i="54"/>
  <c r="K25" i="54"/>
  <c r="K36" i="54"/>
  <c r="H51" i="54"/>
  <c r="H14" i="7" s="1"/>
  <c r="K24" i="54"/>
  <c r="K15" i="54"/>
  <c r="K51" i="54"/>
  <c r="K48" i="54"/>
  <c r="K28" i="104"/>
  <c r="K25" i="104"/>
  <c r="K32" i="104"/>
  <c r="K29" i="104"/>
  <c r="K22" i="104"/>
  <c r="K26" i="104"/>
  <c r="K38" i="104"/>
  <c r="K37" i="104"/>
  <c r="K20" i="104"/>
  <c r="K34" i="104"/>
  <c r="K23" i="104"/>
  <c r="K40" i="104"/>
  <c r="K39" i="104"/>
  <c r="K50" i="104"/>
  <c r="K19" i="104"/>
  <c r="K15" i="104"/>
  <c r="K27" i="104"/>
  <c r="K17" i="104"/>
  <c r="K24" i="104"/>
  <c r="K35" i="104"/>
  <c r="K49" i="104"/>
  <c r="H51" i="115"/>
  <c r="K18" i="115"/>
  <c r="K51" i="115"/>
  <c r="K17" i="115"/>
  <c r="K33" i="115"/>
  <c r="K27" i="115"/>
  <c r="K15" i="115"/>
  <c r="K36" i="115"/>
  <c r="K38" i="115"/>
  <c r="K40" i="115"/>
  <c r="K21" i="115"/>
  <c r="K16" i="115"/>
  <c r="K31" i="115"/>
  <c r="K24" i="115"/>
  <c r="K39" i="115"/>
  <c r="K37" i="115"/>
  <c r="K26" i="115"/>
  <c r="K41" i="115"/>
  <c r="K32" i="115"/>
  <c r="K28" i="115"/>
  <c r="K22" i="115"/>
  <c r="K20" i="115"/>
  <c r="K19" i="115"/>
  <c r="K23" i="115"/>
  <c r="K25" i="115"/>
  <c r="K47" i="115"/>
  <c r="K29" i="115"/>
  <c r="K30" i="115"/>
  <c r="K34" i="115"/>
  <c r="K35" i="115"/>
  <c r="K48" i="115"/>
  <c r="K39" i="56"/>
  <c r="K22" i="56"/>
  <c r="K31" i="56"/>
  <c r="K15" i="56"/>
  <c r="K36" i="56"/>
  <c r="K41" i="56"/>
  <c r="K27" i="56"/>
  <c r="K21" i="56"/>
  <c r="H51" i="56"/>
  <c r="K28" i="56"/>
  <c r="K32" i="56"/>
  <c r="K16" i="56"/>
  <c r="K18" i="56"/>
  <c r="K37" i="56"/>
  <c r="K38" i="56"/>
  <c r="K20" i="56"/>
  <c r="K33" i="56"/>
  <c r="K51" i="56"/>
  <c r="K24" i="56"/>
  <c r="K17" i="56"/>
  <c r="K40" i="56"/>
  <c r="K26" i="56"/>
  <c r="K19" i="56"/>
  <c r="K23" i="56"/>
  <c r="K25" i="56"/>
  <c r="K47" i="56"/>
  <c r="K29" i="56"/>
  <c r="K30" i="56"/>
  <c r="K48" i="56"/>
  <c r="K35" i="56"/>
  <c r="K34" i="56"/>
  <c r="J27" i="56"/>
  <c r="J33" i="56"/>
  <c r="J46" i="56"/>
  <c r="J28" i="56"/>
  <c r="J36" i="56"/>
  <c r="J32" i="56"/>
  <c r="J18" i="56"/>
  <c r="J40" i="56"/>
  <c r="H46" i="56"/>
  <c r="I46" i="56" s="1"/>
  <c r="J26" i="56"/>
  <c r="J41" i="56"/>
  <c r="J39" i="56"/>
  <c r="J37" i="56"/>
  <c r="J31" i="56"/>
  <c r="J14" i="56"/>
  <c r="J12" i="56"/>
  <c r="J22" i="56"/>
  <c r="J21" i="56"/>
  <c r="J38" i="56"/>
  <c r="J24" i="56"/>
  <c r="J13" i="56"/>
  <c r="J20" i="56"/>
  <c r="J19" i="56"/>
  <c r="J23" i="56"/>
  <c r="J25" i="56"/>
  <c r="J42" i="56"/>
  <c r="J29" i="56"/>
  <c r="J30" i="56"/>
  <c r="J44" i="56"/>
  <c r="J34" i="56"/>
  <c r="J35" i="56"/>
  <c r="J43" i="56"/>
  <c r="H39" i="7"/>
  <c r="I37" i="69"/>
  <c r="H50" i="56"/>
  <c r="I50" i="56" s="1"/>
  <c r="K50" i="56"/>
  <c r="H50" i="115"/>
  <c r="I50" i="115" s="1"/>
  <c r="K50" i="115"/>
  <c r="I37" i="7"/>
  <c r="J45" i="56"/>
  <c r="G46" i="115"/>
  <c r="J45" i="115" s="1"/>
  <c r="H45" i="115"/>
  <c r="I45" i="115" s="1"/>
  <c r="I35" i="7"/>
  <c r="G46" i="54" l="1"/>
  <c r="J38" i="54" s="1"/>
  <c r="J43" i="104"/>
  <c r="J46" i="104"/>
  <c r="H15" i="7"/>
  <c r="J19" i="104"/>
  <c r="H46" i="104"/>
  <c r="I46" i="104" s="1"/>
  <c r="J42" i="104"/>
  <c r="J25" i="104"/>
  <c r="J40" i="104"/>
  <c r="J24" i="104"/>
  <c r="J33" i="104"/>
  <c r="J26" i="104"/>
  <c r="J22" i="104"/>
  <c r="J27" i="104"/>
  <c r="J23" i="104"/>
  <c r="J38" i="104"/>
  <c r="J36" i="104"/>
  <c r="J45" i="104"/>
  <c r="J14" i="104"/>
  <c r="J35" i="104"/>
  <c r="J32" i="104"/>
  <c r="J12" i="104"/>
  <c r="J13" i="104"/>
  <c r="J37" i="104"/>
  <c r="J21" i="104"/>
  <c r="J34" i="104"/>
  <c r="J41" i="104"/>
  <c r="J30" i="104"/>
  <c r="J20" i="104"/>
  <c r="J31" i="104"/>
  <c r="J29" i="104"/>
  <c r="J39" i="104"/>
  <c r="J28" i="104"/>
  <c r="J18" i="104"/>
  <c r="G47" i="60"/>
  <c r="G50" i="60" s="1"/>
  <c r="H25" i="60"/>
  <c r="G42" i="60"/>
  <c r="G45" i="60" s="1"/>
  <c r="G29" i="60"/>
  <c r="G30" i="60"/>
  <c r="H23" i="62"/>
  <c r="I23" i="62" s="1"/>
  <c r="H19" i="47"/>
  <c r="I19" i="47" s="1"/>
  <c r="G27" i="71"/>
  <c r="H23" i="71"/>
  <c r="G34" i="71"/>
  <c r="G37" i="71" s="1"/>
  <c r="G30" i="61"/>
  <c r="G29" i="61"/>
  <c r="H25" i="61"/>
  <c r="G47" i="61"/>
  <c r="G50" i="61" s="1"/>
  <c r="G42" i="61"/>
  <c r="G45" i="61" s="1"/>
  <c r="H17" i="64"/>
  <c r="I17" i="64" s="1"/>
  <c r="H17" i="63"/>
  <c r="I17" i="63" s="1"/>
  <c r="H23" i="74"/>
  <c r="G27" i="74"/>
  <c r="G34" i="74"/>
  <c r="G37" i="74" s="1"/>
  <c r="H23" i="61"/>
  <c r="I23" i="61" s="1"/>
  <c r="H20" i="5"/>
  <c r="I20" i="5" s="1"/>
  <c r="G29" i="59"/>
  <c r="G30" i="59"/>
  <c r="G47" i="59"/>
  <c r="G50" i="59" s="1"/>
  <c r="G42" i="59"/>
  <c r="G45" i="59" s="1"/>
  <c r="H25" i="59"/>
  <c r="G29" i="117"/>
  <c r="H25" i="117"/>
  <c r="G42" i="117"/>
  <c r="G45" i="117" s="1"/>
  <c r="G47" i="117"/>
  <c r="G50" i="117" s="1"/>
  <c r="G30" i="117"/>
  <c r="H18" i="81"/>
  <c r="I18" i="81" s="1"/>
  <c r="H19" i="49"/>
  <c r="I19" i="49" s="1"/>
  <c r="H18" i="80"/>
  <c r="I18" i="80" s="1"/>
  <c r="H19" i="113"/>
  <c r="I19" i="113" s="1"/>
  <c r="G47" i="58"/>
  <c r="G50" i="58" s="1"/>
  <c r="H25" i="58"/>
  <c r="G29" i="58"/>
  <c r="G42" i="58"/>
  <c r="G45" i="58" s="1"/>
  <c r="G30" i="58"/>
  <c r="G30" i="57"/>
  <c r="G47" i="57"/>
  <c r="G50" i="57" s="1"/>
  <c r="G42" i="57"/>
  <c r="G45" i="57" s="1"/>
  <c r="H25" i="57"/>
  <c r="G29" i="57"/>
  <c r="H21" i="79"/>
  <c r="G25" i="79"/>
  <c r="G32" i="79"/>
  <c r="G35" i="79" s="1"/>
  <c r="H19" i="4"/>
  <c r="I19" i="4" s="1"/>
  <c r="H23" i="73"/>
  <c r="G34" i="73"/>
  <c r="G37" i="73" s="1"/>
  <c r="G27" i="73"/>
  <c r="H17" i="25"/>
  <c r="I17" i="25" s="1"/>
  <c r="G25" i="80"/>
  <c r="H21" i="80"/>
  <c r="G32" i="80"/>
  <c r="G35" i="80" s="1"/>
  <c r="H23" i="116"/>
  <c r="I23" i="116" s="1"/>
  <c r="H19" i="112"/>
  <c r="I19" i="112" s="1"/>
  <c r="H23" i="5"/>
  <c r="G27" i="5"/>
  <c r="G34" i="5"/>
  <c r="G37" i="5" s="1"/>
  <c r="G20" i="64"/>
  <c r="H23" i="75"/>
  <c r="G27" i="75"/>
  <c r="G34" i="75"/>
  <c r="G37" i="75" s="1"/>
  <c r="H20" i="71"/>
  <c r="I20" i="71" s="1"/>
  <c r="H19" i="46"/>
  <c r="I19" i="46" s="1"/>
  <c r="H19" i="48"/>
  <c r="I19" i="48" s="1"/>
  <c r="G21" i="81"/>
  <c r="H20" i="72"/>
  <c r="I20" i="72" s="1"/>
  <c r="G20" i="63"/>
  <c r="H18" i="79"/>
  <c r="I18" i="79" s="1"/>
  <c r="H23" i="60"/>
  <c r="I23" i="60" s="1"/>
  <c r="G25" i="116"/>
  <c r="G20" i="25"/>
  <c r="G23" i="72"/>
  <c r="H19" i="50"/>
  <c r="I19" i="50" s="1"/>
  <c r="G25" i="62"/>
  <c r="I51" i="54"/>
  <c r="I51" i="115"/>
  <c r="I16" i="7" s="1"/>
  <c r="H16" i="7"/>
  <c r="I39" i="7"/>
  <c r="I51" i="56"/>
  <c r="H17" i="7"/>
  <c r="I15" i="7"/>
  <c r="J39" i="115"/>
  <c r="J41" i="115"/>
  <c r="J31" i="115"/>
  <c r="J27" i="115"/>
  <c r="J13" i="115"/>
  <c r="J20" i="115"/>
  <c r="J24" i="115"/>
  <c r="J32" i="115"/>
  <c r="J37" i="115"/>
  <c r="J22" i="115"/>
  <c r="J12" i="115"/>
  <c r="H46" i="115"/>
  <c r="I46" i="115" s="1"/>
  <c r="J46" i="115"/>
  <c r="J38" i="115"/>
  <c r="J28" i="115"/>
  <c r="J21" i="115"/>
  <c r="J26" i="115"/>
  <c r="J14" i="115"/>
  <c r="J33" i="115"/>
  <c r="J40" i="115"/>
  <c r="J18" i="115"/>
  <c r="J36" i="115"/>
  <c r="J19" i="115"/>
  <c r="J23" i="115"/>
  <c r="J25" i="115"/>
  <c r="J29" i="115"/>
  <c r="J42" i="115"/>
  <c r="J30" i="115"/>
  <c r="J34" i="115"/>
  <c r="J43" i="115"/>
  <c r="J35" i="115"/>
  <c r="J44" i="115"/>
  <c r="J34" i="54" l="1"/>
  <c r="J18" i="54"/>
  <c r="J13" i="54"/>
  <c r="J40" i="54"/>
  <c r="J12" i="54"/>
  <c r="J26" i="54"/>
  <c r="J29" i="54"/>
  <c r="J28" i="54"/>
  <c r="J33" i="54"/>
  <c r="J25" i="54"/>
  <c r="J24" i="54"/>
  <c r="J22" i="54"/>
  <c r="J43" i="54"/>
  <c r="J46" i="54"/>
  <c r="J39" i="54"/>
  <c r="H46" i="54"/>
  <c r="I46" i="54" s="1"/>
  <c r="J42" i="54"/>
  <c r="J32" i="54"/>
  <c r="J20" i="54"/>
  <c r="J14" i="54"/>
  <c r="J41" i="54"/>
  <c r="J31" i="54"/>
  <c r="J45" i="54"/>
  <c r="J44" i="54"/>
  <c r="J23" i="54"/>
  <c r="J35" i="54"/>
  <c r="J30" i="54"/>
  <c r="J19" i="54"/>
  <c r="J21" i="54"/>
  <c r="J27" i="54"/>
  <c r="J37" i="54"/>
  <c r="J36" i="54"/>
  <c r="I14" i="7"/>
  <c r="G43" i="57"/>
  <c r="H42" i="57"/>
  <c r="I42" i="57" s="1"/>
  <c r="G34" i="59"/>
  <c r="H29" i="59"/>
  <c r="I29" i="59" s="1"/>
  <c r="H47" i="57"/>
  <c r="I47" i="57" s="1"/>
  <c r="G48" i="57"/>
  <c r="G34" i="117"/>
  <c r="H29" i="117"/>
  <c r="I29" i="117" s="1"/>
  <c r="H27" i="71"/>
  <c r="I27" i="71" s="1"/>
  <c r="G35" i="57"/>
  <c r="H30" i="57"/>
  <c r="I30" i="57" s="1"/>
  <c r="H20" i="63"/>
  <c r="G22" i="63"/>
  <c r="G35" i="74"/>
  <c r="H34" i="74"/>
  <c r="I34" i="74" s="1"/>
  <c r="I25" i="61"/>
  <c r="F23" i="7"/>
  <c r="G35" i="60"/>
  <c r="H30" i="60"/>
  <c r="I30" i="60" s="1"/>
  <c r="H27" i="73"/>
  <c r="I27" i="73" s="1"/>
  <c r="I25" i="58"/>
  <c r="F19" i="7"/>
  <c r="I25" i="59"/>
  <c r="F21" i="7"/>
  <c r="H27" i="74"/>
  <c r="I27" i="74" s="1"/>
  <c r="G34" i="61"/>
  <c r="H29" i="61"/>
  <c r="I29" i="61" s="1"/>
  <c r="H29" i="60"/>
  <c r="I29" i="60" s="1"/>
  <c r="G34" i="60"/>
  <c r="H27" i="5"/>
  <c r="I27" i="5" s="1"/>
  <c r="H30" i="58"/>
  <c r="I30" i="58" s="1"/>
  <c r="G35" i="58"/>
  <c r="G43" i="61"/>
  <c r="H42" i="61"/>
  <c r="I42" i="61" s="1"/>
  <c r="H20" i="25"/>
  <c r="G22" i="25"/>
  <c r="H42" i="58"/>
  <c r="I42" i="58" s="1"/>
  <c r="G43" i="58"/>
  <c r="G44" i="58" s="1"/>
  <c r="H20" i="64"/>
  <c r="G22" i="64"/>
  <c r="H34" i="73"/>
  <c r="I34" i="73" s="1"/>
  <c r="G35" i="73"/>
  <c r="G48" i="58"/>
  <c r="G49" i="58" s="1"/>
  <c r="H47" i="58"/>
  <c r="I47" i="58" s="1"/>
  <c r="H30" i="117"/>
  <c r="I30" i="117" s="1"/>
  <c r="G35" i="117"/>
  <c r="G43" i="59"/>
  <c r="G44" i="59" s="1"/>
  <c r="H42" i="59"/>
  <c r="I42" i="59" s="1"/>
  <c r="I23" i="74"/>
  <c r="F30" i="7"/>
  <c r="F23" i="114"/>
  <c r="G23" i="114" s="1"/>
  <c r="F23" i="53"/>
  <c r="G23" i="53" s="1"/>
  <c r="F23" i="51"/>
  <c r="G23" i="51" s="1"/>
  <c r="F23" i="52"/>
  <c r="G23" i="52" s="1"/>
  <c r="G35" i="61"/>
  <c r="H30" i="61"/>
  <c r="I30" i="61" s="1"/>
  <c r="G43" i="60"/>
  <c r="G44" i="60" s="1"/>
  <c r="H42" i="60"/>
  <c r="I42" i="60" s="1"/>
  <c r="H27" i="75"/>
  <c r="I27" i="75" s="1"/>
  <c r="I25" i="117"/>
  <c r="G20" i="7" s="1"/>
  <c r="F20" i="7"/>
  <c r="I23" i="71"/>
  <c r="F27" i="7"/>
  <c r="F31" i="7"/>
  <c r="I23" i="75"/>
  <c r="G33" i="79"/>
  <c r="G34" i="79" s="1"/>
  <c r="H32" i="79"/>
  <c r="I32" i="79" s="1"/>
  <c r="F44" i="7"/>
  <c r="I21" i="79"/>
  <c r="H23" i="72"/>
  <c r="G27" i="72"/>
  <c r="G34" i="72"/>
  <c r="G37" i="72" s="1"/>
  <c r="G33" i="80"/>
  <c r="H32" i="80"/>
  <c r="I32" i="80" s="1"/>
  <c r="F29" i="7"/>
  <c r="I23" i="73"/>
  <c r="G34" i="57"/>
  <c r="H29" i="57"/>
  <c r="I29" i="57" s="1"/>
  <c r="F23" i="47"/>
  <c r="G23" i="47" s="1"/>
  <c r="F23" i="112"/>
  <c r="G23" i="112" s="1"/>
  <c r="F23" i="46"/>
  <c r="G23" i="46" s="1"/>
  <c r="F23" i="4"/>
  <c r="G23" i="4" s="1"/>
  <c r="H47" i="117"/>
  <c r="I47" i="117" s="1"/>
  <c r="G48" i="117"/>
  <c r="G49" i="117" s="1"/>
  <c r="H47" i="59"/>
  <c r="I47" i="59" s="1"/>
  <c r="G48" i="59"/>
  <c r="F22" i="7"/>
  <c r="I25" i="60"/>
  <c r="H25" i="80"/>
  <c r="I25" i="80" s="1"/>
  <c r="I23" i="5"/>
  <c r="F26" i="7"/>
  <c r="F23" i="48"/>
  <c r="G23" i="48" s="1"/>
  <c r="F23" i="49"/>
  <c r="G23" i="49" s="1"/>
  <c r="F23" i="113"/>
  <c r="G23" i="113" s="1"/>
  <c r="F23" i="50"/>
  <c r="G23" i="50" s="1"/>
  <c r="H25" i="79"/>
  <c r="I25" i="79" s="1"/>
  <c r="H47" i="61"/>
  <c r="I47" i="61" s="1"/>
  <c r="G48" i="61"/>
  <c r="G49" i="61" s="1"/>
  <c r="G30" i="116"/>
  <c r="G29" i="116"/>
  <c r="G47" i="116"/>
  <c r="G50" i="116" s="1"/>
  <c r="H25" i="116"/>
  <c r="G42" i="116"/>
  <c r="G45" i="116" s="1"/>
  <c r="H29" i="58"/>
  <c r="I29" i="58" s="1"/>
  <c r="G34" i="58"/>
  <c r="G47" i="62"/>
  <c r="G50" i="62" s="1"/>
  <c r="G29" i="62"/>
  <c r="H25" i="62"/>
  <c r="G30" i="62"/>
  <c r="G42" i="62"/>
  <c r="G45" i="62" s="1"/>
  <c r="G25" i="81"/>
  <c r="G32" i="81"/>
  <c r="G35" i="81" s="1"/>
  <c r="H21" i="81"/>
  <c r="G35" i="75"/>
  <c r="G36" i="75" s="1"/>
  <c r="H34" i="75"/>
  <c r="I34" i="75" s="1"/>
  <c r="H34" i="5"/>
  <c r="I34" i="5" s="1"/>
  <c r="G35" i="5"/>
  <c r="G36" i="5" s="1"/>
  <c r="I21" i="80"/>
  <c r="F45" i="7"/>
  <c r="F18" i="7"/>
  <c r="I25" i="57"/>
  <c r="G43" i="117"/>
  <c r="H42" i="117"/>
  <c r="I42" i="117" s="1"/>
  <c r="H30" i="59"/>
  <c r="I30" i="59" s="1"/>
  <c r="G35" i="59"/>
  <c r="G35" i="71"/>
  <c r="H34" i="71"/>
  <c r="I34" i="71" s="1"/>
  <c r="H47" i="60"/>
  <c r="I47" i="60" s="1"/>
  <c r="G48" i="60"/>
  <c r="G49" i="60" s="1"/>
  <c r="I17" i="7"/>
  <c r="H45" i="58" l="1"/>
  <c r="I45" i="58" s="1"/>
  <c r="H44" i="58"/>
  <c r="I44" i="58" s="1"/>
  <c r="H48" i="59"/>
  <c r="I48" i="59" s="1"/>
  <c r="G27" i="7"/>
  <c r="H35" i="117"/>
  <c r="I35" i="117" s="1"/>
  <c r="G44" i="61"/>
  <c r="H43" i="61"/>
  <c r="I43" i="61" s="1"/>
  <c r="H35" i="74"/>
  <c r="I35" i="74" s="1"/>
  <c r="H34" i="59"/>
  <c r="I34" i="59" s="1"/>
  <c r="G45" i="7"/>
  <c r="H34" i="58"/>
  <c r="I34" i="58" s="1"/>
  <c r="H23" i="4"/>
  <c r="I23" i="4" s="1"/>
  <c r="G25" i="4"/>
  <c r="H23" i="52"/>
  <c r="I23" i="52" s="1"/>
  <c r="G35" i="62"/>
  <c r="H30" i="62"/>
  <c r="I30" i="62" s="1"/>
  <c r="G51" i="61"/>
  <c r="H49" i="61"/>
  <c r="I49" i="61" s="1"/>
  <c r="H49" i="117"/>
  <c r="I49" i="117" s="1"/>
  <c r="H49" i="58"/>
  <c r="I49" i="58" s="1"/>
  <c r="H50" i="58"/>
  <c r="I50" i="58" s="1"/>
  <c r="H34" i="61"/>
  <c r="I34" i="61" s="1"/>
  <c r="F33" i="7"/>
  <c r="I20" i="63"/>
  <c r="G18" i="7"/>
  <c r="F25" i="7"/>
  <c r="I25" i="62"/>
  <c r="H48" i="61"/>
  <c r="I48" i="61" s="1"/>
  <c r="H23" i="48"/>
  <c r="I23" i="48" s="1"/>
  <c r="G25" i="48"/>
  <c r="H48" i="117"/>
  <c r="I48" i="117" s="1"/>
  <c r="F28" i="7"/>
  <c r="I23" i="72"/>
  <c r="H23" i="51"/>
  <c r="I23" i="51" s="1"/>
  <c r="F34" i="7"/>
  <c r="I20" i="64"/>
  <c r="G26" i="25"/>
  <c r="H22" i="25"/>
  <c r="I22" i="25" s="1"/>
  <c r="G33" i="25"/>
  <c r="G36" i="25" s="1"/>
  <c r="H29" i="116"/>
  <c r="I29" i="116" s="1"/>
  <c r="G34" i="116"/>
  <c r="H35" i="73"/>
  <c r="I35" i="73" s="1"/>
  <c r="H36" i="75"/>
  <c r="I36" i="75" s="1"/>
  <c r="H37" i="75"/>
  <c r="I37" i="75" s="1"/>
  <c r="H34" i="79"/>
  <c r="I34" i="79" s="1"/>
  <c r="G30" i="7"/>
  <c r="H49" i="60"/>
  <c r="I49" i="60" s="1"/>
  <c r="G51" i="60"/>
  <c r="K48" i="60" s="1"/>
  <c r="H42" i="62"/>
  <c r="I42" i="62" s="1"/>
  <c r="G43" i="62"/>
  <c r="G44" i="62" s="1"/>
  <c r="H48" i="60"/>
  <c r="I48" i="60" s="1"/>
  <c r="H35" i="75"/>
  <c r="I35" i="75" s="1"/>
  <c r="H23" i="46"/>
  <c r="I23" i="46" s="1"/>
  <c r="G25" i="46"/>
  <c r="H27" i="72"/>
  <c r="I27" i="72" s="1"/>
  <c r="H29" i="62"/>
  <c r="I29" i="62" s="1"/>
  <c r="G34" i="62"/>
  <c r="H23" i="112"/>
  <c r="I23" i="112" s="1"/>
  <c r="G25" i="112"/>
  <c r="G44" i="7"/>
  <c r="G31" i="7"/>
  <c r="H43" i="60"/>
  <c r="I43" i="60" s="1"/>
  <c r="H23" i="53"/>
  <c r="I23" i="53" s="1"/>
  <c r="H43" i="59"/>
  <c r="I43" i="59" s="1"/>
  <c r="H48" i="58"/>
  <c r="I48" i="58" s="1"/>
  <c r="I20" i="25"/>
  <c r="F32" i="7"/>
  <c r="H35" i="60"/>
  <c r="I35" i="60" s="1"/>
  <c r="H23" i="50"/>
  <c r="I23" i="50" s="1"/>
  <c r="G25" i="50"/>
  <c r="G21" i="7"/>
  <c r="H43" i="57"/>
  <c r="I43" i="57" s="1"/>
  <c r="H23" i="113"/>
  <c r="I23" i="113" s="1"/>
  <c r="G25" i="113"/>
  <c r="H33" i="80"/>
  <c r="I33" i="80" s="1"/>
  <c r="H34" i="117"/>
  <c r="I34" i="117" s="1"/>
  <c r="H34" i="57"/>
  <c r="I34" i="57" s="1"/>
  <c r="G35" i="72"/>
  <c r="G36" i="72" s="1"/>
  <c r="H34" i="72"/>
  <c r="I34" i="72" s="1"/>
  <c r="G19" i="7"/>
  <c r="H22" i="63"/>
  <c r="I22" i="63" s="1"/>
  <c r="G26" i="63"/>
  <c r="G33" i="63"/>
  <c r="G36" i="63" s="1"/>
  <c r="H35" i="59"/>
  <c r="I35" i="59" s="1"/>
  <c r="H33" i="79"/>
  <c r="I33" i="79" s="1"/>
  <c r="H44" i="60"/>
  <c r="I44" i="60" s="1"/>
  <c r="H45" i="60"/>
  <c r="I45" i="60" s="1"/>
  <c r="H22" i="64"/>
  <c r="I22" i="64" s="1"/>
  <c r="G33" i="64"/>
  <c r="G36" i="64" s="1"/>
  <c r="G26" i="64"/>
  <c r="H35" i="57"/>
  <c r="I35" i="57" s="1"/>
  <c r="H36" i="5"/>
  <c r="I36" i="5" s="1"/>
  <c r="H42" i="116"/>
  <c r="I42" i="116" s="1"/>
  <c r="G43" i="116"/>
  <c r="G44" i="116" s="1"/>
  <c r="H35" i="5"/>
  <c r="I35" i="5" s="1"/>
  <c r="G33" i="81"/>
  <c r="H32" i="81"/>
  <c r="I32" i="81" s="1"/>
  <c r="H47" i="62"/>
  <c r="I47" i="62" s="1"/>
  <c r="G48" i="62"/>
  <c r="I25" i="116"/>
  <c r="G24" i="7" s="1"/>
  <c r="F24" i="7"/>
  <c r="H23" i="47"/>
  <c r="I23" i="47" s="1"/>
  <c r="G25" i="47"/>
  <c r="H23" i="114"/>
  <c r="I23" i="114" s="1"/>
  <c r="H34" i="60"/>
  <c r="I34" i="60" s="1"/>
  <c r="G36" i="74"/>
  <c r="G44" i="57"/>
  <c r="H30" i="116"/>
  <c r="I30" i="116" s="1"/>
  <c r="G35" i="116"/>
  <c r="H35" i="61"/>
  <c r="I35" i="61" s="1"/>
  <c r="G22" i="7"/>
  <c r="H23" i="49"/>
  <c r="I23" i="49" s="1"/>
  <c r="G25" i="49"/>
  <c r="G29" i="7"/>
  <c r="H44" i="59"/>
  <c r="I44" i="59" s="1"/>
  <c r="G49" i="57"/>
  <c r="H48" i="57"/>
  <c r="I48" i="57" s="1"/>
  <c r="I21" i="81"/>
  <c r="F46" i="7"/>
  <c r="G36" i="71"/>
  <c r="H35" i="71"/>
  <c r="I35" i="71" s="1"/>
  <c r="G44" i="117"/>
  <c r="H43" i="117"/>
  <c r="I43" i="117" s="1"/>
  <c r="H25" i="81"/>
  <c r="I25" i="81" s="1"/>
  <c r="H47" i="116"/>
  <c r="I47" i="116" s="1"/>
  <c r="G48" i="116"/>
  <c r="G26" i="7"/>
  <c r="G49" i="59"/>
  <c r="G34" i="80"/>
  <c r="G36" i="73"/>
  <c r="H43" i="58"/>
  <c r="I43" i="58" s="1"/>
  <c r="H35" i="58"/>
  <c r="I35" i="58" s="1"/>
  <c r="G23" i="7"/>
  <c r="H44" i="62" l="1"/>
  <c r="I44" i="62" s="1"/>
  <c r="G46" i="58"/>
  <c r="J13" i="58" s="1"/>
  <c r="G51" i="58"/>
  <c r="K32" i="58" s="1"/>
  <c r="G46" i="60"/>
  <c r="J44" i="60" s="1"/>
  <c r="K49" i="60"/>
  <c r="K27" i="61"/>
  <c r="H51" i="61"/>
  <c r="K18" i="61"/>
  <c r="K41" i="61"/>
  <c r="K22" i="61"/>
  <c r="K39" i="61"/>
  <c r="K28" i="61"/>
  <c r="K32" i="61"/>
  <c r="K21" i="61"/>
  <c r="K15" i="61"/>
  <c r="K31" i="61"/>
  <c r="K24" i="61"/>
  <c r="K38" i="61"/>
  <c r="K26" i="61"/>
  <c r="K17" i="61"/>
  <c r="K36" i="61"/>
  <c r="K37" i="61"/>
  <c r="K33" i="61"/>
  <c r="K51" i="61"/>
  <c r="K40" i="61"/>
  <c r="K20" i="61"/>
  <c r="K16" i="61"/>
  <c r="K19" i="61"/>
  <c r="K25" i="61"/>
  <c r="K23" i="61"/>
  <c r="K29" i="61"/>
  <c r="K30" i="61"/>
  <c r="K47" i="61"/>
  <c r="K34" i="61"/>
  <c r="K49" i="61"/>
  <c r="K48" i="61"/>
  <c r="K35" i="61"/>
  <c r="H33" i="64"/>
  <c r="I33" i="64" s="1"/>
  <c r="G34" i="64"/>
  <c r="G35" i="64" s="1"/>
  <c r="H26" i="25"/>
  <c r="I26" i="25" s="1"/>
  <c r="G42" i="113"/>
  <c r="G45" i="113" s="1"/>
  <c r="G30" i="113"/>
  <c r="H25" i="113"/>
  <c r="G29" i="113"/>
  <c r="G47" i="113"/>
  <c r="G50" i="113" s="1"/>
  <c r="H50" i="60"/>
  <c r="I50" i="60" s="1"/>
  <c r="K50" i="60"/>
  <c r="H49" i="59"/>
  <c r="I49" i="59" s="1"/>
  <c r="H36" i="72"/>
  <c r="I36" i="72" s="1"/>
  <c r="G42" i="49"/>
  <c r="G45" i="49" s="1"/>
  <c r="H25" i="49"/>
  <c r="G47" i="49"/>
  <c r="G50" i="49" s="1"/>
  <c r="G30" i="49"/>
  <c r="G29" i="49"/>
  <c r="H43" i="116"/>
  <c r="I43" i="116" s="1"/>
  <c r="H34" i="62"/>
  <c r="I34" i="62" s="1"/>
  <c r="H50" i="59"/>
  <c r="I50" i="59" s="1"/>
  <c r="H35" i="79"/>
  <c r="I35" i="79" s="1"/>
  <c r="G34" i="7"/>
  <c r="H36" i="73"/>
  <c r="I36" i="73" s="1"/>
  <c r="G49" i="62"/>
  <c r="H48" i="62"/>
  <c r="I48" i="62" s="1"/>
  <c r="H36" i="74"/>
  <c r="I36" i="74" s="1"/>
  <c r="H44" i="116"/>
  <c r="I44" i="116" s="1"/>
  <c r="G32" i="7"/>
  <c r="G33" i="7"/>
  <c r="G51" i="117"/>
  <c r="K50" i="117" s="1"/>
  <c r="H50" i="117"/>
  <c r="I50" i="117" s="1"/>
  <c r="H44" i="117"/>
  <c r="I44" i="117" s="1"/>
  <c r="H45" i="117"/>
  <c r="I45" i="117" s="1"/>
  <c r="K34" i="60"/>
  <c r="G34" i="63"/>
  <c r="G35" i="63" s="1"/>
  <c r="H33" i="63"/>
  <c r="I33" i="63" s="1"/>
  <c r="H35" i="72"/>
  <c r="I35" i="72" s="1"/>
  <c r="G28" i="7"/>
  <c r="G46" i="7"/>
  <c r="H35" i="116"/>
  <c r="I35" i="116" s="1"/>
  <c r="H35" i="62"/>
  <c r="I35" i="62" s="1"/>
  <c r="H50" i="57"/>
  <c r="I50" i="57" s="1"/>
  <c r="H49" i="57"/>
  <c r="I49" i="57" s="1"/>
  <c r="G34" i="81"/>
  <c r="H33" i="81"/>
  <c r="I33" i="81" s="1"/>
  <c r="H26" i="63"/>
  <c r="I26" i="63" s="1"/>
  <c r="G47" i="50"/>
  <c r="G50" i="50" s="1"/>
  <c r="H25" i="50"/>
  <c r="G30" i="50"/>
  <c r="G42" i="50"/>
  <c r="G45" i="50" s="1"/>
  <c r="G29" i="50"/>
  <c r="K35" i="60"/>
  <c r="G30" i="112"/>
  <c r="G42" i="112"/>
  <c r="G45" i="112" s="1"/>
  <c r="G47" i="112"/>
  <c r="G50" i="112" s="1"/>
  <c r="H25" i="112"/>
  <c r="G29" i="112"/>
  <c r="H43" i="62"/>
  <c r="I43" i="62" s="1"/>
  <c r="G38" i="75"/>
  <c r="G34" i="25"/>
  <c r="G35" i="25" s="1"/>
  <c r="H33" i="25"/>
  <c r="I33" i="25" s="1"/>
  <c r="G29" i="4"/>
  <c r="G47" i="4"/>
  <c r="G50" i="4" s="1"/>
  <c r="G42" i="4"/>
  <c r="G45" i="4" s="1"/>
  <c r="G30" i="4"/>
  <c r="H25" i="4"/>
  <c r="H37" i="71"/>
  <c r="I37" i="71" s="1"/>
  <c r="H36" i="71"/>
  <c r="I36" i="71" s="1"/>
  <c r="G30" i="46"/>
  <c r="G47" i="46"/>
  <c r="G50" i="46" s="1"/>
  <c r="G42" i="46"/>
  <c r="G45" i="46" s="1"/>
  <c r="G29" i="46"/>
  <c r="H25" i="46"/>
  <c r="G29" i="48"/>
  <c r="H25" i="48"/>
  <c r="G42" i="48"/>
  <c r="G45" i="48" s="1"/>
  <c r="G30" i="48"/>
  <c r="G47" i="48"/>
  <c r="G50" i="48" s="1"/>
  <c r="H44" i="61"/>
  <c r="I44" i="61" s="1"/>
  <c r="H45" i="61"/>
  <c r="I45" i="61" s="1"/>
  <c r="K16" i="60"/>
  <c r="K26" i="60"/>
  <c r="K22" i="60"/>
  <c r="K33" i="60"/>
  <c r="K36" i="60"/>
  <c r="K40" i="60"/>
  <c r="H51" i="60"/>
  <c r="K27" i="60"/>
  <c r="K20" i="60"/>
  <c r="K17" i="60"/>
  <c r="K21" i="60"/>
  <c r="K24" i="60"/>
  <c r="K39" i="60"/>
  <c r="K37" i="60"/>
  <c r="K15" i="60"/>
  <c r="K51" i="60"/>
  <c r="K28" i="60"/>
  <c r="K32" i="60"/>
  <c r="K41" i="60"/>
  <c r="K18" i="60"/>
  <c r="K38" i="60"/>
  <c r="K31" i="60"/>
  <c r="K19" i="60"/>
  <c r="K23" i="60"/>
  <c r="K25" i="60"/>
  <c r="K29" i="60"/>
  <c r="K30" i="60"/>
  <c r="K47" i="60"/>
  <c r="H34" i="80"/>
  <c r="I34" i="80" s="1"/>
  <c r="H34" i="116"/>
  <c r="I34" i="116" s="1"/>
  <c r="G47" i="47"/>
  <c r="G50" i="47" s="1"/>
  <c r="H25" i="47"/>
  <c r="G29" i="47"/>
  <c r="G30" i="47"/>
  <c r="G42" i="47"/>
  <c r="G45" i="47" s="1"/>
  <c r="G49" i="116"/>
  <c r="H48" i="116"/>
  <c r="I48" i="116" s="1"/>
  <c r="H44" i="57"/>
  <c r="I44" i="57" s="1"/>
  <c r="G38" i="5"/>
  <c r="J37" i="5" s="1"/>
  <c r="H37" i="5"/>
  <c r="I37" i="5" s="1"/>
  <c r="H26" i="64"/>
  <c r="I26" i="64" s="1"/>
  <c r="G36" i="79"/>
  <c r="J35" i="79" s="1"/>
  <c r="G25" i="7"/>
  <c r="H50" i="61"/>
  <c r="I50" i="61" s="1"/>
  <c r="K50" i="61"/>
  <c r="K40" i="58" l="1"/>
  <c r="K27" i="58"/>
  <c r="H51" i="58"/>
  <c r="H19" i="7" s="1"/>
  <c r="K21" i="58"/>
  <c r="K23" i="58"/>
  <c r="K36" i="58"/>
  <c r="K39" i="58"/>
  <c r="K48" i="58"/>
  <c r="K19" i="58"/>
  <c r="K51" i="58"/>
  <c r="K50" i="58"/>
  <c r="J29" i="60"/>
  <c r="J25" i="58"/>
  <c r="J46" i="58"/>
  <c r="J21" i="58"/>
  <c r="J40" i="58"/>
  <c r="J31" i="58"/>
  <c r="J22" i="58"/>
  <c r="J37" i="58"/>
  <c r="J35" i="58"/>
  <c r="J34" i="58"/>
  <c r="J42" i="58"/>
  <c r="J19" i="58"/>
  <c r="J18" i="58"/>
  <c r="J36" i="58"/>
  <c r="J39" i="58"/>
  <c r="J26" i="58"/>
  <c r="J28" i="58"/>
  <c r="J45" i="58"/>
  <c r="J30" i="58"/>
  <c r="J23" i="58"/>
  <c r="J32" i="58"/>
  <c r="J33" i="58"/>
  <c r="H46" i="58"/>
  <c r="I46" i="58" s="1"/>
  <c r="J24" i="58"/>
  <c r="J27" i="58"/>
  <c r="J29" i="58"/>
  <c r="J14" i="58"/>
  <c r="J12" i="58"/>
  <c r="J20" i="58"/>
  <c r="J41" i="58"/>
  <c r="J38" i="58"/>
  <c r="J43" i="60"/>
  <c r="K16" i="58"/>
  <c r="J18" i="60"/>
  <c r="K28" i="58"/>
  <c r="K31" i="58"/>
  <c r="K34" i="58"/>
  <c r="K25" i="58"/>
  <c r="K24" i="58"/>
  <c r="K18" i="58"/>
  <c r="K20" i="58"/>
  <c r="K15" i="58"/>
  <c r="K33" i="58"/>
  <c r="K47" i="58"/>
  <c r="K17" i="58"/>
  <c r="J30" i="60"/>
  <c r="K26" i="58"/>
  <c r="K38" i="58"/>
  <c r="J32" i="60"/>
  <c r="K29" i="58"/>
  <c r="K41" i="58"/>
  <c r="K30" i="58"/>
  <c r="K37" i="58"/>
  <c r="K22" i="58"/>
  <c r="J27" i="60"/>
  <c r="J28" i="60"/>
  <c r="J42" i="60"/>
  <c r="J12" i="60"/>
  <c r="G38" i="71"/>
  <c r="J36" i="71" s="1"/>
  <c r="J43" i="58"/>
  <c r="J44" i="58"/>
  <c r="J26" i="60"/>
  <c r="J13" i="60"/>
  <c r="J35" i="60"/>
  <c r="J20" i="60"/>
  <c r="J40" i="60"/>
  <c r="J14" i="60"/>
  <c r="J36" i="60"/>
  <c r="J41" i="60"/>
  <c r="J25" i="60"/>
  <c r="J37" i="60"/>
  <c r="H46" i="60"/>
  <c r="I46" i="60" s="1"/>
  <c r="J39" i="60"/>
  <c r="K35" i="58"/>
  <c r="K49" i="58"/>
  <c r="J34" i="60"/>
  <c r="J23" i="60"/>
  <c r="J24" i="60"/>
  <c r="J22" i="60"/>
  <c r="J45" i="60"/>
  <c r="G51" i="57"/>
  <c r="K49" i="57" s="1"/>
  <c r="J19" i="60"/>
  <c r="J38" i="60"/>
  <c r="J21" i="60"/>
  <c r="J46" i="60"/>
  <c r="J33" i="60"/>
  <c r="J31" i="60"/>
  <c r="H35" i="25"/>
  <c r="I35" i="25" s="1"/>
  <c r="H36" i="25"/>
  <c r="I36" i="25" s="1"/>
  <c r="G34" i="48"/>
  <c r="H29" i="48"/>
  <c r="I29" i="48" s="1"/>
  <c r="I25" i="50"/>
  <c r="F9" i="7"/>
  <c r="I25" i="49"/>
  <c r="F7" i="7"/>
  <c r="G35" i="113"/>
  <c r="H30" i="113"/>
  <c r="I30" i="113" s="1"/>
  <c r="H30" i="112"/>
  <c r="I30" i="112" s="1"/>
  <c r="G35" i="112"/>
  <c r="G38" i="73"/>
  <c r="J37" i="73" s="1"/>
  <c r="H37" i="73"/>
  <c r="I37" i="73" s="1"/>
  <c r="G43" i="49"/>
  <c r="H42" i="49"/>
  <c r="I42" i="49" s="1"/>
  <c r="H36" i="63"/>
  <c r="I36" i="63" s="1"/>
  <c r="H35" i="63"/>
  <c r="I35" i="63" s="1"/>
  <c r="H22" i="7"/>
  <c r="I51" i="60"/>
  <c r="G48" i="48"/>
  <c r="G49" i="48" s="1"/>
  <c r="H47" i="48"/>
  <c r="I47" i="48" s="1"/>
  <c r="H29" i="46"/>
  <c r="I29" i="46" s="1"/>
  <c r="G34" i="46"/>
  <c r="H34" i="63"/>
  <c r="I34" i="63" s="1"/>
  <c r="K15" i="117"/>
  <c r="K51" i="117"/>
  <c r="K24" i="117"/>
  <c r="K26" i="117"/>
  <c r="K41" i="117"/>
  <c r="K20" i="117"/>
  <c r="K16" i="117"/>
  <c r="K17" i="117"/>
  <c r="K31" i="117"/>
  <c r="K21" i="117"/>
  <c r="K22" i="117"/>
  <c r="K27" i="117"/>
  <c r="K33" i="117"/>
  <c r="K28" i="117"/>
  <c r="K40" i="117"/>
  <c r="K32" i="117"/>
  <c r="K18" i="117"/>
  <c r="K38" i="117"/>
  <c r="K36" i="117"/>
  <c r="H51" i="117"/>
  <c r="K39" i="117"/>
  <c r="K37" i="117"/>
  <c r="K23" i="117"/>
  <c r="K19" i="117"/>
  <c r="K25" i="117"/>
  <c r="K29" i="117"/>
  <c r="K30" i="117"/>
  <c r="K47" i="117"/>
  <c r="K48" i="117"/>
  <c r="K34" i="117"/>
  <c r="K35" i="117"/>
  <c r="K49" i="117"/>
  <c r="J37" i="75"/>
  <c r="J22" i="75"/>
  <c r="J13" i="75"/>
  <c r="J29" i="75"/>
  <c r="J17" i="75"/>
  <c r="J21" i="75"/>
  <c r="J30" i="75"/>
  <c r="J15" i="75"/>
  <c r="J31" i="75"/>
  <c r="J14" i="75"/>
  <c r="J25" i="75"/>
  <c r="J19" i="75"/>
  <c r="J38" i="75"/>
  <c r="J26" i="75"/>
  <c r="J24" i="75"/>
  <c r="J18" i="75"/>
  <c r="J28" i="75"/>
  <c r="J33" i="75"/>
  <c r="H38" i="75"/>
  <c r="J32" i="75"/>
  <c r="J16" i="75"/>
  <c r="J20" i="75"/>
  <c r="J23" i="75"/>
  <c r="J34" i="75"/>
  <c r="J27" i="75"/>
  <c r="J36" i="75"/>
  <c r="J35" i="75"/>
  <c r="H47" i="50"/>
  <c r="I47" i="50" s="1"/>
  <c r="G48" i="50"/>
  <c r="G49" i="50" s="1"/>
  <c r="G34" i="4"/>
  <c r="H29" i="4"/>
  <c r="I29" i="4" s="1"/>
  <c r="F3" i="7"/>
  <c r="I25" i="46"/>
  <c r="G43" i="47"/>
  <c r="H42" i="47"/>
  <c r="I42" i="47" s="1"/>
  <c r="H30" i="48"/>
  <c r="I30" i="48" s="1"/>
  <c r="G35" i="48"/>
  <c r="G43" i="46"/>
  <c r="G44" i="46" s="1"/>
  <c r="H42" i="46"/>
  <c r="I42" i="46" s="1"/>
  <c r="G34" i="112"/>
  <c r="H29" i="112"/>
  <c r="I29" i="112" s="1"/>
  <c r="H29" i="50"/>
  <c r="I29" i="50" s="1"/>
  <c r="G34" i="50"/>
  <c r="G38" i="74"/>
  <c r="J37" i="74" s="1"/>
  <c r="H37" i="74"/>
  <c r="I37" i="74" s="1"/>
  <c r="H45" i="59"/>
  <c r="I45" i="59" s="1"/>
  <c r="G46" i="59"/>
  <c r="J45" i="59" s="1"/>
  <c r="H29" i="49"/>
  <c r="I29" i="49" s="1"/>
  <c r="G34" i="49"/>
  <c r="H47" i="113"/>
  <c r="I47" i="113" s="1"/>
  <c r="G48" i="113"/>
  <c r="H35" i="64"/>
  <c r="I35" i="64" s="1"/>
  <c r="G43" i="112"/>
  <c r="H42" i="112"/>
  <c r="I42" i="112" s="1"/>
  <c r="G48" i="47"/>
  <c r="H47" i="47"/>
  <c r="I47" i="47" s="1"/>
  <c r="H42" i="113"/>
  <c r="I42" i="113" s="1"/>
  <c r="G43" i="113"/>
  <c r="G44" i="113" s="1"/>
  <c r="G46" i="116"/>
  <c r="J45" i="116" s="1"/>
  <c r="H45" i="116"/>
  <c r="I45" i="116" s="1"/>
  <c r="J21" i="5"/>
  <c r="J24" i="5"/>
  <c r="J13" i="5"/>
  <c r="J38" i="5"/>
  <c r="H38" i="5"/>
  <c r="J15" i="5"/>
  <c r="J22" i="5"/>
  <c r="J33" i="5"/>
  <c r="J14" i="5"/>
  <c r="J28" i="5"/>
  <c r="J18" i="5"/>
  <c r="J26" i="5"/>
  <c r="J25" i="5"/>
  <c r="J19" i="5"/>
  <c r="J31" i="5"/>
  <c r="J17" i="5"/>
  <c r="J29" i="5"/>
  <c r="J32" i="5"/>
  <c r="J30" i="5"/>
  <c r="J16" i="5"/>
  <c r="J23" i="5"/>
  <c r="J20" i="5"/>
  <c r="J27" i="5"/>
  <c r="J34" i="5"/>
  <c r="J35" i="5"/>
  <c r="J36" i="5"/>
  <c r="G36" i="80"/>
  <c r="J35" i="80" s="1"/>
  <c r="H35" i="80"/>
  <c r="I35" i="80" s="1"/>
  <c r="J28" i="79"/>
  <c r="J26" i="79"/>
  <c r="J27" i="79"/>
  <c r="J30" i="79"/>
  <c r="J31" i="79"/>
  <c r="J13" i="79"/>
  <c r="J24" i="79"/>
  <c r="J14" i="79"/>
  <c r="J23" i="79"/>
  <c r="J15" i="79"/>
  <c r="J20" i="79"/>
  <c r="H36" i="79"/>
  <c r="J22" i="79"/>
  <c r="J36" i="79"/>
  <c r="J17" i="79"/>
  <c r="J19" i="79"/>
  <c r="J29" i="79"/>
  <c r="J16" i="79"/>
  <c r="J21" i="79"/>
  <c r="J18" i="79"/>
  <c r="J25" i="79"/>
  <c r="J32" i="79"/>
  <c r="J34" i="79"/>
  <c r="J33" i="79"/>
  <c r="H30" i="47"/>
  <c r="I30" i="47" s="1"/>
  <c r="G35" i="47"/>
  <c r="G43" i="48"/>
  <c r="G44" i="48" s="1"/>
  <c r="H42" i="48"/>
  <c r="I42" i="48" s="1"/>
  <c r="H47" i="46"/>
  <c r="I47" i="46" s="1"/>
  <c r="G48" i="46"/>
  <c r="G49" i="46" s="1"/>
  <c r="F2" i="7"/>
  <c r="I25" i="4"/>
  <c r="H34" i="25"/>
  <c r="I34" i="25" s="1"/>
  <c r="I25" i="112"/>
  <c r="G4" i="7" s="1"/>
  <c r="F4" i="7"/>
  <c r="H42" i="50"/>
  <c r="I42" i="50" s="1"/>
  <c r="G43" i="50"/>
  <c r="G44" i="50" s="1"/>
  <c r="H34" i="81"/>
  <c r="I34" i="81" s="1"/>
  <c r="H35" i="81"/>
  <c r="I35" i="81" s="1"/>
  <c r="G51" i="62"/>
  <c r="K50" i="62" s="1"/>
  <c r="H50" i="62"/>
  <c r="I50" i="62" s="1"/>
  <c r="G35" i="49"/>
  <c r="H30" i="49"/>
  <c r="I30" i="49" s="1"/>
  <c r="G38" i="72"/>
  <c r="J37" i="72" s="1"/>
  <c r="H37" i="72"/>
  <c r="I37" i="72" s="1"/>
  <c r="G34" i="113"/>
  <c r="H29" i="113"/>
  <c r="I29" i="113" s="1"/>
  <c r="H34" i="64"/>
  <c r="I34" i="64" s="1"/>
  <c r="I51" i="61"/>
  <c r="H23" i="7"/>
  <c r="F5" i="7"/>
  <c r="I25" i="47"/>
  <c r="H42" i="4"/>
  <c r="I42" i="4" s="1"/>
  <c r="G43" i="4"/>
  <c r="G44" i="4" s="1"/>
  <c r="G48" i="4"/>
  <c r="G49" i="4" s="1"/>
  <c r="H47" i="4"/>
  <c r="I47" i="4" s="1"/>
  <c r="H49" i="116"/>
  <c r="I49" i="116" s="1"/>
  <c r="G46" i="57"/>
  <c r="H45" i="57"/>
  <c r="I45" i="57" s="1"/>
  <c r="H29" i="47"/>
  <c r="I29" i="47" s="1"/>
  <c r="G34" i="47"/>
  <c r="G46" i="61"/>
  <c r="I25" i="48"/>
  <c r="F6" i="7"/>
  <c r="H30" i="46"/>
  <c r="I30" i="46" s="1"/>
  <c r="G35" i="46"/>
  <c r="H30" i="4"/>
  <c r="I30" i="4" s="1"/>
  <c r="G35" i="4"/>
  <c r="G48" i="112"/>
  <c r="G49" i="112" s="1"/>
  <c r="H47" i="112"/>
  <c r="I47" i="112" s="1"/>
  <c r="G35" i="50"/>
  <c r="H30" i="50"/>
  <c r="I30" i="50" s="1"/>
  <c r="G46" i="117"/>
  <c r="H49" i="62"/>
  <c r="I49" i="62" s="1"/>
  <c r="H47" i="49"/>
  <c r="I47" i="49" s="1"/>
  <c r="G48" i="49"/>
  <c r="G49" i="49" s="1"/>
  <c r="G51" i="59"/>
  <c r="F8" i="7"/>
  <c r="I25" i="113"/>
  <c r="G8" i="7" s="1"/>
  <c r="I51" i="58" l="1"/>
  <c r="I19" i="7" s="1"/>
  <c r="J24" i="71"/>
  <c r="K31" i="57"/>
  <c r="J32" i="71"/>
  <c r="J35" i="71"/>
  <c r="J31" i="71"/>
  <c r="K36" i="57"/>
  <c r="J27" i="71"/>
  <c r="H38" i="71"/>
  <c r="I38" i="71" s="1"/>
  <c r="J26" i="71"/>
  <c r="J37" i="71"/>
  <c r="J34" i="71"/>
  <c r="J13" i="71"/>
  <c r="J17" i="71"/>
  <c r="K50" i="57"/>
  <c r="J30" i="71"/>
  <c r="J38" i="71"/>
  <c r="J25" i="71"/>
  <c r="J18" i="71"/>
  <c r="K32" i="57"/>
  <c r="J28" i="71"/>
  <c r="J33" i="71"/>
  <c r="J29" i="71"/>
  <c r="K28" i="57"/>
  <c r="J23" i="71"/>
  <c r="J22" i="71"/>
  <c r="J21" i="71"/>
  <c r="J20" i="71"/>
  <c r="J15" i="71"/>
  <c r="K20" i="57"/>
  <c r="J16" i="71"/>
  <c r="J14" i="71"/>
  <c r="J19" i="71"/>
  <c r="G37" i="25"/>
  <c r="J35" i="25" s="1"/>
  <c r="K29" i="57"/>
  <c r="K38" i="57"/>
  <c r="K48" i="57"/>
  <c r="K25" i="57"/>
  <c r="K51" i="57"/>
  <c r="K23" i="57"/>
  <c r="K26" i="57"/>
  <c r="K33" i="57"/>
  <c r="K19" i="57"/>
  <c r="H51" i="57"/>
  <c r="H18" i="7" s="1"/>
  <c r="K35" i="57"/>
  <c r="K37" i="57"/>
  <c r="K41" i="57"/>
  <c r="K27" i="57"/>
  <c r="K34" i="57"/>
  <c r="K21" i="57"/>
  <c r="K39" i="57"/>
  <c r="K40" i="57"/>
  <c r="K30" i="57"/>
  <c r="K18" i="57"/>
  <c r="K17" i="57"/>
  <c r="K16" i="57"/>
  <c r="K47" i="57"/>
  <c r="K24" i="57"/>
  <c r="K22" i="57"/>
  <c r="K15" i="57"/>
  <c r="H49" i="50"/>
  <c r="I49" i="50" s="1"/>
  <c r="H50" i="50"/>
  <c r="I50" i="50" s="1"/>
  <c r="H44" i="4"/>
  <c r="I44" i="4" s="1"/>
  <c r="H45" i="4"/>
  <c r="I45" i="4" s="1"/>
  <c r="H35" i="48"/>
  <c r="I35" i="48" s="1"/>
  <c r="H34" i="49"/>
  <c r="I34" i="49" s="1"/>
  <c r="H34" i="112"/>
  <c r="I34" i="112" s="1"/>
  <c r="H35" i="49"/>
  <c r="I35" i="49" s="1"/>
  <c r="H43" i="50"/>
  <c r="I43" i="50" s="1"/>
  <c r="H43" i="48"/>
  <c r="I43" i="48" s="1"/>
  <c r="H48" i="49"/>
  <c r="I48" i="49" s="1"/>
  <c r="H48" i="112"/>
  <c r="I48" i="112" s="1"/>
  <c r="K40" i="62"/>
  <c r="K38" i="62"/>
  <c r="K26" i="62"/>
  <c r="K15" i="62"/>
  <c r="K28" i="62"/>
  <c r="K21" i="62"/>
  <c r="K18" i="62"/>
  <c r="K24" i="62"/>
  <c r="K16" i="62"/>
  <c r="K41" i="62"/>
  <c r="K51" i="62"/>
  <c r="K31" i="62"/>
  <c r="K32" i="62"/>
  <c r="K17" i="62"/>
  <c r="K33" i="62"/>
  <c r="K27" i="62"/>
  <c r="K37" i="62"/>
  <c r="K39" i="62"/>
  <c r="K36" i="62"/>
  <c r="K22" i="62"/>
  <c r="K20" i="62"/>
  <c r="H51" i="62"/>
  <c r="K19" i="62"/>
  <c r="K23" i="62"/>
  <c r="K25" i="62"/>
  <c r="K30" i="62"/>
  <c r="K29" i="62"/>
  <c r="K47" i="62"/>
  <c r="K35" i="62"/>
  <c r="K48" i="62"/>
  <c r="K34" i="62"/>
  <c r="G37" i="64"/>
  <c r="J36" i="64" s="1"/>
  <c r="H36" i="64"/>
  <c r="I36" i="64" s="1"/>
  <c r="G3" i="7"/>
  <c r="H34" i="47"/>
  <c r="I34" i="47" s="1"/>
  <c r="G51" i="46"/>
  <c r="H49" i="46"/>
  <c r="I49" i="46" s="1"/>
  <c r="H43" i="113"/>
  <c r="I43" i="113" s="1"/>
  <c r="J36" i="74"/>
  <c r="J22" i="74"/>
  <c r="J21" i="74"/>
  <c r="J29" i="74"/>
  <c r="J31" i="74"/>
  <c r="J25" i="74"/>
  <c r="J15" i="74"/>
  <c r="H38" i="74"/>
  <c r="J24" i="74"/>
  <c r="J32" i="74"/>
  <c r="J14" i="74"/>
  <c r="J26" i="74"/>
  <c r="J17" i="74"/>
  <c r="J38" i="74"/>
  <c r="J19" i="74"/>
  <c r="J33" i="74"/>
  <c r="J28" i="74"/>
  <c r="J18" i="74"/>
  <c r="J30" i="74"/>
  <c r="J13" i="74"/>
  <c r="J16" i="74"/>
  <c r="J20" i="74"/>
  <c r="J23" i="74"/>
  <c r="J34" i="74"/>
  <c r="J27" i="74"/>
  <c r="J35" i="74"/>
  <c r="H34" i="50"/>
  <c r="I34" i="50" s="1"/>
  <c r="H48" i="48"/>
  <c r="I48" i="48" s="1"/>
  <c r="G46" i="62"/>
  <c r="J45" i="62" s="1"/>
  <c r="H45" i="62"/>
  <c r="I45" i="62" s="1"/>
  <c r="G9" i="7"/>
  <c r="J41" i="57"/>
  <c r="J27" i="57"/>
  <c r="J28" i="57"/>
  <c r="J21" i="57"/>
  <c r="J20" i="57"/>
  <c r="J38" i="57"/>
  <c r="J22" i="57"/>
  <c r="J36" i="57"/>
  <c r="J32" i="57"/>
  <c r="J37" i="57"/>
  <c r="J46" i="57"/>
  <c r="H46" i="57"/>
  <c r="I46" i="57" s="1"/>
  <c r="J12" i="57"/>
  <c r="J26" i="57"/>
  <c r="J14" i="57"/>
  <c r="J18" i="57"/>
  <c r="J33" i="57"/>
  <c r="J40" i="57"/>
  <c r="J39" i="57"/>
  <c r="J24" i="57"/>
  <c r="J13" i="57"/>
  <c r="J31" i="57"/>
  <c r="J19" i="57"/>
  <c r="J23" i="57"/>
  <c r="J25" i="57"/>
  <c r="J30" i="57"/>
  <c r="J42" i="57"/>
  <c r="J29" i="57"/>
  <c r="J35" i="57"/>
  <c r="J34" i="57"/>
  <c r="J43" i="57"/>
  <c r="J44" i="57"/>
  <c r="H50" i="4"/>
  <c r="I50" i="4" s="1"/>
  <c r="H49" i="4"/>
  <c r="I49" i="4" s="1"/>
  <c r="G2" i="7"/>
  <c r="H34" i="48"/>
  <c r="I34" i="48" s="1"/>
  <c r="H35" i="47"/>
  <c r="I35" i="47" s="1"/>
  <c r="H43" i="47"/>
  <c r="I43" i="47" s="1"/>
  <c r="H48" i="4"/>
  <c r="I48" i="4" s="1"/>
  <c r="G44" i="49"/>
  <c r="H43" i="49"/>
  <c r="I43" i="49" s="1"/>
  <c r="G7" i="7"/>
  <c r="H34" i="113"/>
  <c r="I34" i="113" s="1"/>
  <c r="H26" i="7"/>
  <c r="I38" i="5"/>
  <c r="G46" i="46"/>
  <c r="H44" i="46"/>
  <c r="I44" i="46" s="1"/>
  <c r="K50" i="59"/>
  <c r="K28" i="59"/>
  <c r="K40" i="59"/>
  <c r="K24" i="59"/>
  <c r="K32" i="59"/>
  <c r="K16" i="59"/>
  <c r="K36" i="59"/>
  <c r="K21" i="59"/>
  <c r="K38" i="59"/>
  <c r="K22" i="59"/>
  <c r="K26" i="59"/>
  <c r="K18" i="59"/>
  <c r="K17" i="59"/>
  <c r="K39" i="59"/>
  <c r="K31" i="59"/>
  <c r="K27" i="59"/>
  <c r="K41" i="59"/>
  <c r="K15" i="59"/>
  <c r="H51" i="59"/>
  <c r="K20" i="59"/>
  <c r="K51" i="59"/>
  <c r="K33" i="59"/>
  <c r="K37" i="59"/>
  <c r="K19" i="59"/>
  <c r="K23" i="59"/>
  <c r="K25" i="59"/>
  <c r="K30" i="59"/>
  <c r="K29" i="59"/>
  <c r="K47" i="59"/>
  <c r="K48" i="59"/>
  <c r="K35" i="59"/>
  <c r="K34" i="59"/>
  <c r="K49" i="59"/>
  <c r="K49" i="62"/>
  <c r="G6" i="7"/>
  <c r="I23" i="7"/>
  <c r="G36" i="81"/>
  <c r="H48" i="46"/>
  <c r="I48" i="46" s="1"/>
  <c r="J34" i="80"/>
  <c r="J14" i="80"/>
  <c r="J20" i="80"/>
  <c r="J17" i="80"/>
  <c r="J28" i="80"/>
  <c r="J15" i="80"/>
  <c r="J36" i="80"/>
  <c r="J23" i="80"/>
  <c r="J13" i="80"/>
  <c r="J30" i="80"/>
  <c r="J22" i="80"/>
  <c r="J27" i="80"/>
  <c r="J19" i="80"/>
  <c r="J24" i="80"/>
  <c r="J26" i="80"/>
  <c r="H36" i="80"/>
  <c r="J29" i="80"/>
  <c r="J31" i="80"/>
  <c r="J16" i="80"/>
  <c r="J21" i="80"/>
  <c r="J18" i="80"/>
  <c r="J25" i="80"/>
  <c r="J32" i="80"/>
  <c r="J33" i="80"/>
  <c r="G44" i="112"/>
  <c r="H43" i="112"/>
  <c r="I43" i="112" s="1"/>
  <c r="G49" i="113"/>
  <c r="H48" i="113"/>
  <c r="I48" i="113" s="1"/>
  <c r="H43" i="46"/>
  <c r="I43" i="46" s="1"/>
  <c r="G37" i="63"/>
  <c r="J17" i="73"/>
  <c r="H38" i="73"/>
  <c r="J33" i="73"/>
  <c r="J13" i="73"/>
  <c r="J22" i="73"/>
  <c r="J28" i="73"/>
  <c r="J14" i="73"/>
  <c r="J25" i="73"/>
  <c r="J24" i="73"/>
  <c r="J38" i="73"/>
  <c r="J31" i="73"/>
  <c r="J32" i="73"/>
  <c r="J21" i="73"/>
  <c r="J30" i="73"/>
  <c r="J26" i="73"/>
  <c r="J18" i="73"/>
  <c r="J19" i="73"/>
  <c r="J29" i="73"/>
  <c r="J15" i="73"/>
  <c r="J20" i="73"/>
  <c r="J16" i="73"/>
  <c r="J23" i="73"/>
  <c r="J34" i="73"/>
  <c r="J27" i="73"/>
  <c r="J35" i="73"/>
  <c r="J36" i="73"/>
  <c r="H34" i="4"/>
  <c r="I34" i="4" s="1"/>
  <c r="H35" i="112"/>
  <c r="I35" i="112" s="1"/>
  <c r="H50" i="112"/>
  <c r="I50" i="112" s="1"/>
  <c r="H49" i="112"/>
  <c r="I49" i="112" s="1"/>
  <c r="H35" i="46"/>
  <c r="I35" i="46" s="1"/>
  <c r="H46" i="116"/>
  <c r="I46" i="116" s="1"/>
  <c r="J13" i="116"/>
  <c r="J18" i="116"/>
  <c r="J22" i="116"/>
  <c r="J12" i="116"/>
  <c r="J14" i="116"/>
  <c r="J21" i="116"/>
  <c r="J36" i="116"/>
  <c r="J38" i="116"/>
  <c r="J39" i="116"/>
  <c r="J31" i="116"/>
  <c r="J40" i="116"/>
  <c r="J46" i="116"/>
  <c r="J33" i="116"/>
  <c r="J32" i="116"/>
  <c r="J20" i="116"/>
  <c r="J24" i="116"/>
  <c r="J27" i="116"/>
  <c r="J41" i="116"/>
  <c r="J37" i="116"/>
  <c r="J28" i="116"/>
  <c r="J26" i="116"/>
  <c r="J19" i="116"/>
  <c r="J23" i="116"/>
  <c r="J25" i="116"/>
  <c r="J29" i="116"/>
  <c r="J42" i="116"/>
  <c r="J30" i="116"/>
  <c r="J34" i="116"/>
  <c r="J44" i="116"/>
  <c r="J35" i="116"/>
  <c r="J43" i="116"/>
  <c r="H49" i="48"/>
  <c r="I49" i="48" s="1"/>
  <c r="H50" i="48"/>
  <c r="I50" i="48" s="1"/>
  <c r="H45" i="113"/>
  <c r="I45" i="113" s="1"/>
  <c r="H44" i="113"/>
  <c r="I44" i="113" s="1"/>
  <c r="H35" i="4"/>
  <c r="I35" i="4" s="1"/>
  <c r="J45" i="57"/>
  <c r="G51" i="116"/>
  <c r="K50" i="116" s="1"/>
  <c r="H50" i="116"/>
  <c r="I50" i="116" s="1"/>
  <c r="H43" i="4"/>
  <c r="I43" i="4" s="1"/>
  <c r="J36" i="72"/>
  <c r="H38" i="72"/>
  <c r="J32" i="72"/>
  <c r="J28" i="72"/>
  <c r="J14" i="72"/>
  <c r="J15" i="72"/>
  <c r="J19" i="72"/>
  <c r="J22" i="72"/>
  <c r="J17" i="72"/>
  <c r="J25" i="72"/>
  <c r="J29" i="72"/>
  <c r="J31" i="72"/>
  <c r="J21" i="72"/>
  <c r="J13" i="72"/>
  <c r="J18" i="72"/>
  <c r="J30" i="72"/>
  <c r="J26" i="72"/>
  <c r="J38" i="72"/>
  <c r="J24" i="72"/>
  <c r="J33" i="72"/>
  <c r="J16" i="72"/>
  <c r="J20" i="72"/>
  <c r="J23" i="72"/>
  <c r="J27" i="72"/>
  <c r="J34" i="72"/>
  <c r="J35" i="72"/>
  <c r="G49" i="47"/>
  <c r="H48" i="47"/>
  <c r="I48" i="47" s="1"/>
  <c r="I22" i="7"/>
  <c r="H44" i="48"/>
  <c r="I44" i="48" s="1"/>
  <c r="H45" i="48"/>
  <c r="I45" i="48" s="1"/>
  <c r="G5" i="7"/>
  <c r="H44" i="50"/>
  <c r="I44" i="50" s="1"/>
  <c r="H49" i="49"/>
  <c r="I49" i="49" s="1"/>
  <c r="G51" i="49"/>
  <c r="J45" i="117"/>
  <c r="J39" i="117"/>
  <c r="J41" i="117"/>
  <c r="J36" i="117"/>
  <c r="J26" i="117"/>
  <c r="J12" i="117"/>
  <c r="J28" i="117"/>
  <c r="J21" i="117"/>
  <c r="J24" i="117"/>
  <c r="J31" i="117"/>
  <c r="J22" i="117"/>
  <c r="J32" i="117"/>
  <c r="J38" i="117"/>
  <c r="J46" i="117"/>
  <c r="J40" i="117"/>
  <c r="J20" i="117"/>
  <c r="J33" i="117"/>
  <c r="H46" i="117"/>
  <c r="I46" i="117" s="1"/>
  <c r="J13" i="117"/>
  <c r="J18" i="117"/>
  <c r="J37" i="117"/>
  <c r="J14" i="117"/>
  <c r="J27" i="117"/>
  <c r="J19" i="117"/>
  <c r="J23" i="117"/>
  <c r="J25" i="117"/>
  <c r="J29" i="117"/>
  <c r="J30" i="117"/>
  <c r="J42" i="117"/>
  <c r="J43" i="117"/>
  <c r="J35" i="117"/>
  <c r="J34" i="117"/>
  <c r="J44" i="117"/>
  <c r="H35" i="50"/>
  <c r="I35" i="50" s="1"/>
  <c r="J45" i="61"/>
  <c r="J28" i="61"/>
  <c r="J13" i="61"/>
  <c r="J39" i="61"/>
  <c r="J26" i="61"/>
  <c r="J31" i="61"/>
  <c r="J41" i="61"/>
  <c r="J24" i="61"/>
  <c r="J33" i="61"/>
  <c r="J12" i="61"/>
  <c r="J21" i="61"/>
  <c r="J38" i="61"/>
  <c r="J20" i="61"/>
  <c r="J37" i="61"/>
  <c r="J14" i="61"/>
  <c r="J18" i="61"/>
  <c r="J46" i="61"/>
  <c r="J32" i="61"/>
  <c r="J36" i="61"/>
  <c r="J27" i="61"/>
  <c r="J22" i="61"/>
  <c r="H46" i="61"/>
  <c r="I46" i="61" s="1"/>
  <c r="J40" i="61"/>
  <c r="J19" i="61"/>
  <c r="J25" i="61"/>
  <c r="J23" i="61"/>
  <c r="J30" i="61"/>
  <c r="J42" i="61"/>
  <c r="J29" i="61"/>
  <c r="J34" i="61"/>
  <c r="J43" i="61"/>
  <c r="J35" i="61"/>
  <c r="J44" i="61"/>
  <c r="I36" i="79"/>
  <c r="H44" i="7"/>
  <c r="H46" i="59"/>
  <c r="I46" i="59" s="1"/>
  <c r="J32" i="59"/>
  <c r="J41" i="59"/>
  <c r="J38" i="59"/>
  <c r="J37" i="59"/>
  <c r="J12" i="59"/>
  <c r="J20" i="59"/>
  <c r="J26" i="59"/>
  <c r="J28" i="59"/>
  <c r="J33" i="59"/>
  <c r="J24" i="59"/>
  <c r="J21" i="59"/>
  <c r="J46" i="59"/>
  <c r="J18" i="59"/>
  <c r="J40" i="59"/>
  <c r="J36" i="59"/>
  <c r="J14" i="59"/>
  <c r="J39" i="59"/>
  <c r="J27" i="59"/>
  <c r="J31" i="59"/>
  <c r="J13" i="59"/>
  <c r="J22" i="59"/>
  <c r="J19" i="59"/>
  <c r="J23" i="59"/>
  <c r="J25" i="59"/>
  <c r="J30" i="59"/>
  <c r="J42" i="59"/>
  <c r="J29" i="59"/>
  <c r="J34" i="59"/>
  <c r="J35" i="59"/>
  <c r="J44" i="59"/>
  <c r="J43" i="59"/>
  <c r="G44" i="47"/>
  <c r="H48" i="50"/>
  <c r="I48" i="50" s="1"/>
  <c r="I38" i="75"/>
  <c r="H31" i="7"/>
  <c r="I51" i="117"/>
  <c r="I20" i="7" s="1"/>
  <c r="H20" i="7"/>
  <c r="H34" i="46"/>
  <c r="I34" i="46" s="1"/>
  <c r="H35" i="113"/>
  <c r="I35" i="113" s="1"/>
  <c r="H27" i="7" l="1"/>
  <c r="J14" i="25"/>
  <c r="J19" i="25"/>
  <c r="J23" i="25"/>
  <c r="J31" i="25"/>
  <c r="J20" i="25"/>
  <c r="J12" i="25"/>
  <c r="G51" i="50"/>
  <c r="K49" i="50" s="1"/>
  <c r="J17" i="25"/>
  <c r="J30" i="25"/>
  <c r="J32" i="25"/>
  <c r="J34" i="25"/>
  <c r="J26" i="25"/>
  <c r="J15" i="25"/>
  <c r="H37" i="25"/>
  <c r="J24" i="25"/>
  <c r="J18" i="25"/>
  <c r="J28" i="25"/>
  <c r="J33" i="25"/>
  <c r="J25" i="25"/>
  <c r="J37" i="25"/>
  <c r="J36" i="25"/>
  <c r="J22" i="25"/>
  <c r="J29" i="25"/>
  <c r="J13" i="25"/>
  <c r="J21" i="25"/>
  <c r="J27" i="25"/>
  <c r="J16" i="25"/>
  <c r="K48" i="46"/>
  <c r="K49" i="46"/>
  <c r="J22" i="46"/>
  <c r="J44" i="46"/>
  <c r="J35" i="46"/>
  <c r="J34" i="46"/>
  <c r="G46" i="113"/>
  <c r="J33" i="113" s="1"/>
  <c r="G51" i="48"/>
  <c r="K26" i="48" s="1"/>
  <c r="I51" i="57"/>
  <c r="J43" i="46"/>
  <c r="G51" i="4"/>
  <c r="K48" i="4" s="1"/>
  <c r="G46" i="4"/>
  <c r="J44" i="4" s="1"/>
  <c r="K34" i="46"/>
  <c r="G51" i="112"/>
  <c r="K33" i="112" s="1"/>
  <c r="K32" i="49"/>
  <c r="K36" i="49"/>
  <c r="K27" i="49"/>
  <c r="K51" i="49"/>
  <c r="K15" i="49"/>
  <c r="K31" i="49"/>
  <c r="K33" i="49"/>
  <c r="K17" i="49"/>
  <c r="K18" i="49"/>
  <c r="K21" i="49"/>
  <c r="K16" i="49"/>
  <c r="K38" i="49"/>
  <c r="H51" i="49"/>
  <c r="K39" i="49"/>
  <c r="K22" i="49"/>
  <c r="K40" i="49"/>
  <c r="K37" i="49"/>
  <c r="K26" i="49"/>
  <c r="K24" i="49"/>
  <c r="K28" i="49"/>
  <c r="K20" i="49"/>
  <c r="K41" i="49"/>
  <c r="K19" i="49"/>
  <c r="K23" i="49"/>
  <c r="K25" i="49"/>
  <c r="K29" i="49"/>
  <c r="K30" i="49"/>
  <c r="K47" i="49"/>
  <c r="K34" i="49"/>
  <c r="K48" i="49"/>
  <c r="K49" i="49"/>
  <c r="K35" i="49"/>
  <c r="J25" i="113"/>
  <c r="G46" i="49"/>
  <c r="H44" i="49"/>
  <c r="I44" i="49" s="1"/>
  <c r="I27" i="7"/>
  <c r="H30" i="7"/>
  <c r="I38" i="74"/>
  <c r="H49" i="47"/>
  <c r="I49" i="47" s="1"/>
  <c r="H50" i="47"/>
  <c r="I50" i="47" s="1"/>
  <c r="J12" i="46"/>
  <c r="J26" i="46"/>
  <c r="H46" i="46"/>
  <c r="I46" i="46" s="1"/>
  <c r="J31" i="46"/>
  <c r="J36" i="46"/>
  <c r="J40" i="46"/>
  <c r="J14" i="46"/>
  <c r="J38" i="46"/>
  <c r="J13" i="46"/>
  <c r="J39" i="46"/>
  <c r="J24" i="46"/>
  <c r="J33" i="46"/>
  <c r="J41" i="46"/>
  <c r="J21" i="46"/>
  <c r="J37" i="46"/>
  <c r="J46" i="46"/>
  <c r="J27" i="46"/>
  <c r="J28" i="46"/>
  <c r="J18" i="46"/>
  <c r="J32" i="46"/>
  <c r="J20" i="46"/>
  <c r="J19" i="46"/>
  <c r="J23" i="46"/>
  <c r="J25" i="46"/>
  <c r="J29" i="46"/>
  <c r="J42" i="46"/>
  <c r="J30" i="46"/>
  <c r="H50" i="46"/>
  <c r="I50" i="46" s="1"/>
  <c r="K50" i="46"/>
  <c r="I44" i="7"/>
  <c r="K35" i="116"/>
  <c r="K39" i="116"/>
  <c r="K16" i="116"/>
  <c r="K37" i="116"/>
  <c r="K31" i="116"/>
  <c r="K24" i="116"/>
  <c r="K22" i="116"/>
  <c r="K17" i="116"/>
  <c r="K28" i="116"/>
  <c r="H51" i="116"/>
  <c r="K33" i="116"/>
  <c r="K26" i="116"/>
  <c r="K21" i="116"/>
  <c r="K20" i="116"/>
  <c r="K15" i="116"/>
  <c r="K18" i="116"/>
  <c r="K27" i="116"/>
  <c r="K51" i="116"/>
  <c r="K38" i="116"/>
  <c r="K40" i="116"/>
  <c r="K36" i="116"/>
  <c r="K41" i="116"/>
  <c r="K32" i="116"/>
  <c r="K19" i="116"/>
  <c r="K23" i="116"/>
  <c r="K25" i="116"/>
  <c r="K47" i="116"/>
  <c r="K30" i="116"/>
  <c r="K29" i="116"/>
  <c r="K48" i="116"/>
  <c r="K34" i="116"/>
  <c r="K49" i="116"/>
  <c r="K35" i="46"/>
  <c r="I36" i="80"/>
  <c r="H45" i="7"/>
  <c r="I51" i="62"/>
  <c r="H25" i="7"/>
  <c r="I26" i="7"/>
  <c r="H45" i="47"/>
  <c r="I45" i="47" s="1"/>
  <c r="H44" i="47"/>
  <c r="I44" i="47" s="1"/>
  <c r="I38" i="73"/>
  <c r="H29" i="7"/>
  <c r="H49" i="113"/>
  <c r="I49" i="113" s="1"/>
  <c r="H45" i="46"/>
  <c r="I45" i="46" s="1"/>
  <c r="J45" i="46"/>
  <c r="I31" i="7"/>
  <c r="G46" i="50"/>
  <c r="J45" i="50" s="1"/>
  <c r="H45" i="50"/>
  <c r="I45" i="50" s="1"/>
  <c r="K21" i="46"/>
  <c r="K16" i="46"/>
  <c r="K32" i="46"/>
  <c r="K20" i="46"/>
  <c r="K51" i="46"/>
  <c r="K15" i="46"/>
  <c r="K40" i="46"/>
  <c r="K24" i="46"/>
  <c r="K28" i="46"/>
  <c r="K37" i="46"/>
  <c r="K31" i="46"/>
  <c r="K18" i="46"/>
  <c r="K17" i="46"/>
  <c r="K27" i="46"/>
  <c r="K33" i="46"/>
  <c r="K36" i="46"/>
  <c r="K39" i="46"/>
  <c r="H51" i="46"/>
  <c r="K41" i="46"/>
  <c r="K22" i="46"/>
  <c r="K38" i="46"/>
  <c r="K26" i="46"/>
  <c r="K19" i="46"/>
  <c r="K23" i="46"/>
  <c r="K25" i="46"/>
  <c r="K29" i="46"/>
  <c r="K47" i="46"/>
  <c r="K30" i="46"/>
  <c r="H50" i="49"/>
  <c r="I50" i="49" s="1"/>
  <c r="K50" i="49"/>
  <c r="H28" i="7"/>
  <c r="I38" i="72"/>
  <c r="J35" i="81"/>
  <c r="J29" i="81"/>
  <c r="J26" i="81"/>
  <c r="J23" i="81"/>
  <c r="J17" i="81"/>
  <c r="J14" i="81"/>
  <c r="J13" i="81"/>
  <c r="J31" i="81"/>
  <c r="J20" i="81"/>
  <c r="J28" i="81"/>
  <c r="J19" i="81"/>
  <c r="J27" i="81"/>
  <c r="J30" i="81"/>
  <c r="J22" i="81"/>
  <c r="H36" i="81"/>
  <c r="J24" i="81"/>
  <c r="J15" i="81"/>
  <c r="J36" i="81"/>
  <c r="J16" i="81"/>
  <c r="J18" i="81"/>
  <c r="J21" i="81"/>
  <c r="J25" i="81"/>
  <c r="J32" i="81"/>
  <c r="J33" i="81"/>
  <c r="J34" i="81"/>
  <c r="H44" i="112"/>
  <c r="I44" i="112" s="1"/>
  <c r="G46" i="48"/>
  <c r="J36" i="63"/>
  <c r="J16" i="63"/>
  <c r="J14" i="63"/>
  <c r="J25" i="63"/>
  <c r="J21" i="63"/>
  <c r="J37" i="63"/>
  <c r="J27" i="63"/>
  <c r="J29" i="63"/>
  <c r="J13" i="63"/>
  <c r="J28" i="63"/>
  <c r="H37" i="63"/>
  <c r="J30" i="63"/>
  <c r="J23" i="63"/>
  <c r="J24" i="63"/>
  <c r="J12" i="63"/>
  <c r="J19" i="63"/>
  <c r="J18" i="63"/>
  <c r="J32" i="63"/>
  <c r="J31" i="63"/>
  <c r="J15" i="63"/>
  <c r="J17" i="63"/>
  <c r="J20" i="63"/>
  <c r="J22" i="63"/>
  <c r="J33" i="63"/>
  <c r="J26" i="63"/>
  <c r="J34" i="63"/>
  <c r="J35" i="63"/>
  <c r="I51" i="59"/>
  <c r="H21" i="7"/>
  <c r="J44" i="62"/>
  <c r="J13" i="62"/>
  <c r="J31" i="62"/>
  <c r="H46" i="62"/>
  <c r="I46" i="62" s="1"/>
  <c r="J40" i="62"/>
  <c r="J26" i="62"/>
  <c r="J24" i="62"/>
  <c r="J37" i="62"/>
  <c r="J36" i="62"/>
  <c r="J28" i="62"/>
  <c r="J14" i="62"/>
  <c r="J27" i="62"/>
  <c r="J22" i="62"/>
  <c r="J41" i="62"/>
  <c r="J33" i="62"/>
  <c r="J21" i="62"/>
  <c r="J39" i="62"/>
  <c r="J38" i="62"/>
  <c r="J32" i="62"/>
  <c r="J18" i="62"/>
  <c r="J46" i="62"/>
  <c r="J12" i="62"/>
  <c r="J20" i="62"/>
  <c r="J19" i="62"/>
  <c r="J23" i="62"/>
  <c r="J25" i="62"/>
  <c r="J29" i="62"/>
  <c r="J30" i="62"/>
  <c r="J42" i="62"/>
  <c r="J35" i="62"/>
  <c r="J34" i="62"/>
  <c r="J43" i="62"/>
  <c r="J35" i="64"/>
  <c r="J25" i="64"/>
  <c r="J23" i="64"/>
  <c r="J28" i="64"/>
  <c r="J32" i="64"/>
  <c r="J29" i="64"/>
  <c r="J24" i="64"/>
  <c r="J16" i="64"/>
  <c r="J13" i="64"/>
  <c r="J27" i="64"/>
  <c r="J37" i="64"/>
  <c r="J12" i="64"/>
  <c r="J18" i="64"/>
  <c r="J14" i="64"/>
  <c r="H37" i="64"/>
  <c r="J31" i="64"/>
  <c r="J19" i="64"/>
  <c r="J21" i="64"/>
  <c r="J30" i="64"/>
  <c r="J15" i="64"/>
  <c r="J17" i="64"/>
  <c r="J20" i="64"/>
  <c r="J22" i="64"/>
  <c r="J33" i="64"/>
  <c r="J26" i="64"/>
  <c r="J34" i="64"/>
  <c r="K50" i="48" l="1"/>
  <c r="J13" i="113"/>
  <c r="K23" i="50"/>
  <c r="J27" i="113"/>
  <c r="K40" i="4"/>
  <c r="J20" i="113"/>
  <c r="J46" i="113"/>
  <c r="J14" i="113"/>
  <c r="K34" i="50"/>
  <c r="J44" i="113"/>
  <c r="J34" i="113"/>
  <c r="K36" i="50"/>
  <c r="J43" i="113"/>
  <c r="J35" i="113"/>
  <c r="J36" i="113"/>
  <c r="H46" i="113"/>
  <c r="I46" i="113" s="1"/>
  <c r="J28" i="113"/>
  <c r="J45" i="113"/>
  <c r="J23" i="113"/>
  <c r="J24" i="113"/>
  <c r="K40" i="50"/>
  <c r="J29" i="113"/>
  <c r="J26" i="113"/>
  <c r="J12" i="113"/>
  <c r="J37" i="113"/>
  <c r="K35" i="4"/>
  <c r="J30" i="113"/>
  <c r="J18" i="113"/>
  <c r="J38" i="113"/>
  <c r="J31" i="113"/>
  <c r="J40" i="113"/>
  <c r="J22" i="113"/>
  <c r="K21" i="4"/>
  <c r="K19" i="50"/>
  <c r="K24" i="50"/>
  <c r="K50" i="50"/>
  <c r="K38" i="50"/>
  <c r="K20" i="50"/>
  <c r="K51" i="50"/>
  <c r="K39" i="50"/>
  <c r="K31" i="48"/>
  <c r="K19" i="4"/>
  <c r="K37" i="50"/>
  <c r="K28" i="50"/>
  <c r="I18" i="7"/>
  <c r="K25" i="50"/>
  <c r="K17" i="50"/>
  <c r="K22" i="50"/>
  <c r="K33" i="50"/>
  <c r="I37" i="25"/>
  <c r="I32" i="7" s="1"/>
  <c r="K31" i="50"/>
  <c r="K27" i="50"/>
  <c r="K18" i="50"/>
  <c r="K30" i="50"/>
  <c r="K26" i="50"/>
  <c r="H51" i="50"/>
  <c r="I51" i="50" s="1"/>
  <c r="K32" i="50"/>
  <c r="K21" i="50"/>
  <c r="K29" i="50"/>
  <c r="K47" i="50"/>
  <c r="K15" i="50"/>
  <c r="K16" i="50"/>
  <c r="K41" i="50"/>
  <c r="K35" i="50"/>
  <c r="K47" i="48"/>
  <c r="K18" i="48"/>
  <c r="J43" i="4"/>
  <c r="J14" i="4"/>
  <c r="K34" i="48"/>
  <c r="K23" i="48"/>
  <c r="K22" i="48"/>
  <c r="K17" i="48"/>
  <c r="K16" i="48"/>
  <c r="J32" i="4"/>
  <c r="H32" i="7"/>
  <c r="J42" i="4"/>
  <c r="J27" i="4"/>
  <c r="K48" i="50"/>
  <c r="J12" i="4"/>
  <c r="J34" i="4"/>
  <c r="K29" i="48"/>
  <c r="K21" i="48"/>
  <c r="K15" i="48"/>
  <c r="K27" i="48"/>
  <c r="K38" i="48"/>
  <c r="K37" i="48"/>
  <c r="K20" i="48"/>
  <c r="K25" i="4"/>
  <c r="K33" i="4"/>
  <c r="K41" i="4"/>
  <c r="K24" i="4"/>
  <c r="K35" i="48"/>
  <c r="K25" i="48"/>
  <c r="K33" i="48"/>
  <c r="K39" i="48"/>
  <c r="K40" i="48"/>
  <c r="K41" i="48"/>
  <c r="H51" i="48"/>
  <c r="I51" i="48" s="1"/>
  <c r="K36" i="48"/>
  <c r="K23" i="4"/>
  <c r="K22" i="4"/>
  <c r="K17" i="4"/>
  <c r="K50" i="4"/>
  <c r="J42" i="113"/>
  <c r="J19" i="113"/>
  <c r="J41" i="113"/>
  <c r="J32" i="113"/>
  <c r="J39" i="113"/>
  <c r="J21" i="113"/>
  <c r="K34" i="4"/>
  <c r="K30" i="48"/>
  <c r="K19" i="48"/>
  <c r="K24" i="48"/>
  <c r="K51" i="48"/>
  <c r="K28" i="48"/>
  <c r="K32" i="48"/>
  <c r="K28" i="4"/>
  <c r="K37" i="4"/>
  <c r="K16" i="4"/>
  <c r="J30" i="4"/>
  <c r="J37" i="4"/>
  <c r="J24" i="4"/>
  <c r="K48" i="48"/>
  <c r="K49" i="48"/>
  <c r="J46" i="4"/>
  <c r="J31" i="4"/>
  <c r="J28" i="4"/>
  <c r="J22" i="4"/>
  <c r="J38" i="4"/>
  <c r="J25" i="4"/>
  <c r="J33" i="4"/>
  <c r="J18" i="4"/>
  <c r="J45" i="4"/>
  <c r="K51" i="112"/>
  <c r="K32" i="4"/>
  <c r="K36" i="4"/>
  <c r="K27" i="4"/>
  <c r="H46" i="4"/>
  <c r="I46" i="4" s="1"/>
  <c r="J23" i="4"/>
  <c r="J39" i="4"/>
  <c r="J26" i="4"/>
  <c r="K36" i="112"/>
  <c r="K30" i="4"/>
  <c r="K31" i="4"/>
  <c r="K26" i="4"/>
  <c r="K15" i="4"/>
  <c r="J29" i="4"/>
  <c r="K49" i="4"/>
  <c r="J19" i="4"/>
  <c r="J20" i="4"/>
  <c r="J41" i="4"/>
  <c r="K28" i="112"/>
  <c r="K29" i="4"/>
  <c r="K38" i="4"/>
  <c r="K39" i="4"/>
  <c r="K51" i="4"/>
  <c r="J36" i="4"/>
  <c r="J35" i="4"/>
  <c r="J21" i="4"/>
  <c r="J13" i="4"/>
  <c r="J40" i="4"/>
  <c r="K39" i="112"/>
  <c r="K47" i="4"/>
  <c r="H51" i="4"/>
  <c r="H2" i="7" s="1"/>
  <c r="K20" i="4"/>
  <c r="K18" i="4"/>
  <c r="K21" i="112"/>
  <c r="K16" i="112"/>
  <c r="K50" i="112"/>
  <c r="K25" i="112"/>
  <c r="K41" i="112"/>
  <c r="K38" i="112"/>
  <c r="K23" i="112"/>
  <c r="K26" i="112"/>
  <c r="K19" i="112"/>
  <c r="K40" i="112"/>
  <c r="K17" i="112"/>
  <c r="K31" i="112"/>
  <c r="K15" i="112"/>
  <c r="K34" i="112"/>
  <c r="K29" i="112"/>
  <c r="K18" i="112"/>
  <c r="K27" i="112"/>
  <c r="K48" i="112"/>
  <c r="K35" i="112"/>
  <c r="K49" i="112"/>
  <c r="K30" i="112"/>
  <c r="K24" i="112"/>
  <c r="K20" i="112"/>
  <c r="K37" i="112"/>
  <c r="K47" i="112"/>
  <c r="H51" i="112"/>
  <c r="H4" i="7" s="1"/>
  <c r="K32" i="112"/>
  <c r="K22" i="112"/>
  <c r="H33" i="7"/>
  <c r="I37" i="63"/>
  <c r="J35" i="49"/>
  <c r="J14" i="49"/>
  <c r="J46" i="49"/>
  <c r="J33" i="49"/>
  <c r="J28" i="49"/>
  <c r="J36" i="49"/>
  <c r="J26" i="49"/>
  <c r="J37" i="49"/>
  <c r="J40" i="49"/>
  <c r="J24" i="49"/>
  <c r="J21" i="49"/>
  <c r="J20" i="49"/>
  <c r="J18" i="49"/>
  <c r="J12" i="49"/>
  <c r="H46" i="49"/>
  <c r="I46" i="49" s="1"/>
  <c r="J32" i="49"/>
  <c r="J31" i="49"/>
  <c r="J39" i="49"/>
  <c r="J41" i="49"/>
  <c r="J38" i="49"/>
  <c r="J22" i="49"/>
  <c r="J27" i="49"/>
  <c r="J13" i="49"/>
  <c r="J19" i="49"/>
  <c r="J23" i="49"/>
  <c r="J25" i="49"/>
  <c r="J42" i="49"/>
  <c r="J29" i="49"/>
  <c r="J30" i="49"/>
  <c r="J34" i="49"/>
  <c r="J43" i="49"/>
  <c r="H50" i="113"/>
  <c r="I50" i="113" s="1"/>
  <c r="H45" i="49"/>
  <c r="I45" i="49" s="1"/>
  <c r="J45" i="49"/>
  <c r="H7" i="7"/>
  <c r="I51" i="49"/>
  <c r="I29" i="7"/>
  <c r="I45" i="7"/>
  <c r="I36" i="81"/>
  <c r="H46" i="7"/>
  <c r="J18" i="50"/>
  <c r="J40" i="50"/>
  <c r="J27" i="50"/>
  <c r="J46" i="50"/>
  <c r="J21" i="50"/>
  <c r="J20" i="50"/>
  <c r="J37" i="50"/>
  <c r="J31" i="50"/>
  <c r="J38" i="50"/>
  <c r="J26" i="50"/>
  <c r="J39" i="50"/>
  <c r="J36" i="50"/>
  <c r="J28" i="50"/>
  <c r="H46" i="50"/>
  <c r="I46" i="50" s="1"/>
  <c r="J12" i="50"/>
  <c r="J22" i="50"/>
  <c r="J32" i="50"/>
  <c r="J41" i="50"/>
  <c r="J13" i="50"/>
  <c r="J33" i="50"/>
  <c r="J14" i="50"/>
  <c r="J24" i="50"/>
  <c r="J19" i="50"/>
  <c r="J23" i="50"/>
  <c r="J25" i="50"/>
  <c r="J29" i="50"/>
  <c r="J30" i="50"/>
  <c r="J42" i="50"/>
  <c r="J44" i="50"/>
  <c r="J34" i="50"/>
  <c r="J35" i="50"/>
  <c r="J43" i="50"/>
  <c r="I51" i="116"/>
  <c r="I24" i="7" s="1"/>
  <c r="H24" i="7"/>
  <c r="H34" i="7"/>
  <c r="I37" i="64"/>
  <c r="I30" i="7"/>
  <c r="J45" i="48"/>
  <c r="J28" i="48"/>
  <c r="J20" i="48"/>
  <c r="J41" i="48"/>
  <c r="J38" i="48"/>
  <c r="J31" i="48"/>
  <c r="J21" i="48"/>
  <c r="J37" i="48"/>
  <c r="J40" i="48"/>
  <c r="J26" i="48"/>
  <c r="J12" i="48"/>
  <c r="J14" i="48"/>
  <c r="J32" i="48"/>
  <c r="H46" i="48"/>
  <c r="I46" i="48" s="1"/>
  <c r="J36" i="48"/>
  <c r="J24" i="48"/>
  <c r="J18" i="48"/>
  <c r="J13" i="48"/>
  <c r="J27" i="48"/>
  <c r="J39" i="48"/>
  <c r="J46" i="48"/>
  <c r="J22" i="48"/>
  <c r="J33" i="48"/>
  <c r="J19" i="48"/>
  <c r="J23" i="48"/>
  <c r="J25" i="48"/>
  <c r="J30" i="48"/>
  <c r="J42" i="48"/>
  <c r="J29" i="48"/>
  <c r="J43" i="48"/>
  <c r="J44" i="48"/>
  <c r="J35" i="48"/>
  <c r="J34" i="48"/>
  <c r="G46" i="47"/>
  <c r="J22" i="47" s="1"/>
  <c r="G51" i="47"/>
  <c r="I25" i="7"/>
  <c r="I21" i="7"/>
  <c r="G46" i="112"/>
  <c r="J22" i="112" s="1"/>
  <c r="H45" i="112"/>
  <c r="I45" i="112" s="1"/>
  <c r="I28" i="7"/>
  <c r="I51" i="46"/>
  <c r="H3" i="7"/>
  <c r="G51" i="113"/>
  <c r="J44" i="49"/>
  <c r="H6" i="7" l="1"/>
  <c r="H9" i="7"/>
  <c r="I51" i="4"/>
  <c r="I51" i="112"/>
  <c r="I4" i="7" s="1"/>
  <c r="J45" i="112"/>
  <c r="K50" i="47"/>
  <c r="K24" i="47"/>
  <c r="K40" i="47"/>
  <c r="K33" i="47"/>
  <c r="K26" i="47"/>
  <c r="K36" i="47"/>
  <c r="K16" i="47"/>
  <c r="K18" i="47"/>
  <c r="K21" i="47"/>
  <c r="K39" i="47"/>
  <c r="K32" i="47"/>
  <c r="K38" i="47"/>
  <c r="K37" i="47"/>
  <c r="K28" i="47"/>
  <c r="K51" i="47"/>
  <c r="H51" i="47"/>
  <c r="K22" i="47"/>
  <c r="K31" i="47"/>
  <c r="K17" i="47"/>
  <c r="K41" i="47"/>
  <c r="K20" i="47"/>
  <c r="K15" i="47"/>
  <c r="K27" i="47"/>
  <c r="K19" i="47"/>
  <c r="K23" i="47"/>
  <c r="K25" i="47"/>
  <c r="K29" i="47"/>
  <c r="K30" i="47"/>
  <c r="K47" i="47"/>
  <c r="K34" i="47"/>
  <c r="K35" i="47"/>
  <c r="K48" i="47"/>
  <c r="K49" i="47"/>
  <c r="I9" i="7"/>
  <c r="J45" i="47"/>
  <c r="J24" i="47"/>
  <c r="J39" i="47"/>
  <c r="J41" i="47"/>
  <c r="J20" i="47"/>
  <c r="J12" i="47"/>
  <c r="J38" i="47"/>
  <c r="H46" i="47"/>
  <c r="I46" i="47" s="1"/>
  <c r="J21" i="47"/>
  <c r="J36" i="47"/>
  <c r="J40" i="47"/>
  <c r="J18" i="47"/>
  <c r="J28" i="47"/>
  <c r="J26" i="47"/>
  <c r="J33" i="47"/>
  <c r="J46" i="47"/>
  <c r="J31" i="47"/>
  <c r="J37" i="47"/>
  <c r="J27" i="47"/>
  <c r="J13" i="47"/>
  <c r="J32" i="47"/>
  <c r="J14" i="47"/>
  <c r="J19" i="47"/>
  <c r="J23" i="47"/>
  <c r="J25" i="47"/>
  <c r="J30" i="47"/>
  <c r="J29" i="47"/>
  <c r="J42" i="47"/>
  <c r="J34" i="47"/>
  <c r="J43" i="47"/>
  <c r="J35" i="47"/>
  <c r="J44" i="47"/>
  <c r="I6" i="7"/>
  <c r="I3" i="7"/>
  <c r="I34" i="7"/>
  <c r="J44" i="112"/>
  <c r="J26" i="112"/>
  <c r="J12" i="112"/>
  <c r="J32" i="112"/>
  <c r="J27" i="112"/>
  <c r="J41" i="112"/>
  <c r="J39" i="112"/>
  <c r="J20" i="112"/>
  <c r="J18" i="112"/>
  <c r="J38" i="112"/>
  <c r="J21" i="112"/>
  <c r="J31" i="112"/>
  <c r="J33" i="112"/>
  <c r="J36" i="112"/>
  <c r="J24" i="112"/>
  <c r="J37" i="112"/>
  <c r="J40" i="112"/>
  <c r="H46" i="112"/>
  <c r="I46" i="112" s="1"/>
  <c r="J14" i="112"/>
  <c r="J13" i="112"/>
  <c r="J46" i="112"/>
  <c r="J28" i="112"/>
  <c r="J19" i="112"/>
  <c r="J23" i="112"/>
  <c r="J25" i="112"/>
  <c r="J30" i="112"/>
  <c r="J29" i="112"/>
  <c r="J42" i="112"/>
  <c r="J43" i="112"/>
  <c r="J35" i="112"/>
  <c r="J34" i="112"/>
  <c r="I33" i="7"/>
  <c r="K39" i="113"/>
  <c r="K37" i="113"/>
  <c r="K33" i="113"/>
  <c r="K22" i="113"/>
  <c r="K32" i="113"/>
  <c r="K24" i="113"/>
  <c r="K18" i="113"/>
  <c r="H51" i="113"/>
  <c r="K15" i="113"/>
  <c r="K28" i="113"/>
  <c r="K16" i="113"/>
  <c r="K31" i="113"/>
  <c r="K17" i="113"/>
  <c r="K26" i="113"/>
  <c r="K41" i="113"/>
  <c r="K20" i="113"/>
  <c r="K36" i="113"/>
  <c r="K27" i="113"/>
  <c r="K38" i="113"/>
  <c r="K51" i="113"/>
  <c r="K40" i="113"/>
  <c r="K21" i="113"/>
  <c r="K19" i="113"/>
  <c r="K23" i="113"/>
  <c r="K25" i="113"/>
  <c r="K29" i="113"/>
  <c r="K30" i="113"/>
  <c r="K47" i="113"/>
  <c r="K34" i="113"/>
  <c r="K48" i="113"/>
  <c r="K35" i="113"/>
  <c r="K49" i="113"/>
  <c r="I46" i="7"/>
  <c r="I7" i="7"/>
  <c r="K50" i="113"/>
  <c r="I2" i="7" l="1"/>
  <c r="I51" i="113"/>
  <c r="I8" i="7" s="1"/>
  <c r="H8" i="7"/>
  <c r="I51" i="47"/>
  <c r="H5" i="7"/>
  <c r="I5" i="7" l="1"/>
  <c r="Q5" i="3" l="1"/>
  <c r="F19" i="53" l="1"/>
  <c r="G19" i="53" s="1"/>
  <c r="F19" i="114"/>
  <c r="G19" i="114" s="1"/>
  <c r="F19" i="52"/>
  <c r="G19" i="52" s="1"/>
  <c r="F19" i="51"/>
  <c r="G19" i="51" s="1"/>
  <c r="H19" i="52" l="1"/>
  <c r="I19" i="52" s="1"/>
  <c r="G25" i="52"/>
  <c r="G25" i="114"/>
  <c r="H19" i="114"/>
  <c r="I19" i="114" s="1"/>
  <c r="H19" i="51"/>
  <c r="I19" i="51" s="1"/>
  <c r="G25" i="51"/>
  <c r="H19" i="53"/>
  <c r="I19" i="53" s="1"/>
  <c r="G25" i="53"/>
  <c r="H25" i="51" l="1"/>
  <c r="G47" i="51"/>
  <c r="G50" i="51" s="1"/>
  <c r="G30" i="51"/>
  <c r="G42" i="51"/>
  <c r="G45" i="51" s="1"/>
  <c r="G29" i="51"/>
  <c r="G30" i="52"/>
  <c r="G29" i="52"/>
  <c r="G42" i="52"/>
  <c r="G45" i="52" s="1"/>
  <c r="G47" i="52"/>
  <c r="G50" i="52" s="1"/>
  <c r="H25" i="52"/>
  <c r="G30" i="53"/>
  <c r="G42" i="53"/>
  <c r="G45" i="53" s="1"/>
  <c r="G29" i="53"/>
  <c r="G47" i="53"/>
  <c r="G50" i="53" s="1"/>
  <c r="H25" i="53"/>
  <c r="G47" i="114"/>
  <c r="G50" i="114" s="1"/>
  <c r="H25" i="114"/>
  <c r="G30" i="114"/>
  <c r="G42" i="114"/>
  <c r="G45" i="114" s="1"/>
  <c r="G29" i="114"/>
  <c r="G43" i="53" l="1"/>
  <c r="G44" i="53" s="1"/>
  <c r="H42" i="53"/>
  <c r="I42" i="53" s="1"/>
  <c r="G43" i="51"/>
  <c r="G44" i="51" s="1"/>
  <c r="H42" i="51"/>
  <c r="I42" i="51" s="1"/>
  <c r="G35" i="114"/>
  <c r="H30" i="114"/>
  <c r="I30" i="114" s="1"/>
  <c r="H30" i="53"/>
  <c r="I30" i="53" s="1"/>
  <c r="G35" i="53"/>
  <c r="F13" i="7"/>
  <c r="I25" i="53"/>
  <c r="G13" i="7" s="1"/>
  <c r="G48" i="52"/>
  <c r="G49" i="52" s="1"/>
  <c r="H47" i="52"/>
  <c r="I47" i="52" s="1"/>
  <c r="G35" i="51"/>
  <c r="H30" i="51"/>
  <c r="I30" i="51" s="1"/>
  <c r="F12" i="7"/>
  <c r="I25" i="114"/>
  <c r="G12" i="7" s="1"/>
  <c r="H29" i="114"/>
  <c r="I29" i="114" s="1"/>
  <c r="G34" i="114"/>
  <c r="G43" i="52"/>
  <c r="G44" i="52" s="1"/>
  <c r="H42" i="52"/>
  <c r="I42" i="52" s="1"/>
  <c r="G48" i="51"/>
  <c r="G49" i="51" s="1"/>
  <c r="H47" i="51"/>
  <c r="I47" i="51" s="1"/>
  <c r="G35" i="52"/>
  <c r="H30" i="52"/>
  <c r="I30" i="52" s="1"/>
  <c r="H47" i="114"/>
  <c r="I47" i="114" s="1"/>
  <c r="G48" i="114"/>
  <c r="G49" i="114" s="1"/>
  <c r="G34" i="51"/>
  <c r="H29" i="51"/>
  <c r="I29" i="51" s="1"/>
  <c r="F11" i="7"/>
  <c r="I25" i="52"/>
  <c r="G11" i="7" s="1"/>
  <c r="H47" i="53"/>
  <c r="I47" i="53" s="1"/>
  <c r="G48" i="53"/>
  <c r="H42" i="114"/>
  <c r="I42" i="114" s="1"/>
  <c r="G43" i="114"/>
  <c r="G44" i="114" s="1"/>
  <c r="H29" i="53"/>
  <c r="I29" i="53" s="1"/>
  <c r="G34" i="53"/>
  <c r="H29" i="52"/>
  <c r="I29" i="52" s="1"/>
  <c r="G34" i="52"/>
  <c r="F10" i="7"/>
  <c r="I25" i="51"/>
  <c r="G10" i="7" s="1"/>
  <c r="H44" i="114" l="1"/>
  <c r="I44" i="114" s="1"/>
  <c r="G46" i="114"/>
  <c r="H34" i="53"/>
  <c r="I34" i="53" s="1"/>
  <c r="H34" i="114"/>
  <c r="I34" i="114" s="1"/>
  <c r="H48" i="53"/>
  <c r="I48" i="53" s="1"/>
  <c r="H49" i="51"/>
  <c r="I49" i="51" s="1"/>
  <c r="H50" i="51"/>
  <c r="I50" i="51" s="1"/>
  <c r="H35" i="53"/>
  <c r="I35" i="53" s="1"/>
  <c r="G51" i="52"/>
  <c r="H49" i="52"/>
  <c r="I49" i="52" s="1"/>
  <c r="H44" i="52"/>
  <c r="I44" i="52" s="1"/>
  <c r="H48" i="52"/>
  <c r="I48" i="52" s="1"/>
  <c r="H45" i="53"/>
  <c r="I45" i="53" s="1"/>
  <c r="H44" i="53"/>
  <c r="I44" i="53" s="1"/>
  <c r="H35" i="51"/>
  <c r="I35" i="51" s="1"/>
  <c r="H43" i="114"/>
  <c r="I43" i="114" s="1"/>
  <c r="H48" i="51"/>
  <c r="I48" i="51" s="1"/>
  <c r="H43" i="51"/>
  <c r="I43" i="51" s="1"/>
  <c r="H34" i="52"/>
  <c r="I34" i="52" s="1"/>
  <c r="H49" i="114"/>
  <c r="I49" i="114" s="1"/>
  <c r="H50" i="114"/>
  <c r="I50" i="114" s="1"/>
  <c r="G46" i="51"/>
  <c r="J44" i="51" s="1"/>
  <c r="H44" i="51"/>
  <c r="I44" i="51" s="1"/>
  <c r="H48" i="114"/>
  <c r="I48" i="114" s="1"/>
  <c r="G49" i="53"/>
  <c r="H34" i="51"/>
  <c r="I34" i="51" s="1"/>
  <c r="H35" i="52"/>
  <c r="I35" i="52" s="1"/>
  <c r="H43" i="52"/>
  <c r="I43" i="52" s="1"/>
  <c r="H35" i="114"/>
  <c r="I35" i="114" s="1"/>
  <c r="H43" i="53"/>
  <c r="I43" i="53" s="1"/>
  <c r="G51" i="114" l="1"/>
  <c r="K49" i="114" s="1"/>
  <c r="J43" i="114"/>
  <c r="J35" i="114"/>
  <c r="J44" i="114"/>
  <c r="K34" i="52"/>
  <c r="K49" i="52"/>
  <c r="G46" i="53"/>
  <c r="J44" i="53" s="1"/>
  <c r="G51" i="51"/>
  <c r="H51" i="51" s="1"/>
  <c r="K48" i="52"/>
  <c r="H50" i="52"/>
  <c r="I50" i="52" s="1"/>
  <c r="K50" i="52"/>
  <c r="J22" i="51"/>
  <c r="J37" i="51"/>
  <c r="J33" i="51"/>
  <c r="J40" i="51"/>
  <c r="H46" i="51"/>
  <c r="I46" i="51" s="1"/>
  <c r="J26" i="51"/>
  <c r="J46" i="51"/>
  <c r="J18" i="51"/>
  <c r="J12" i="51"/>
  <c r="J27" i="51"/>
  <c r="J13" i="51"/>
  <c r="J28" i="51"/>
  <c r="J24" i="51"/>
  <c r="J38" i="51"/>
  <c r="J20" i="51"/>
  <c r="J36" i="51"/>
  <c r="J31" i="51"/>
  <c r="J14" i="51"/>
  <c r="J32" i="51"/>
  <c r="J23" i="51"/>
  <c r="J21" i="51"/>
  <c r="J39" i="51"/>
  <c r="J41" i="51"/>
  <c r="J19" i="51"/>
  <c r="J25" i="51"/>
  <c r="J42" i="51"/>
  <c r="J30" i="51"/>
  <c r="J29" i="51"/>
  <c r="J35" i="51"/>
  <c r="J41" i="114"/>
  <c r="J40" i="114"/>
  <c r="J38" i="114"/>
  <c r="H46" i="114"/>
  <c r="I46" i="114" s="1"/>
  <c r="J13" i="114"/>
  <c r="J46" i="114"/>
  <c r="J32" i="114"/>
  <c r="J14" i="114"/>
  <c r="J31" i="114"/>
  <c r="J18" i="114"/>
  <c r="J37" i="114"/>
  <c r="J28" i="114"/>
  <c r="J23" i="114"/>
  <c r="J24" i="114"/>
  <c r="J36" i="114"/>
  <c r="J26" i="114"/>
  <c r="J12" i="114"/>
  <c r="J21" i="114"/>
  <c r="J33" i="114"/>
  <c r="J20" i="114"/>
  <c r="J27" i="114"/>
  <c r="J22" i="114"/>
  <c r="J39" i="114"/>
  <c r="J19" i="114"/>
  <c r="J25" i="114"/>
  <c r="J42" i="114"/>
  <c r="J30" i="114"/>
  <c r="J29" i="114"/>
  <c r="G51" i="53"/>
  <c r="H49" i="53"/>
  <c r="I49" i="53" s="1"/>
  <c r="K35" i="52"/>
  <c r="J34" i="51"/>
  <c r="H45" i="114"/>
  <c r="I45" i="114" s="1"/>
  <c r="J45" i="114"/>
  <c r="K28" i="52"/>
  <c r="K23" i="52"/>
  <c r="K39" i="52"/>
  <c r="K27" i="52"/>
  <c r="K38" i="52"/>
  <c r="K40" i="52"/>
  <c r="K32" i="52"/>
  <c r="H51" i="52"/>
  <c r="K17" i="52"/>
  <c r="K26" i="52"/>
  <c r="K22" i="52"/>
  <c r="K16" i="52"/>
  <c r="K21" i="52"/>
  <c r="K31" i="52"/>
  <c r="K24" i="52"/>
  <c r="K36" i="52"/>
  <c r="K37" i="52"/>
  <c r="K18" i="52"/>
  <c r="K51" i="52"/>
  <c r="K41" i="52"/>
  <c r="K15" i="52"/>
  <c r="K33" i="52"/>
  <c r="K20" i="52"/>
  <c r="K19" i="52"/>
  <c r="K25" i="52"/>
  <c r="K29" i="52"/>
  <c r="K47" i="52"/>
  <c r="K30" i="52"/>
  <c r="J45" i="51"/>
  <c r="H45" i="51"/>
  <c r="I45" i="51" s="1"/>
  <c r="J43" i="51"/>
  <c r="G46" i="52"/>
  <c r="J45" i="52" s="1"/>
  <c r="H45" i="52"/>
  <c r="I45" i="52" s="1"/>
  <c r="J34" i="114"/>
  <c r="K48" i="114" l="1"/>
  <c r="K35" i="114"/>
  <c r="K38" i="114"/>
  <c r="K37" i="114"/>
  <c r="K24" i="114"/>
  <c r="K30" i="114"/>
  <c r="K41" i="114"/>
  <c r="K17" i="114"/>
  <c r="K22" i="114"/>
  <c r="K50" i="114"/>
  <c r="K40" i="114"/>
  <c r="K21" i="114"/>
  <c r="K19" i="114"/>
  <c r="K32" i="114"/>
  <c r="K33" i="114"/>
  <c r="J43" i="53"/>
  <c r="K34" i="114"/>
  <c r="K29" i="114"/>
  <c r="K36" i="114"/>
  <c r="K39" i="114"/>
  <c r="K23" i="114"/>
  <c r="J29" i="53"/>
  <c r="J37" i="53"/>
  <c r="J26" i="53"/>
  <c r="H46" i="53"/>
  <c r="I46" i="53" s="1"/>
  <c r="K22" i="51"/>
  <c r="K25" i="114"/>
  <c r="K20" i="114"/>
  <c r="H51" i="114"/>
  <c r="I51" i="114" s="1"/>
  <c r="I12" i="7" s="1"/>
  <c r="K26" i="114"/>
  <c r="K27" i="114"/>
  <c r="J32" i="53"/>
  <c r="J27" i="53"/>
  <c r="K16" i="51"/>
  <c r="J30" i="53"/>
  <c r="J46" i="53"/>
  <c r="J21" i="53"/>
  <c r="K32" i="51"/>
  <c r="K47" i="114"/>
  <c r="K51" i="114"/>
  <c r="K28" i="114"/>
  <c r="K18" i="114"/>
  <c r="K31" i="114"/>
  <c r="K15" i="114"/>
  <c r="K16" i="114"/>
  <c r="K29" i="51"/>
  <c r="K31" i="51"/>
  <c r="K34" i="51"/>
  <c r="K20" i="51"/>
  <c r="K27" i="51"/>
  <c r="J41" i="53"/>
  <c r="J18" i="53"/>
  <c r="J39" i="53"/>
  <c r="J40" i="53"/>
  <c r="J31" i="53"/>
  <c r="K30" i="51"/>
  <c r="K38" i="51"/>
  <c r="K26" i="51"/>
  <c r="K28" i="51"/>
  <c r="K36" i="51"/>
  <c r="K25" i="51"/>
  <c r="K41" i="51"/>
  <c r="K24" i="51"/>
  <c r="K21" i="51"/>
  <c r="K15" i="51"/>
  <c r="K40" i="51"/>
  <c r="J34" i="53"/>
  <c r="J25" i="53"/>
  <c r="J33" i="53"/>
  <c r="J24" i="53"/>
  <c r="J20" i="53"/>
  <c r="J23" i="53"/>
  <c r="J28" i="53"/>
  <c r="J12" i="53"/>
  <c r="K35" i="51"/>
  <c r="K49" i="51"/>
  <c r="K48" i="51"/>
  <c r="K17" i="51"/>
  <c r="K23" i="51"/>
  <c r="K47" i="51"/>
  <c r="K19" i="51"/>
  <c r="K33" i="51"/>
  <c r="K39" i="51"/>
  <c r="K51" i="51"/>
  <c r="K18" i="51"/>
  <c r="K37" i="51"/>
  <c r="K50" i="51"/>
  <c r="J35" i="53"/>
  <c r="J42" i="53"/>
  <c r="J19" i="53"/>
  <c r="J14" i="53"/>
  <c r="J13" i="53"/>
  <c r="J22" i="53"/>
  <c r="J36" i="53"/>
  <c r="J38" i="53"/>
  <c r="J45" i="53"/>
  <c r="K32" i="53"/>
  <c r="K31" i="53"/>
  <c r="K41" i="53"/>
  <c r="K28" i="53"/>
  <c r="K20" i="53"/>
  <c r="K23" i="53"/>
  <c r="K18" i="53"/>
  <c r="K33" i="53"/>
  <c r="K16" i="53"/>
  <c r="K40" i="53"/>
  <c r="K15" i="53"/>
  <c r="K17" i="53"/>
  <c r="K22" i="53"/>
  <c r="K27" i="53"/>
  <c r="K36" i="53"/>
  <c r="K26" i="53"/>
  <c r="K51" i="53"/>
  <c r="K39" i="53"/>
  <c r="K37" i="53"/>
  <c r="K24" i="53"/>
  <c r="K21" i="53"/>
  <c r="H51" i="53"/>
  <c r="K38" i="53"/>
  <c r="K19" i="53"/>
  <c r="K25" i="53"/>
  <c r="K47" i="53"/>
  <c r="K29" i="53"/>
  <c r="K30" i="53"/>
  <c r="K34" i="53"/>
  <c r="K35" i="53"/>
  <c r="K48" i="53"/>
  <c r="K49" i="53"/>
  <c r="I51" i="51"/>
  <c r="I10" i="7" s="1"/>
  <c r="H10" i="7"/>
  <c r="J23" i="52"/>
  <c r="J24" i="52"/>
  <c r="J28" i="52"/>
  <c r="J41" i="52"/>
  <c r="J22" i="52"/>
  <c r="J26" i="52"/>
  <c r="J20" i="52"/>
  <c r="J39" i="52"/>
  <c r="J14" i="52"/>
  <c r="H46" i="52"/>
  <c r="I46" i="52" s="1"/>
  <c r="J36" i="52"/>
  <c r="J37" i="52"/>
  <c r="J13" i="52"/>
  <c r="J18" i="52"/>
  <c r="J32" i="52"/>
  <c r="J33" i="52"/>
  <c r="J31" i="52"/>
  <c r="J12" i="52"/>
  <c r="J21" i="52"/>
  <c r="J27" i="52"/>
  <c r="J46" i="52"/>
  <c r="J40" i="52"/>
  <c r="J38" i="52"/>
  <c r="J19" i="52"/>
  <c r="J25" i="52"/>
  <c r="J30" i="52"/>
  <c r="J29" i="52"/>
  <c r="J42" i="52"/>
  <c r="J44" i="52"/>
  <c r="J34" i="52"/>
  <c r="J35" i="52"/>
  <c r="J43" i="52"/>
  <c r="H11" i="7"/>
  <c r="I51" i="52"/>
  <c r="I11" i="7" s="1"/>
  <c r="K50" i="53"/>
  <c r="H50" i="53"/>
  <c r="I50" i="53" s="1"/>
  <c r="H12" i="7" l="1"/>
  <c r="H13" i="7"/>
  <c r="I51" i="53"/>
  <c r="I13" i="7" s="1"/>
</calcChain>
</file>

<file path=xl/comments1.xml><?xml version="1.0" encoding="utf-8"?>
<comments xmlns="http://schemas.openxmlformats.org/spreadsheetml/2006/main">
  <authors>
    <author>SHETH Nikita</author>
    <author>Yun(Eva) Gao</author>
    <author>KIM Susan</author>
    <author>AKSELRUD Uri</author>
  </authors>
  <commentList>
    <comment ref="K2" authorId="0">
      <text>
        <r>
          <rPr>
            <b/>
            <sz val="8"/>
            <color indexed="81"/>
            <rFont val="Tahoma"/>
            <family val="2"/>
          </rPr>
          <t>SHETH Nikita:</t>
        </r>
        <r>
          <rPr>
            <sz val="8"/>
            <color indexed="81"/>
            <rFont val="Tahoma"/>
            <family val="2"/>
          </rPr>
          <t xml:space="preserve">
Forgone revenue rider is not taken into account when comparing bill impacts of 2017 rates over 2016. Same approach as 2016.</t>
        </r>
      </text>
    </comment>
    <comment ref="L2" authorId="0">
      <text>
        <r>
          <rPr>
            <b/>
            <sz val="8"/>
            <color indexed="81"/>
            <rFont val="Tahoma"/>
            <family val="2"/>
          </rPr>
          <t>SHETH Nikita:</t>
        </r>
        <r>
          <rPr>
            <sz val="8"/>
            <color indexed="81"/>
            <rFont val="Tahoma"/>
            <family val="2"/>
          </rPr>
          <t xml:space="preserve">
Forgone revenue rider is not taken into account when comparing bill impacts of 2017 rates over 2016. Same approach as 2016.</t>
        </r>
      </text>
    </comment>
    <comment ref="W2" authorId="1">
      <text>
        <r>
          <rPr>
            <sz val="8"/>
            <color indexed="81"/>
            <rFont val="Tahoma"/>
            <family val="2"/>
          </rPr>
          <t>INCLUDES NEW RSVA WMSC FOR CLASS B ONLY</t>
        </r>
      </text>
    </comment>
    <comment ref="G5" authorId="2">
      <text>
        <r>
          <rPr>
            <b/>
            <sz val="8"/>
            <color indexed="81"/>
            <rFont val="Tahoma"/>
            <family val="2"/>
          </rPr>
          <t>KIM Susan:</t>
        </r>
        <r>
          <rPr>
            <sz val="8"/>
            <color indexed="81"/>
            <rFont val="Tahoma"/>
            <family val="2"/>
          </rPr>
          <t xml:space="preserve">
includes RRRP credit
</t>
        </r>
      </text>
    </comment>
    <comment ref="Y12" authorId="3">
      <text>
        <r>
          <rPr>
            <sz val="9"/>
            <color indexed="81"/>
            <rFont val="Tahoma"/>
            <family val="2"/>
          </rPr>
          <t>uplifted for applicable line losses</t>
        </r>
      </text>
    </comment>
    <comment ref="Y13" authorId="3">
      <text>
        <r>
          <rPr>
            <sz val="9"/>
            <color indexed="81"/>
            <rFont val="Tahoma"/>
            <family val="2"/>
          </rPr>
          <t>uplifted for applicable line losses</t>
        </r>
      </text>
    </comment>
    <comment ref="Y14" authorId="3">
      <text>
        <r>
          <rPr>
            <sz val="9"/>
            <color indexed="81"/>
            <rFont val="Tahoma"/>
            <family val="2"/>
          </rPr>
          <t>uplifted for applicable line losses</t>
        </r>
      </text>
    </comment>
    <comment ref="Q15" authorId="2">
      <text>
        <r>
          <rPr>
            <sz val="8"/>
            <color indexed="81"/>
            <rFont val="Tahoma"/>
            <family val="2"/>
          </rPr>
          <t>from ST rate model, not rate design</t>
        </r>
      </text>
    </comment>
    <comment ref="S15" authorId="2">
      <text>
        <r>
          <rPr>
            <sz val="8"/>
            <color indexed="81"/>
            <rFont val="Tahoma"/>
            <family val="2"/>
          </rPr>
          <t>ST common line charge determinant</t>
        </r>
      </text>
    </comment>
    <comment ref="Y15" authorId="2">
      <text>
        <r>
          <rPr>
            <sz val="8"/>
            <color indexed="81"/>
            <rFont val="Tahoma"/>
            <family val="2"/>
          </rPr>
          <t>uplifted for applicable line losses</t>
        </r>
      </text>
    </comment>
  </commentList>
</comments>
</file>

<file path=xl/comments2.xml><?xml version="1.0" encoding="utf-8"?>
<comments xmlns="http://schemas.openxmlformats.org/spreadsheetml/2006/main">
  <authors>
    <author>SHETH Nikita</author>
  </authors>
  <commentList>
    <comment ref="A46"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 ref="A50"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List>
</comments>
</file>

<file path=xl/comments3.xml><?xml version="1.0" encoding="utf-8"?>
<comments xmlns="http://schemas.openxmlformats.org/spreadsheetml/2006/main">
  <authors>
    <author>SHETH Nikita</author>
  </authors>
  <commentList>
    <comment ref="A46"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 ref="A50" authorId="0">
      <text>
        <r>
          <rPr>
            <b/>
            <sz val="8"/>
            <color indexed="81"/>
            <rFont val="Tahoma"/>
            <family val="2"/>
          </rPr>
          <t>SHETH Nikita:</t>
        </r>
        <r>
          <rPr>
            <sz val="8"/>
            <color indexed="81"/>
            <rFont val="Tahoma"/>
            <family val="2"/>
          </rPr>
          <t xml:space="preserve">
OCEB only applies to first 3000 kWh per month. So the model was run at 3000 kWh and the OCEB from that OCEB value is then applied here for 15000 kWh</t>
        </r>
      </text>
    </comment>
  </commentList>
</comments>
</file>

<file path=xl/sharedStrings.xml><?xml version="1.0" encoding="utf-8"?>
<sst xmlns="http://schemas.openxmlformats.org/spreadsheetml/2006/main" count="2507" uniqueCount="123">
  <si>
    <t>UR</t>
  </si>
  <si>
    <t>R1</t>
  </si>
  <si>
    <t>R2</t>
  </si>
  <si>
    <t>Seasonal</t>
  </si>
  <si>
    <t>GSe</t>
  </si>
  <si>
    <t>GSd</t>
  </si>
  <si>
    <t>UGe</t>
  </si>
  <si>
    <t>UGd</t>
  </si>
  <si>
    <t>St Lgt</t>
  </si>
  <si>
    <t>Sen Lgt</t>
  </si>
  <si>
    <t>Dgen</t>
  </si>
  <si>
    <t>ST</t>
  </si>
  <si>
    <t>USL</t>
  </si>
  <si>
    <t>Rate Class</t>
  </si>
  <si>
    <t>Loss Factor</t>
  </si>
  <si>
    <t>Commodity Threshold</t>
  </si>
  <si>
    <t>Peak (kW)</t>
  </si>
  <si>
    <t>Charge Determinant</t>
  </si>
  <si>
    <t>kWh</t>
  </si>
  <si>
    <t>kW</t>
  </si>
  <si>
    <t>Loss factor</t>
  </si>
  <si>
    <t>Charge determinant</t>
  </si>
  <si>
    <t>Volume</t>
  </si>
  <si>
    <t>Current Rate ($)</t>
  </si>
  <si>
    <t>Current Charge ($)</t>
  </si>
  <si>
    <t>Proposed Rate ($)</t>
  </si>
  <si>
    <t>Proposed Charge ($)</t>
  </si>
  <si>
    <t>Change ($)</t>
  </si>
  <si>
    <t>Change (%)</t>
  </si>
  <si>
    <t>% of Total Bill on RPP</t>
  </si>
  <si>
    <t>% of Total Bill on TOU</t>
  </si>
  <si>
    <t>Energy First Tier (kWh)</t>
  </si>
  <si>
    <t>Energy Second Tier (kWh)</t>
  </si>
  <si>
    <t>Sub-Total:  Energy (RPP)</t>
  </si>
  <si>
    <t>TOU-Off Peak</t>
  </si>
  <si>
    <t>TOU-Mid Peak</t>
  </si>
  <si>
    <t>TOU-On Peak</t>
  </si>
  <si>
    <t>Sub-Total:  Energy (TOU)</t>
  </si>
  <si>
    <t>Service Charge</t>
  </si>
  <si>
    <t>Distribution Volumetric Rate</t>
  </si>
  <si>
    <t>Retail Transmission Rate – Network Service Rate</t>
  </si>
  <si>
    <t>Retail Transmission Rate – Line and Transformation Connection Service Rate</t>
  </si>
  <si>
    <t xml:space="preserve">Wholesale Market Service Rate </t>
  </si>
  <si>
    <t>Rural Rate Protection Charge</t>
  </si>
  <si>
    <t>Standard Supply Service – Administration Charge (if applicable)</t>
  </si>
  <si>
    <t>Sub-Total:  Regulatory</t>
  </si>
  <si>
    <t>Debt Retirement Charge (DRC)</t>
  </si>
  <si>
    <t>DGen</t>
  </si>
  <si>
    <t>Load factor</t>
  </si>
  <si>
    <t xml:space="preserve">% of Total Bill </t>
  </si>
  <si>
    <t>TOU</t>
  </si>
  <si>
    <t>Current Variable Charge ($/kWh or $/kW))</t>
  </si>
  <si>
    <t>Smart Metering Entity Charge ($/month)</t>
  </si>
  <si>
    <t>Smart Meter Adder ($/month)</t>
  </si>
  <si>
    <t>Current Fixed Charge ($/month)</t>
  </si>
  <si>
    <t>Proposed Fixed Charge ($/month)</t>
  </si>
  <si>
    <t>Proposed RTSR-NW ($/kWh or $/kW)</t>
  </si>
  <si>
    <t>Proposed volumetric Charge ($/kWh or $/kW)</t>
  </si>
  <si>
    <t>Current RTSR-NW ($/kWh or $/kW)</t>
  </si>
  <si>
    <t>Current RTSR-CONN ($/kWh or $/kW)</t>
  </si>
  <si>
    <t>Low</t>
  </si>
  <si>
    <t>High</t>
  </si>
  <si>
    <t>Monthly Consumption (kWh)</t>
  </si>
  <si>
    <t>Change in DX Bill ($)</t>
  </si>
  <si>
    <t>Change in Total Bill ($)</t>
  </si>
  <si>
    <t>Change in DX Bill (%)</t>
  </si>
  <si>
    <t>Change in Total Bill (%)</t>
  </si>
  <si>
    <t>Consumption Level</t>
  </si>
  <si>
    <t>Monthly Peak (kW)</t>
  </si>
  <si>
    <t>Commodity Price Used</t>
  </si>
  <si>
    <t>RPP Tier 1 (assumed RPP Tier 1 price is close to WAHSP)</t>
  </si>
  <si>
    <t>Avg Monthly Peak (kW)</t>
  </si>
  <si>
    <t>Sub-Total:  Distribution (excluding pass through)</t>
  </si>
  <si>
    <t>Smart Metering Entity Charge</t>
  </si>
  <si>
    <t>Line Losses on Cost of Power (based on TOU prices)</t>
  </si>
  <si>
    <t>Line Losses on Cost of Power (based on two-tier RPP prices)</t>
  </si>
  <si>
    <t xml:space="preserve">Sub-Total:  Retail Transmission </t>
  </si>
  <si>
    <t>Sub-Total:  Distribution (based on TOU prices)</t>
  </si>
  <si>
    <t>Sub-Total:  Distribution (based on two-tier RPP prices)</t>
  </si>
  <si>
    <t xml:space="preserve">Sub-Total:  Distribution </t>
  </si>
  <si>
    <t xml:space="preserve">Sub-Total:  Delivery </t>
  </si>
  <si>
    <t xml:space="preserve">Line Losses on Cost of Power </t>
  </si>
  <si>
    <t>Monthly Consumption (kWh) - Uplifted</t>
  </si>
  <si>
    <t>Smart Meter Adder</t>
  </si>
  <si>
    <t>Fixed Smoothing Rider</t>
  </si>
  <si>
    <t>Fixed Deferral/Variance Account Rider</t>
  </si>
  <si>
    <t>Proposed Def/VA rate rider Volumetric($/kWh or $/kW)</t>
  </si>
  <si>
    <t>Proposed Def/VA rate rider Fixed ($/month)</t>
  </si>
  <si>
    <t>Current Def/VA rate rider Fixed ($/month)</t>
  </si>
  <si>
    <t>Current Def/VA rate rider Volumetric ($/kWh or $/kW)</t>
  </si>
  <si>
    <t>Typical</t>
  </si>
  <si>
    <t>Sub-Total:  Delivery (based on two-tier RPP prices)</t>
  </si>
  <si>
    <t>Sub-Total:  Delivery (based on TOU prices)</t>
  </si>
  <si>
    <t>Sub-Total:  Distribution</t>
  </si>
  <si>
    <t>Current Foregone Revenue Riders Fixed ($/month)</t>
  </si>
  <si>
    <t>Two-tier RPP</t>
  </si>
  <si>
    <t>Ontario Electricity Support Program Charge</t>
  </si>
  <si>
    <t>Proposed RTSR-CONN ($/kWh or $/kW)</t>
  </si>
  <si>
    <t>Current Rate Rider for Disposition of Global Adjustment Account</t>
  </si>
  <si>
    <t>Proposed Rate Rider for Disposition of Global Adjustment Account</t>
  </si>
  <si>
    <t>Proposed Foregone Revenue Riders Fixed ($/month)</t>
  </si>
  <si>
    <t xml:space="preserve">Total  Electricty Charge on Two-Tier RPP </t>
  </si>
  <si>
    <t xml:space="preserve">     HST</t>
  </si>
  <si>
    <t>Total Electricity Charge on Two-Tier RPP (including HST)</t>
  </si>
  <si>
    <t>Rebate equal to Ontario portion of HST (8%)</t>
  </si>
  <si>
    <t>Total Amount on Two-Tier RPP</t>
  </si>
  <si>
    <t>Total Electricty Charge on TOU (before HST)</t>
  </si>
  <si>
    <t>Total Electricity Charge on TOU (including HST)</t>
  </si>
  <si>
    <t>Volumetric Global Adjustment Account Rider</t>
  </si>
  <si>
    <t>Fixed Foregone Revenue Rider</t>
  </si>
  <si>
    <t>Fixed Foregone Revenue</t>
  </si>
  <si>
    <t>Total Electricity Charge on Two-Tier RPP (before HST)</t>
  </si>
  <si>
    <t>Service Charge (RRRP credit applied)</t>
  </si>
  <si>
    <t>Average</t>
  </si>
  <si>
    <t>kWh (Consumption)</t>
  </si>
  <si>
    <t>kW (Peak)</t>
  </si>
  <si>
    <t>Total Amount on TOU</t>
  </si>
  <si>
    <t>2018 Total Bill</t>
  </si>
  <si>
    <t>2019 Bill Impacts (Low Consumption Level)</t>
  </si>
  <si>
    <t>2019 Bill Impacts (Typical Consumption Level)</t>
  </si>
  <si>
    <t>2019 Bill Impacts (Average Consumption Level)</t>
  </si>
  <si>
    <t>2019 Bill Impacts (High Consumption Level)</t>
  </si>
  <si>
    <t>Volumetric Deferral/Variance Account Rider (including CBR Class B rider)</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</si>
</sst>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000"/>
    <numFmt numFmtId="166" formatCode="#,##0.000"/>
    <numFmt numFmtId="167" formatCode="#,##0.0000"/>
    <numFmt numFmtId="168" formatCode="0.00000000"/>
    <numFmt numFmtId="169" formatCode="0.000"/>
    <numFmt numFmtId="170" formatCode="_(&quot;$&quot;* #,##0_);_(&quot;$&quot;* \(#,##0\);_(&quot;$&quot;* &quot;-&quot;??_);_(@_)"/>
    <numFmt numFmtId="171" formatCode="#,##0.0_);\(#,##0.0\)"/>
    <numFmt numFmtId="172" formatCode="_(* #,##0.0_);_(* \(#,##0.0\);_(* &quot;-&quot;??_);_(@_)"/>
    <numFmt numFmtId="173" formatCode="#,##0.00000_);\(#,##0.00000\)"/>
    <numFmt numFmtId="174" formatCode="0.0\x"/>
    <numFmt numFmtId="175" formatCode="#,##0.000_);\(#,##0.000\)"/>
    <numFmt numFmtId="176" formatCode="#,##0;&quot;\&quot;&quot;\&quot;&quot;\&quot;&quot;\&quot;\(#,##0&quot;\&quot;&quot;\&quot;&quot;\&quot;&quot;\&quot;\)"/>
    <numFmt numFmtId="177" formatCode="&quot;\&quot;&quot;\&quot;&quot;\&quot;&quot;\&quot;\$#,##0.00;&quot;\&quot;&quot;\&quot;&quot;\&quot;&quot;\&quot;\(&quot;\&quot;&quot;\&quot;&quot;\&quot;&quot;\&quot;\$#,##0.00&quot;\&quot;&quot;\&quot;&quot;\&quot;&quot;\&quot;\)"/>
    <numFmt numFmtId="178" formatCode="&quot;\&quot;&quot;\&quot;&quot;\&quot;&quot;\&quot;\$#,##0;&quot;\&quot;&quot;\&quot;&quot;\&quot;&quot;\&quot;\(&quot;\&quot;&quot;\&quot;&quot;\&quot;&quot;\&quot;\$#,##0&quot;\&quot;&quot;\&quot;&quot;\&quot;&quot;\&quot;\)"/>
    <numFmt numFmtId="179" formatCode="_-&quot;$&quot;* #,##0.00_-;\-&quot;$&quot;* #,##0.00_-;_-&quot;$&quot;* &quot;-&quot;??_-;_-@_-"/>
    <numFmt numFmtId="180" formatCode="0.00\x"/>
  </numFmts>
  <fonts count="16" x14ac:knownFonts="1">
    <font>
      <sz val="10"/>
      <name val="Arial"/>
      <family val="2"/>
    </font>
    <font>
      <sz val="11"/>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b/>
      <sz val="12"/>
      <name val="Times New Roman"/>
      <family val="1"/>
    </font>
    <font>
      <sz val="9"/>
      <color indexed="81"/>
      <name val="Tahoma"/>
      <family val="2"/>
    </font>
    <font>
      <sz val="10"/>
      <name val="Arial"/>
      <family val="2"/>
    </font>
    <font>
      <sz val="9"/>
      <name val="Arial"/>
      <family val="2"/>
    </font>
    <font>
      <sz val="10"/>
      <name val="Times New Roman"/>
      <family val="1"/>
    </font>
    <font>
      <sz val="8"/>
      <name val="Arial"/>
      <family val="2"/>
    </font>
    <font>
      <b/>
      <sz val="12"/>
      <name val="Arial"/>
      <family val="2"/>
    </font>
    <font>
      <sz val="8"/>
      <name val="Times New Roman"/>
      <family val="1"/>
    </font>
    <font>
      <sz val="10"/>
      <name val="MS Sans Serif"/>
      <family val="2"/>
    </font>
    <font>
      <b/>
      <sz val="10"/>
      <name val="MS Sans Serif"/>
      <family val="2"/>
    </font>
  </fonts>
  <fills count="13">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CCCC"/>
        <bgColor indexed="64"/>
      </patternFill>
    </fill>
    <fill>
      <patternFill patternType="solid">
        <fgColor rgb="FFCCFFCC"/>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46">
    <xf numFmtId="0" fontId="0" fillId="0" borderId="0"/>
    <xf numFmtId="43" fontId="2" fillId="0" borderId="0" applyFont="0" applyFill="0" applyBorder="0" applyAlignment="0" applyProtection="0"/>
    <xf numFmtId="44"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8" fillId="0" borderId="0"/>
    <xf numFmtId="164" fontId="2" fillId="0" borderId="0"/>
    <xf numFmtId="164" fontId="2" fillId="0" borderId="0"/>
    <xf numFmtId="164" fontId="2" fillId="0" borderId="0"/>
    <xf numFmtId="170" fontId="9" fillId="0" borderId="0"/>
    <xf numFmtId="171" fontId="2" fillId="0" borderId="0" applyFont="0" applyFill="0" applyBorder="0" applyAlignment="0" applyProtection="0"/>
    <xf numFmtId="172" fontId="2" fillId="0" borderId="0" applyFont="0" applyFill="0" applyBorder="0" applyAlignment="0" applyProtection="0"/>
    <xf numFmtId="39" fontId="2" fillId="0" borderId="0" applyFont="0" applyFill="0" applyBorder="0" applyAlignment="0" applyProtection="0"/>
    <xf numFmtId="170"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5" fontId="2" fillId="0" borderId="0" applyFont="0" applyFill="0" applyBorder="0" applyAlignment="0" applyProtection="0"/>
    <xf numFmtId="176" fontId="10" fillId="0" borderId="0"/>
    <xf numFmtId="177" fontId="10" fillId="0" borderId="0"/>
    <xf numFmtId="178" fontId="10" fillId="0" borderId="0"/>
    <xf numFmtId="38" fontId="11" fillId="8" borderId="0" applyNumberFormat="0" applyBorder="0" applyAlignment="0" applyProtection="0"/>
    <xf numFmtId="0" fontId="12" fillId="0" borderId="16" applyNumberFormat="0" applyAlignment="0" applyProtection="0">
      <alignment horizontal="left" vertical="center"/>
    </xf>
    <xf numFmtId="0" fontId="12" fillId="0" borderId="15">
      <alignment horizontal="left" vertical="center"/>
    </xf>
    <xf numFmtId="10" fontId="11" fillId="9" borderId="1" applyNumberFormat="0" applyBorder="0" applyAlignment="0" applyProtection="0"/>
    <xf numFmtId="179" fontId="9" fillId="0" borderId="0"/>
    <xf numFmtId="166" fontId="2" fillId="0" borderId="0"/>
    <xf numFmtId="0" fontId="2" fillId="0" borderId="0"/>
    <xf numFmtId="7" fontId="10" fillId="0" borderId="0"/>
    <xf numFmtId="37" fontId="13" fillId="10" borderId="0">
      <alignment horizontal="right"/>
    </xf>
    <xf numFmtId="10" fontId="2" fillId="0" borderId="0" applyFont="0" applyFill="0" applyBorder="0" applyAlignment="0" applyProtection="0"/>
    <xf numFmtId="0" fontId="14" fillId="0" borderId="0" applyNumberFormat="0" applyFont="0" applyFill="0" applyBorder="0" applyAlignment="0" applyProtection="0">
      <alignment horizontal="left"/>
    </xf>
    <xf numFmtId="15" fontId="14" fillId="0" borderId="0" applyFont="0" applyFill="0" applyBorder="0" applyAlignment="0" applyProtection="0"/>
    <xf numFmtId="4" fontId="14" fillId="0" borderId="0" applyFont="0" applyFill="0" applyBorder="0" applyAlignment="0" applyProtection="0"/>
    <xf numFmtId="0" fontId="15" fillId="0" borderId="36">
      <alignment horizontal="center"/>
    </xf>
    <xf numFmtId="3" fontId="14" fillId="0" borderId="0" applyFont="0" applyFill="0" applyBorder="0" applyAlignment="0" applyProtection="0"/>
    <xf numFmtId="0" fontId="14" fillId="11" borderId="0" applyNumberFormat="0" applyFont="0" applyBorder="0" applyAlignment="0" applyProtection="0"/>
    <xf numFmtId="1" fontId="2" fillId="0" borderId="0"/>
    <xf numFmtId="0" fontId="2" fillId="0" borderId="0" applyFont="0" applyFill="0" applyBorder="0" applyAlignment="0" applyProtection="0"/>
    <xf numFmtId="0" fontId="2" fillId="0" borderId="0">
      <alignment vertical="top"/>
    </xf>
    <xf numFmtId="0" fontId="2" fillId="0" borderId="0">
      <alignment vertical="top"/>
    </xf>
    <xf numFmtId="180" fontId="2" fillId="0" borderId="0"/>
    <xf numFmtId="180" fontId="2" fillId="0" borderId="0"/>
    <xf numFmtId="180" fontId="2" fillId="0" borderId="0"/>
  </cellStyleXfs>
  <cellXfs count="190">
    <xf numFmtId="0" fontId="0" fillId="0" borderId="0" xfId="0"/>
    <xf numFmtId="0" fontId="3" fillId="0" borderId="0" xfId="0" applyFont="1"/>
    <xf numFmtId="0" fontId="0" fillId="0" borderId="1" xfId="0" applyBorder="1"/>
    <xf numFmtId="2" fontId="0" fillId="0" borderId="1" xfId="0" applyNumberFormat="1" applyBorder="1"/>
    <xf numFmtId="0" fontId="0" fillId="0" borderId="1" xfId="0" applyBorder="1" applyAlignment="1">
      <alignment horizontal="center"/>
    </xf>
    <xf numFmtId="3" fontId="0" fillId="0" borderId="0" xfId="0" applyNumberFormat="1"/>
    <xf numFmtId="0" fontId="3" fillId="0" borderId="1" xfId="0" applyFont="1" applyBorder="1"/>
    <xf numFmtId="3" fontId="0" fillId="0" borderId="1" xfId="0" applyNumberFormat="1" applyBorder="1"/>
    <xf numFmtId="0" fontId="3" fillId="0" borderId="1" xfId="0" applyFont="1" applyFill="1" applyBorder="1"/>
    <xf numFmtId="0" fontId="3"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vertical="center"/>
    </xf>
    <xf numFmtId="0" fontId="3" fillId="2" borderId="1" xfId="0" applyFont="1" applyFill="1" applyBorder="1" applyAlignment="1">
      <alignment horizontal="center"/>
    </xf>
    <xf numFmtId="10" fontId="2" fillId="0" borderId="0" xfId="4" applyNumberFormat="1" applyFont="1"/>
    <xf numFmtId="0" fontId="0" fillId="2" borderId="1" xfId="0" applyFill="1" applyBorder="1"/>
    <xf numFmtId="0" fontId="0" fillId="2" borderId="1" xfId="0" applyFill="1" applyBorder="1" applyAlignment="1">
      <alignment horizontal="right"/>
    </xf>
    <xf numFmtId="0" fontId="3" fillId="0" borderId="4" xfId="0" applyFont="1" applyBorder="1" applyAlignment="1">
      <alignment horizontal="center" wrapText="1"/>
    </xf>
    <xf numFmtId="0" fontId="3" fillId="0" borderId="5" xfId="0" applyFont="1" applyBorder="1" applyAlignment="1">
      <alignment horizontal="center" wrapText="1"/>
    </xf>
    <xf numFmtId="10" fontId="3" fillId="0" borderId="6" xfId="4" applyNumberFormat="1" applyFont="1" applyBorder="1" applyAlignment="1">
      <alignment horizontal="center" wrapText="1"/>
    </xf>
    <xf numFmtId="0" fontId="3" fillId="0" borderId="0" xfId="0" applyFont="1" applyAlignment="1">
      <alignment horizontal="center" wrapText="1"/>
    </xf>
    <xf numFmtId="166" fontId="0" fillId="0" borderId="1" xfId="0" applyNumberFormat="1" applyBorder="1"/>
    <xf numFmtId="4" fontId="0" fillId="0" borderId="1" xfId="0" applyNumberFormat="1" applyBorder="1"/>
    <xf numFmtId="10" fontId="0" fillId="0" borderId="1" xfId="4" applyNumberFormat="1" applyFont="1" applyBorder="1"/>
    <xf numFmtId="4" fontId="3" fillId="3" borderId="1" xfId="0" applyNumberFormat="1" applyFont="1" applyFill="1" applyBorder="1" applyAlignment="1">
      <alignment horizontal="center"/>
    </xf>
    <xf numFmtId="4" fontId="3" fillId="3" borderId="1" xfId="0" applyNumberFormat="1" applyFont="1" applyFill="1" applyBorder="1"/>
    <xf numFmtId="4" fontId="0" fillId="3" borderId="1" xfId="0" applyNumberFormat="1" applyFill="1" applyBorder="1"/>
    <xf numFmtId="10" fontId="3" fillId="3" borderId="1" xfId="4" applyNumberFormat="1" applyFont="1" applyFill="1" applyBorder="1"/>
    <xf numFmtId="166" fontId="2" fillId="0" borderId="1" xfId="0" applyNumberFormat="1" applyFont="1" applyBorder="1"/>
    <xf numFmtId="4" fontId="3" fillId="4" borderId="1" xfId="0" applyNumberFormat="1" applyFont="1" applyFill="1" applyBorder="1" applyAlignment="1">
      <alignment horizontal="center"/>
    </xf>
    <xf numFmtId="4" fontId="3" fillId="4" borderId="1" xfId="0" applyNumberFormat="1" applyFont="1" applyFill="1" applyBorder="1"/>
    <xf numFmtId="4" fontId="0" fillId="4" borderId="1" xfId="0" applyNumberFormat="1" applyFill="1" applyBorder="1"/>
    <xf numFmtId="10" fontId="2" fillId="4" borderId="1" xfId="4" applyNumberFormat="1" applyFont="1" applyFill="1" applyBorder="1"/>
    <xf numFmtId="10" fontId="3" fillId="4" borderId="1" xfId="4" applyNumberFormat="1" applyFont="1" applyFill="1" applyBorder="1"/>
    <xf numFmtId="167" fontId="0" fillId="0" borderId="1" xfId="0" applyNumberFormat="1" applyBorder="1"/>
    <xf numFmtId="4" fontId="3" fillId="0" borderId="1" xfId="0" applyNumberFormat="1" applyFont="1" applyBorder="1"/>
    <xf numFmtId="10" fontId="3" fillId="0" borderId="1" xfId="4" applyNumberFormat="1" applyFont="1" applyBorder="1"/>
    <xf numFmtId="0" fontId="3" fillId="3" borderId="7" xfId="0" applyFont="1" applyFill="1" applyBorder="1"/>
    <xf numFmtId="4" fontId="3" fillId="3" borderId="8" xfId="0" applyNumberFormat="1" applyFont="1" applyFill="1" applyBorder="1" applyAlignment="1">
      <alignment horizontal="center"/>
    </xf>
    <xf numFmtId="4" fontId="3" fillId="3" borderId="8" xfId="0" applyNumberFormat="1" applyFont="1" applyFill="1" applyBorder="1"/>
    <xf numFmtId="10" fontId="3" fillId="3" borderId="8" xfId="4" applyNumberFormat="1" applyFont="1" applyFill="1" applyBorder="1"/>
    <xf numFmtId="10" fontId="3" fillId="3" borderId="9" xfId="4" applyNumberFormat="1" applyFont="1" applyFill="1" applyBorder="1"/>
    <xf numFmtId="0" fontId="2" fillId="3" borderId="10" xfId="0" applyFont="1" applyFill="1" applyBorder="1"/>
    <xf numFmtId="4" fontId="0" fillId="3" borderId="1" xfId="0" applyNumberFormat="1" applyFill="1" applyBorder="1" applyAlignment="1">
      <alignment horizontal="center"/>
    </xf>
    <xf numFmtId="10" fontId="2" fillId="3" borderId="1" xfId="4" applyNumberFormat="1" applyFont="1" applyFill="1" applyBorder="1"/>
    <xf numFmtId="10" fontId="2" fillId="3" borderId="11" xfId="4" applyNumberFormat="1" applyFont="1" applyFill="1" applyBorder="1"/>
    <xf numFmtId="0" fontId="3" fillId="3" borderId="10" xfId="0" applyFont="1" applyFill="1" applyBorder="1"/>
    <xf numFmtId="10" fontId="3" fillId="3" borderId="11" xfId="4" applyNumberFormat="1" applyFont="1" applyFill="1" applyBorder="1"/>
    <xf numFmtId="0" fontId="3" fillId="3" borderId="12" xfId="0" applyFont="1" applyFill="1" applyBorder="1"/>
    <xf numFmtId="4" fontId="3" fillId="3" borderId="13" xfId="0" applyNumberFormat="1" applyFont="1" applyFill="1" applyBorder="1" applyAlignment="1">
      <alignment horizontal="center"/>
    </xf>
    <xf numFmtId="4" fontId="3" fillId="3" borderId="13" xfId="0" applyNumberFormat="1" applyFont="1" applyFill="1" applyBorder="1"/>
    <xf numFmtId="10" fontId="3" fillId="3" borderId="13" xfId="4" applyNumberFormat="1" applyFont="1" applyFill="1" applyBorder="1"/>
    <xf numFmtId="10" fontId="3" fillId="3" borderId="14" xfId="4" applyNumberFormat="1" applyFont="1" applyFill="1" applyBorder="1"/>
    <xf numFmtId="0" fontId="3" fillId="4" borderId="7" xfId="0" applyFont="1" applyFill="1" applyBorder="1"/>
    <xf numFmtId="4" fontId="3" fillId="4" borderId="8" xfId="0" applyNumberFormat="1" applyFont="1" applyFill="1" applyBorder="1" applyAlignment="1">
      <alignment horizontal="center"/>
    </xf>
    <xf numFmtId="4" fontId="3" fillId="4" borderId="8" xfId="0" applyNumberFormat="1" applyFont="1" applyFill="1" applyBorder="1"/>
    <xf numFmtId="10" fontId="3" fillId="4" borderId="8" xfId="4" applyNumberFormat="1" applyFont="1" applyFill="1" applyBorder="1"/>
    <xf numFmtId="10" fontId="3" fillId="4" borderId="9" xfId="4" applyNumberFormat="1" applyFont="1" applyFill="1" applyBorder="1"/>
    <xf numFmtId="0" fontId="2" fillId="4" borderId="10" xfId="0" applyFont="1" applyFill="1" applyBorder="1"/>
    <xf numFmtId="4" fontId="0" fillId="4" borderId="1" xfId="0" applyNumberFormat="1" applyFill="1" applyBorder="1" applyAlignment="1">
      <alignment horizontal="center"/>
    </xf>
    <xf numFmtId="10" fontId="2" fillId="4" borderId="11" xfId="4" applyNumberFormat="1" applyFont="1" applyFill="1" applyBorder="1"/>
    <xf numFmtId="0" fontId="3" fillId="4" borderId="10" xfId="0" applyFont="1" applyFill="1" applyBorder="1"/>
    <xf numFmtId="10" fontId="3" fillId="4" borderId="11" xfId="4" applyNumberFormat="1" applyFont="1" applyFill="1" applyBorder="1"/>
    <xf numFmtId="0" fontId="3" fillId="4" borderId="12" xfId="0" applyFont="1" applyFill="1" applyBorder="1"/>
    <xf numFmtId="4" fontId="3" fillId="4" borderId="13" xfId="0" applyNumberFormat="1" applyFont="1" applyFill="1" applyBorder="1" applyAlignment="1">
      <alignment horizontal="center"/>
    </xf>
    <xf numFmtId="4" fontId="3" fillId="4" borderId="13" xfId="0" applyNumberFormat="1" applyFont="1" applyFill="1" applyBorder="1"/>
    <xf numFmtId="10" fontId="3" fillId="4" borderId="13" xfId="4" applyNumberFormat="1" applyFont="1" applyFill="1" applyBorder="1"/>
    <xf numFmtId="10" fontId="3" fillId="4" borderId="14" xfId="4" applyNumberFormat="1" applyFont="1" applyFill="1" applyBorder="1"/>
    <xf numFmtId="165" fontId="0" fillId="0" borderId="0" xfId="0" applyNumberFormat="1"/>
    <xf numFmtId="10" fontId="0" fillId="0" borderId="0" xfId="4" applyNumberFormat="1" applyFont="1"/>
    <xf numFmtId="6" fontId="0" fillId="0" borderId="0" xfId="0" applyNumberFormat="1"/>
    <xf numFmtId="164" fontId="0" fillId="0" borderId="0" xfId="1" applyNumberFormat="1" applyFont="1"/>
    <xf numFmtId="168" fontId="0" fillId="0" borderId="0" xfId="0" applyNumberFormat="1"/>
    <xf numFmtId="3" fontId="0" fillId="0" borderId="1" xfId="0" applyNumberFormat="1" applyBorder="1" applyAlignment="1">
      <alignment horizontal="center"/>
    </xf>
    <xf numFmtId="3" fontId="3" fillId="0" borderId="1" xfId="0" applyNumberFormat="1" applyFont="1" applyBorder="1" applyAlignment="1">
      <alignment horizontal="center"/>
    </xf>
    <xf numFmtId="3" fontId="2" fillId="0" borderId="1" xfId="0" applyNumberFormat="1" applyFont="1" applyBorder="1" applyAlignment="1">
      <alignment horizontal="center"/>
    </xf>
    <xf numFmtId="3" fontId="0" fillId="3" borderId="1" xfId="0" applyNumberFormat="1" applyFill="1" applyBorder="1" applyAlignment="1">
      <alignment horizontal="center"/>
    </xf>
    <xf numFmtId="3" fontId="0" fillId="4" borderId="1" xfId="0" applyNumberFormat="1" applyFill="1" applyBorder="1" applyAlignment="1">
      <alignment horizontal="center"/>
    </xf>
    <xf numFmtId="0" fontId="0" fillId="5" borderId="1" xfId="0" applyFill="1" applyBorder="1"/>
    <xf numFmtId="3" fontId="0" fillId="2" borderId="1" xfId="0" applyNumberFormat="1" applyFill="1" applyBorder="1"/>
    <xf numFmtId="166" fontId="0" fillId="2" borderId="1" xfId="0" applyNumberFormat="1" applyFill="1" applyBorder="1"/>
    <xf numFmtId="0" fontId="2" fillId="2" borderId="1" xfId="0" applyFont="1" applyFill="1" applyBorder="1"/>
    <xf numFmtId="9" fontId="2" fillId="2" borderId="1" xfId="4" applyFont="1" applyFill="1" applyBorder="1"/>
    <xf numFmtId="3" fontId="3" fillId="0" borderId="9" xfId="0" applyNumberFormat="1" applyFont="1" applyBorder="1" applyAlignment="1">
      <alignment horizontal="center"/>
    </xf>
    <xf numFmtId="3" fontId="3" fillId="0" borderId="11" xfId="0" applyNumberFormat="1" applyFont="1" applyBorder="1" applyAlignment="1">
      <alignment horizontal="center"/>
    </xf>
    <xf numFmtId="3" fontId="3" fillId="0" borderId="14" xfId="0" applyNumberFormat="1" applyFont="1" applyBorder="1" applyAlignment="1">
      <alignment horizontal="center"/>
    </xf>
    <xf numFmtId="0" fontId="3" fillId="6" borderId="4"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30" xfId="0" applyFont="1" applyBorder="1" applyAlignment="1">
      <alignment horizontal="center"/>
    </xf>
    <xf numFmtId="0" fontId="3" fillId="0" borderId="15" xfId="0" applyFont="1" applyBorder="1" applyAlignment="1">
      <alignment horizontal="center"/>
    </xf>
    <xf numFmtId="0" fontId="3" fillId="0" borderId="31" xfId="0" applyFont="1" applyBorder="1" applyAlignment="1">
      <alignment horizontal="center"/>
    </xf>
    <xf numFmtId="3" fontId="3" fillId="0" borderId="10" xfId="0" applyNumberFormat="1" applyFont="1" applyBorder="1" applyAlignment="1">
      <alignment horizontal="center"/>
    </xf>
    <xf numFmtId="3" fontId="3" fillId="0" borderId="12" xfId="0" applyNumberFormat="1" applyFont="1" applyBorder="1" applyAlignment="1">
      <alignment horizontal="center"/>
    </xf>
    <xf numFmtId="0" fontId="3" fillId="0" borderId="23" xfId="0" applyFont="1" applyBorder="1" applyAlignment="1">
      <alignment horizontal="center" vertical="center" wrapText="1"/>
    </xf>
    <xf numFmtId="0" fontId="3" fillId="0" borderId="32" xfId="0" applyFont="1" applyBorder="1" applyAlignment="1">
      <alignment horizontal="center" wrapText="1"/>
    </xf>
    <xf numFmtId="0" fontId="3" fillId="0" borderId="33" xfId="0" applyFont="1" applyBorder="1" applyAlignment="1">
      <alignment horizontal="center" vertical="center" wrapText="1"/>
    </xf>
    <xf numFmtId="3" fontId="3" fillId="0" borderId="7" xfId="0" applyNumberFormat="1" applyFont="1" applyBorder="1" applyAlignment="1">
      <alignment horizontal="center"/>
    </xf>
    <xf numFmtId="0" fontId="3" fillId="0" borderId="24" xfId="0" applyFont="1" applyBorder="1" applyAlignment="1">
      <alignment horizontal="center" vertical="center" wrapText="1"/>
    </xf>
    <xf numFmtId="165" fontId="0" fillId="0" borderId="1" xfId="0" applyNumberFormat="1" applyBorder="1"/>
    <xf numFmtId="0" fontId="0" fillId="0" borderId="7" xfId="0" applyBorder="1"/>
    <xf numFmtId="3" fontId="0" fillId="0" borderId="8" xfId="0" applyNumberFormat="1" applyBorder="1" applyAlignment="1">
      <alignment horizontal="center"/>
    </xf>
    <xf numFmtId="166" fontId="0" fillId="0" borderId="8" xfId="0" applyNumberFormat="1" applyBorder="1"/>
    <xf numFmtId="4" fontId="0" fillId="0" borderId="8" xfId="0" applyNumberFormat="1" applyBorder="1"/>
    <xf numFmtId="10" fontId="0" fillId="0" borderId="8" xfId="4" applyNumberFormat="1" applyFont="1" applyBorder="1"/>
    <xf numFmtId="10" fontId="2" fillId="0" borderId="9" xfId="4" applyNumberFormat="1" applyFont="1" applyBorder="1"/>
    <xf numFmtId="0" fontId="0" fillId="0" borderId="10" xfId="0" applyBorder="1"/>
    <xf numFmtId="10" fontId="2" fillId="0" borderId="11" xfId="4" applyNumberFormat="1" applyFont="1" applyBorder="1"/>
    <xf numFmtId="0" fontId="2" fillId="0" borderId="10" xfId="0" applyFont="1" applyBorder="1"/>
    <xf numFmtId="0" fontId="3" fillId="0" borderId="10" xfId="0" applyFont="1" applyBorder="1"/>
    <xf numFmtId="10" fontId="3" fillId="0" borderId="11" xfId="4" applyNumberFormat="1" applyFont="1" applyBorder="1"/>
    <xf numFmtId="0" fontId="3" fillId="0" borderId="12" xfId="0" applyFont="1" applyBorder="1"/>
    <xf numFmtId="3" fontId="2" fillId="0" borderId="13" xfId="0" applyNumberFormat="1" applyFont="1" applyBorder="1" applyAlignment="1">
      <alignment horizontal="center"/>
    </xf>
    <xf numFmtId="166" fontId="2" fillId="0" borderId="13" xfId="0" applyNumberFormat="1" applyFont="1" applyBorder="1"/>
    <xf numFmtId="4" fontId="3" fillId="0" borderId="13" xfId="0" applyNumberFormat="1" applyFont="1" applyBorder="1"/>
    <xf numFmtId="3" fontId="0" fillId="0" borderId="13" xfId="0" applyNumberFormat="1" applyBorder="1" applyAlignment="1">
      <alignment horizontal="center"/>
    </xf>
    <xf numFmtId="10" fontId="3" fillId="0" borderId="13" xfId="4" applyNumberFormat="1" applyFont="1" applyBorder="1"/>
    <xf numFmtId="10" fontId="3" fillId="0" borderId="14" xfId="4" applyNumberFormat="1" applyFont="1" applyBorder="1"/>
    <xf numFmtId="0" fontId="0" fillId="0" borderId="10" xfId="0" applyFont="1" applyBorder="1"/>
    <xf numFmtId="3" fontId="0" fillId="0" borderId="1" xfId="0" applyNumberFormat="1" applyFont="1" applyBorder="1" applyAlignment="1">
      <alignment horizontal="center"/>
    </xf>
    <xf numFmtId="4" fontId="0" fillId="0" borderId="1" xfId="0" applyNumberFormat="1" applyFont="1" applyBorder="1"/>
    <xf numFmtId="2" fontId="0" fillId="5" borderId="1" xfId="0" applyNumberFormat="1" applyFill="1" applyBorder="1"/>
    <xf numFmtId="0" fontId="3" fillId="0" borderId="6" xfId="0" applyFont="1" applyBorder="1" applyAlignment="1">
      <alignment horizontal="center" wrapText="1"/>
    </xf>
    <xf numFmtId="10" fontId="0" fillId="0" borderId="9" xfId="4" applyNumberFormat="1" applyFont="1" applyBorder="1"/>
    <xf numFmtId="10" fontId="0" fillId="0" borderId="11" xfId="4" applyNumberFormat="1" applyFont="1" applyBorder="1"/>
    <xf numFmtId="165" fontId="0" fillId="5" borderId="1" xfId="0" applyNumberFormat="1" applyFill="1" applyBorder="1"/>
    <xf numFmtId="169" fontId="0" fillId="0" borderId="1" xfId="0" applyNumberFormat="1" applyBorder="1"/>
    <xf numFmtId="169" fontId="0" fillId="5" borderId="1" xfId="0" applyNumberFormat="1" applyFill="1" applyBorder="1"/>
    <xf numFmtId="0" fontId="6" fillId="0" borderId="0" xfId="0" applyFont="1" applyBorder="1" applyAlignment="1"/>
    <xf numFmtId="4" fontId="0" fillId="0" borderId="0" xfId="0" applyNumberFormat="1"/>
    <xf numFmtId="0" fontId="0" fillId="0" borderId="0" xfId="0" applyAlignment="1">
      <alignment horizontal="right"/>
    </xf>
    <xf numFmtId="0" fontId="0" fillId="0" borderId="0" xfId="0" quotePrefix="1" applyAlignment="1">
      <alignment horizontal="right"/>
    </xf>
    <xf numFmtId="10" fontId="0" fillId="0" borderId="0" xfId="4" applyNumberFormat="1" applyFont="1" applyAlignment="1">
      <alignment horizontal="right"/>
    </xf>
    <xf numFmtId="7" fontId="10" fillId="7" borderId="19" xfId="2" applyNumberFormat="1" applyFont="1" applyFill="1" applyBorder="1" applyAlignment="1">
      <alignment horizontal="center"/>
    </xf>
    <xf numFmtId="10" fontId="10" fillId="7" borderId="21" xfId="3" applyNumberFormat="1" applyFont="1" applyFill="1" applyBorder="1" applyAlignment="1">
      <alignment horizontal="center"/>
    </xf>
    <xf numFmtId="7" fontId="10" fillId="6" borderId="7" xfId="0" applyNumberFormat="1" applyFont="1" applyFill="1" applyBorder="1" applyAlignment="1">
      <alignment horizontal="center"/>
    </xf>
    <xf numFmtId="7" fontId="10" fillId="7" borderId="3" xfId="2" applyNumberFormat="1" applyFont="1" applyFill="1" applyBorder="1" applyAlignment="1">
      <alignment horizontal="center"/>
    </xf>
    <xf numFmtId="10" fontId="10" fillId="7" borderId="3" xfId="3" applyNumberFormat="1" applyFont="1" applyFill="1" applyBorder="1" applyAlignment="1">
      <alignment horizontal="center"/>
    </xf>
    <xf numFmtId="7" fontId="10" fillId="6" borderId="10" xfId="0" applyNumberFormat="1" applyFont="1" applyFill="1" applyBorder="1" applyAlignment="1">
      <alignment horizontal="center"/>
    </xf>
    <xf numFmtId="7" fontId="10" fillId="7" borderId="20" xfId="2" applyNumberFormat="1" applyFont="1" applyFill="1" applyBorder="1" applyAlignment="1">
      <alignment horizontal="center"/>
    </xf>
    <xf numFmtId="10" fontId="10" fillId="7" borderId="22" xfId="3" applyNumberFormat="1" applyFont="1" applyFill="1" applyBorder="1" applyAlignment="1">
      <alignment horizontal="center"/>
    </xf>
    <xf numFmtId="7" fontId="10" fillId="6" borderId="12" xfId="0" applyNumberFormat="1" applyFont="1" applyFill="1" applyBorder="1" applyAlignment="1">
      <alignment horizontal="center"/>
    </xf>
    <xf numFmtId="10" fontId="10" fillId="7" borderId="2" xfId="3" applyNumberFormat="1" applyFont="1" applyFill="1" applyBorder="1" applyAlignment="1">
      <alignment horizontal="center"/>
    </xf>
    <xf numFmtId="0" fontId="3" fillId="6" borderId="6" xfId="0" applyFont="1" applyFill="1" applyBorder="1" applyAlignment="1">
      <alignment horizontal="center" vertical="center" wrapText="1"/>
    </xf>
    <xf numFmtId="10" fontId="10" fillId="6" borderId="9" xfId="3" applyNumberFormat="1" applyFont="1" applyFill="1" applyBorder="1" applyAlignment="1">
      <alignment horizontal="center"/>
    </xf>
    <xf numFmtId="10" fontId="10" fillId="6" borderId="11" xfId="3" applyNumberFormat="1" applyFont="1" applyFill="1" applyBorder="1" applyAlignment="1">
      <alignment horizontal="center"/>
    </xf>
    <xf numFmtId="10" fontId="10" fillId="6" borderId="14" xfId="3" applyNumberFormat="1" applyFont="1" applyFill="1" applyBorder="1" applyAlignment="1">
      <alignment horizontal="center"/>
    </xf>
    <xf numFmtId="7" fontId="0" fillId="0" borderId="27" xfId="0" applyNumberFormat="1" applyFont="1" applyBorder="1" applyAlignment="1">
      <alignment horizontal="center"/>
    </xf>
    <xf numFmtId="7" fontId="0" fillId="0" borderId="28" xfId="0" applyNumberFormat="1" applyFont="1" applyBorder="1" applyAlignment="1">
      <alignment horizontal="center"/>
    </xf>
    <xf numFmtId="7" fontId="0" fillId="0" borderId="29" xfId="0" applyNumberFormat="1" applyFont="1" applyBorder="1" applyAlignment="1">
      <alignment horizontal="center"/>
    </xf>
    <xf numFmtId="0" fontId="3" fillId="4" borderId="10" xfId="0" applyFont="1" applyFill="1" applyBorder="1" applyAlignment="1">
      <alignment horizontal="left"/>
    </xf>
    <xf numFmtId="0" fontId="3" fillId="7" borderId="1" xfId="0" applyFont="1" applyFill="1" applyBorder="1" applyAlignment="1">
      <alignment horizontal="center" vertical="center" wrapText="1"/>
    </xf>
    <xf numFmtId="0" fontId="3" fillId="5" borderId="1" xfId="0" applyFont="1" applyFill="1" applyBorder="1" applyAlignment="1">
      <alignment horizontal="center"/>
    </xf>
    <xf numFmtId="0" fontId="0" fillId="5" borderId="0" xfId="0" applyFill="1"/>
    <xf numFmtId="0" fontId="0" fillId="3" borderId="10" xfId="0" applyFont="1" applyFill="1" applyBorder="1"/>
    <xf numFmtId="0" fontId="0" fillId="4" borderId="10" xfId="0" applyFont="1" applyFill="1" applyBorder="1"/>
    <xf numFmtId="0" fontId="3" fillId="5" borderId="1" xfId="0" applyFont="1" applyFill="1" applyBorder="1" applyAlignment="1">
      <alignment horizontal="center" vertical="center" wrapText="1"/>
    </xf>
    <xf numFmtId="165" fontId="0" fillId="12" borderId="1" xfId="0" applyNumberFormat="1" applyFill="1" applyBorder="1"/>
    <xf numFmtId="0" fontId="3" fillId="0" borderId="38" xfId="0" applyFont="1" applyBorder="1" applyAlignment="1">
      <alignment horizontal="center"/>
    </xf>
    <xf numFmtId="3" fontId="3" fillId="0" borderId="39" xfId="0" applyNumberFormat="1" applyFont="1" applyBorder="1" applyAlignment="1">
      <alignment horizontal="center"/>
    </xf>
    <xf numFmtId="3" fontId="3" fillId="0" borderId="40" xfId="0" applyNumberFormat="1" applyFont="1" applyBorder="1" applyAlignment="1">
      <alignment horizontal="center"/>
    </xf>
    <xf numFmtId="7" fontId="0" fillId="0" borderId="37" xfId="0" applyNumberFormat="1" applyFont="1" applyBorder="1" applyAlignment="1">
      <alignment horizontal="center"/>
    </xf>
    <xf numFmtId="7" fontId="10" fillId="7" borderId="41" xfId="2" applyNumberFormat="1" applyFont="1" applyFill="1" applyBorder="1" applyAlignment="1">
      <alignment horizontal="center"/>
    </xf>
    <xf numFmtId="10" fontId="10" fillId="7" borderId="38" xfId="3" applyNumberFormat="1" applyFont="1" applyFill="1" applyBorder="1" applyAlignment="1">
      <alignment horizontal="center"/>
    </xf>
    <xf numFmtId="7" fontId="10" fillId="6" borderId="39" xfId="0" applyNumberFormat="1" applyFont="1" applyFill="1" applyBorder="1" applyAlignment="1">
      <alignment horizontal="center"/>
    </xf>
    <xf numFmtId="10" fontId="10" fillId="6" borderId="40" xfId="3" applyNumberFormat="1" applyFont="1" applyFill="1" applyBorder="1" applyAlignment="1">
      <alignment horizontal="center"/>
    </xf>
    <xf numFmtId="164" fontId="0" fillId="0" borderId="1" xfId="1" applyNumberFormat="1" applyFont="1" applyBorder="1"/>
    <xf numFmtId="0" fontId="3" fillId="0" borderId="1" xfId="0" applyFont="1" applyBorder="1" applyAlignment="1">
      <alignment wrapText="1"/>
    </xf>
    <xf numFmtId="1" fontId="0" fillId="2" borderId="1" xfId="0" applyNumberFormat="1" applyFill="1" applyBorder="1"/>
    <xf numFmtId="0" fontId="0" fillId="0" borderId="38" xfId="0" applyBorder="1"/>
    <xf numFmtId="0" fontId="0" fillId="0" borderId="0" xfId="0" applyBorder="1"/>
    <xf numFmtId="165" fontId="0" fillId="5" borderId="1" xfId="0" applyNumberFormat="1" applyFont="1" applyFill="1" applyBorder="1"/>
    <xf numFmtId="2" fontId="0" fillId="5" borderId="1" xfId="0" applyNumberFormat="1" applyFill="1" applyBorder="1" applyAlignment="1">
      <alignment horizont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7" xfId="0" applyFont="1" applyBorder="1" applyAlignment="1">
      <alignment horizontal="center" vertical="center"/>
    </xf>
    <xf numFmtId="0" fontId="3" fillId="0" borderId="29" xfId="0" applyFont="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6" fillId="0" borderId="34" xfId="0" applyFont="1" applyBorder="1" applyAlignment="1">
      <alignment horizontal="center"/>
    </xf>
    <xf numFmtId="0" fontId="6" fillId="0" borderId="16" xfId="0" applyFont="1" applyBorder="1" applyAlignment="1">
      <alignment horizontal="center"/>
    </xf>
    <xf numFmtId="0" fontId="6" fillId="0" borderId="35" xfId="0" applyFont="1" applyBorder="1" applyAlignment="1">
      <alignment horizontal="center"/>
    </xf>
  </cellXfs>
  <cellStyles count="46">
    <cellStyle name="$" xfId="7"/>
    <cellStyle name="$_CCA-Request_H11bps" xfId="8"/>
    <cellStyle name="$_CCA-Request_H11bps July 9" xfId="9"/>
    <cellStyle name="$comma" xfId="10"/>
    <cellStyle name="_Comma" xfId="11"/>
    <cellStyle name="_Currency" xfId="12"/>
    <cellStyle name="_CurrencySpace" xfId="13"/>
    <cellStyle name="_Multiple" xfId="14"/>
    <cellStyle name="_MultipleSpace" xfId="15"/>
    <cellStyle name="_Percent" xfId="16"/>
    <cellStyle name="_PercentSpace" xfId="17"/>
    <cellStyle name="_PercentSpace_AR Analysis 061207" xfId="18"/>
    <cellStyle name="_PercentSpace_RMDx BP050513a 051212a" xfId="19"/>
    <cellStyle name="Comma" xfId="1" builtinId="3"/>
    <cellStyle name="comma zerodec" xfId="20"/>
    <cellStyle name="Currency" xfId="2" builtinId="4"/>
    <cellStyle name="Currency1" xfId="21"/>
    <cellStyle name="Dollar (zero dec)" xfId="22"/>
    <cellStyle name="Grey" xfId="23"/>
    <cellStyle name="Header1" xfId="24"/>
    <cellStyle name="Header2" xfId="25"/>
    <cellStyle name="Input [yellow]" xfId="26"/>
    <cellStyle name="multiple" xfId="27"/>
    <cellStyle name="Normal" xfId="0" builtinId="0"/>
    <cellStyle name="Normal - Style1" xfId="28"/>
    <cellStyle name="Normal 2" xfId="5"/>
    <cellStyle name="Normal 3" xfId="6"/>
    <cellStyle name="Number" xfId="29"/>
    <cellStyle name="OH01" xfId="30"/>
    <cellStyle name="OHnplode" xfId="31"/>
    <cellStyle name="Percent" xfId="3" builtinId="5"/>
    <cellStyle name="Percent [2]" xfId="32"/>
    <cellStyle name="Percent 2" xfId="4"/>
    <cellStyle name="PSChar" xfId="33"/>
    <cellStyle name="PSDate" xfId="34"/>
    <cellStyle name="PSDec" xfId="35"/>
    <cellStyle name="PSHeading" xfId="36"/>
    <cellStyle name="PSInt" xfId="37"/>
    <cellStyle name="PSSpacer" xfId="38"/>
    <cellStyle name="ShOut" xfId="39"/>
    <cellStyle name="Style 1" xfId="40"/>
    <cellStyle name="Style 2" xfId="41"/>
    <cellStyle name="Style 3" xfId="42"/>
    <cellStyle name="x" xfId="43"/>
    <cellStyle name="x_CCA-Request_H11bps" xfId="44"/>
    <cellStyle name="x_CCA-Request_H11bps July 9" xfId="45"/>
  </cellStyles>
  <dxfs count="0"/>
  <tableStyles count="0" defaultTableStyle="TableStyleMedium2" defaultPivotStyle="PivotStyleLight16"/>
  <colors>
    <mruColors>
      <color rgb="FFCCFFCC"/>
      <color rgb="FFFFCCCC"/>
      <color rgb="FFFFFFFF"/>
      <color rgb="FFFFCCFF"/>
      <color rgb="FFCCFFFF"/>
      <color rgb="FFCCCCFF"/>
      <color rgb="FFCCE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st%20Pric/2018-2022%20DX%20Rates/2018/Bill%20Impacts_2018_v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st%20Pric/2018-2022%20DX%20Rates/2019/Rate%20Design_2019_v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st%20Pric/2018-2022%20DX%20Rates/2018/RRRPCreditCalc_2018t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ist%20Pric/2018-2022%20DX%20Rates/2019/ST_Rate_Model_2019_v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ist%20Pric/2018-2022%20DX%20Rates/2018/Bill%20Impacts_Aver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Bill Impacts"/>
      <sheetName val="Bill Impact Summary"/>
      <sheetName val="BI_UR_Low"/>
      <sheetName val="BI_UR_Typical"/>
      <sheetName val="BI_UR_Avg"/>
      <sheetName val="BI_UR_High"/>
      <sheetName val="BI_R1_Low"/>
      <sheetName val="BI_R1_Typical"/>
      <sheetName val="BI_R1_Avg"/>
      <sheetName val="BI_R1_High"/>
      <sheetName val="BI_R2_Low"/>
      <sheetName val="BI_R2_Typical"/>
      <sheetName val="BI_R2_Avg"/>
      <sheetName val="BI_R2_High"/>
      <sheetName val="BI_Seas_Low"/>
      <sheetName val="BI_Seas_Typical"/>
      <sheetName val="BI_Seas_Avg"/>
      <sheetName val="BI_Seas_High"/>
      <sheetName val="BI_UGe_Low"/>
      <sheetName val="BI_UGe_Typical"/>
      <sheetName val="BI_UGe_Avg"/>
      <sheetName val="BI_UGe_High"/>
      <sheetName val="BI_GSe_Low"/>
      <sheetName val="BI_GSe_Typical"/>
      <sheetName val="BI_GSe_Avg"/>
      <sheetName val="BI_GSe_High"/>
      <sheetName val="BI_UGd_Low"/>
      <sheetName val="BI_UGd_Avg"/>
      <sheetName val="BI_UGd_High"/>
      <sheetName val="BI_GSd_Low"/>
      <sheetName val="BI_GSd_Avg"/>
      <sheetName val="BI_GSd_High"/>
      <sheetName val="BI_DGen_Low"/>
      <sheetName val="BI_DGen_Avg"/>
      <sheetName val="BI_DGen_High"/>
      <sheetName val="BI_ST_Low"/>
      <sheetName val="BI_ST_Avg"/>
      <sheetName val="BI_ST_High"/>
      <sheetName val="BI_USL_Low"/>
      <sheetName val="BI_USL_Avg"/>
      <sheetName val="BI_USL_High"/>
      <sheetName val="BI_SenLgt_Low"/>
      <sheetName val="BI_SenLgt_Avg"/>
      <sheetName val="BI_SenLgt_High"/>
      <sheetName val="BI_StLgt_Low"/>
      <sheetName val="BI_StLgt_Avg"/>
      <sheetName val="BI_StLgt_High"/>
      <sheetName val="Bill Impact Summary (2)"/>
      <sheetName val="DNP_Bill Impact Summary_FIONA"/>
      <sheetName val="DNP_Data_LoadFrcst"/>
      <sheetName val="DNP_Bill Impact SummaryLF"/>
      <sheetName val="DNP_BI_UR_AvgLF"/>
      <sheetName val="DNP_BI_R1_AvgLF"/>
      <sheetName val="DNP_BI_R2_AvgLF"/>
      <sheetName val="BI_Seas_Low (All Fixed)"/>
      <sheetName val="BI_Seas_Avg (All Fixed)"/>
      <sheetName val="DNP_BI_Seas_AvgLF"/>
      <sheetName val="BI_Seas_Low_AllFixed"/>
      <sheetName val="BI_Seas_Avg_AllFixed"/>
      <sheetName val="BI_Seas_High (All Fixed)"/>
      <sheetName val="BI_Seas_High_AllFixed"/>
      <sheetName val="DNP_BI_UGe_AvgLF"/>
      <sheetName val="DNP_BI_UGe_High OCEB CALC"/>
      <sheetName val="DNP_BI_GSe_AvgLF"/>
      <sheetName val="DNP_BI_GSe_High_OCEB CALC"/>
      <sheetName val="DNP_BI_UGd_AvgLF"/>
      <sheetName val="DNP_BI_GSd_AvgLF"/>
      <sheetName val="DNP_BI_DGen_AvgLF"/>
      <sheetName val="DNP_BI_ST_AvgLF"/>
      <sheetName val="DNP_BI_USL_AvgLF"/>
      <sheetName val="DNP_BI_SenLgt_AvgLF"/>
      <sheetName val="DNP_BI_StLgt_AvgLF"/>
      <sheetName val="Bill Impacts_2018_v6"/>
    </sheetNames>
    <sheetDataSet>
      <sheetData sheetId="0" refreshError="1">
        <row r="2">
          <cell r="A2" t="str">
            <v>Rate Class</v>
          </cell>
          <cell r="B2" t="str">
            <v>Loss Factor</v>
          </cell>
          <cell r="C2" t="str">
            <v>Monthly Consumption (kWh)</v>
          </cell>
          <cell r="D2" t="str">
            <v>Commodity Threshold</v>
          </cell>
          <cell r="E2" t="str">
            <v>Avg Monthly Peak (kW)</v>
          </cell>
          <cell r="F2" t="str">
            <v>Charge Determinant</v>
          </cell>
          <cell r="G2" t="str">
            <v>Current Fixed Charge ($/month)</v>
          </cell>
          <cell r="H2" t="str">
            <v>Smart Meter Adder ($/month)</v>
          </cell>
          <cell r="I2" t="str">
            <v>Smart Metering Entity Charge ($/month)</v>
          </cell>
          <cell r="J2" t="str">
            <v>Current Variable Charge ($/kWh or $/kW))</v>
          </cell>
          <cell r="K2" t="str">
            <v>Current Foregone Revenue Riders Fixed ($/month)</v>
          </cell>
          <cell r="L2" t="str">
            <v>Proposed Foregone Revenue Riders Fixed ($/month)</v>
          </cell>
          <cell r="M2" t="str">
            <v>Current Def/VA rate rider Fixed ($/month)</v>
          </cell>
          <cell r="N2" t="str">
            <v>Current Def/VA rate rider Volumetric ($/kWh or $/kW)</v>
          </cell>
          <cell r="O2" t="str">
            <v>Current RTSR-NW ($/kWh or $/kW)</v>
          </cell>
          <cell r="P2" t="str">
            <v>Current RTSR-CONN ($/kWh or $/kW)</v>
          </cell>
          <cell r="Q2" t="str">
            <v>Proposed Fixed Charge ($/month)</v>
          </cell>
          <cell r="R2" t="str">
            <v>Smart Metering Entity Charge ($/month) - effective until Oct 2018</v>
          </cell>
          <cell r="S2" t="str">
            <v>Proposed volumetric Charge ($/kWh or $/kW)</v>
          </cell>
          <cell r="T2" t="str">
            <v>Current Rate Rider for Disposition of Global Adjustment Account</v>
          </cell>
          <cell r="U2" t="str">
            <v>Proposed Rate Rider for Disposition of Global Adjustment Account</v>
          </cell>
          <cell r="V2" t="str">
            <v>Proposed Def/VA rate rider Fixed ($/month)</v>
          </cell>
          <cell r="W2" t="str">
            <v>Proposed Def/VA rate rider Volumetric($/kWh or $/kW)</v>
          </cell>
          <cell r="X2" t="str">
            <v>Proposed RTSR-NW ($/kWh or $/kW)</v>
          </cell>
          <cell r="Y2" t="str">
            <v>Proposed RTSR-CONN ($/kWh or $/kW)</v>
          </cell>
        </row>
        <row r="3">
          <cell r="A3" t="str">
            <v>UR</v>
          </cell>
          <cell r="B3">
            <v>1.0569999999999999</v>
          </cell>
          <cell r="C3">
            <v>750</v>
          </cell>
          <cell r="D3">
            <v>600</v>
          </cell>
          <cell r="E3">
            <v>0</v>
          </cell>
          <cell r="F3" t="str">
            <v>kWh</v>
          </cell>
          <cell r="G3">
            <v>24.78</v>
          </cell>
          <cell r="H3">
            <v>0</v>
          </cell>
          <cell r="I3">
            <v>0.79</v>
          </cell>
          <cell r="J3">
            <v>9.4000000000000004E-3</v>
          </cell>
          <cell r="K3">
            <v>0</v>
          </cell>
          <cell r="L3">
            <v>0</v>
          </cell>
          <cell r="M3">
            <v>0.72</v>
          </cell>
          <cell r="N3">
            <v>-2.9999999999999997E-4</v>
          </cell>
          <cell r="O3">
            <v>6.7000000000000002E-3</v>
          </cell>
          <cell r="P3">
            <v>4.7000000000000002E-3</v>
          </cell>
          <cell r="Q3">
            <v>27.76</v>
          </cell>
          <cell r="R3">
            <v>0.79</v>
          </cell>
          <cell r="S3">
            <v>7.9000000000000008E-3</v>
          </cell>
          <cell r="T3">
            <v>-1E-3</v>
          </cell>
          <cell r="U3">
            <v>0</v>
          </cell>
          <cell r="V3">
            <v>0.01</v>
          </cell>
          <cell r="W3">
            <v>2.0000000000000001E-4</v>
          </cell>
          <cell r="X3">
            <v>7.8279999999999999E-3</v>
          </cell>
          <cell r="Y3">
            <v>6.4380000000000001E-3</v>
          </cell>
        </row>
        <row r="4">
          <cell r="A4" t="str">
            <v>R1</v>
          </cell>
          <cell r="B4">
            <v>1.0760000000000001</v>
          </cell>
          <cell r="C4">
            <v>750</v>
          </cell>
          <cell r="D4">
            <v>600</v>
          </cell>
          <cell r="E4">
            <v>0</v>
          </cell>
          <cell r="F4" t="str">
            <v>kWh</v>
          </cell>
          <cell r="G4">
            <v>33.770000000000003</v>
          </cell>
          <cell r="H4">
            <v>0</v>
          </cell>
          <cell r="I4">
            <v>0.79</v>
          </cell>
          <cell r="J4">
            <v>2.3E-2</v>
          </cell>
          <cell r="K4">
            <v>0</v>
          </cell>
          <cell r="L4">
            <v>0</v>
          </cell>
          <cell r="M4">
            <v>0.82</v>
          </cell>
          <cell r="N4">
            <v>-2.0000000000000001E-4</v>
          </cell>
          <cell r="O4">
            <v>6.4000000000000003E-3</v>
          </cell>
          <cell r="P4">
            <v>4.7000000000000002E-3</v>
          </cell>
          <cell r="Q4">
            <v>37.83</v>
          </cell>
          <cell r="R4">
            <v>0.79</v>
          </cell>
          <cell r="S4">
            <v>2.1999999999999999E-2</v>
          </cell>
          <cell r="T4">
            <v>-1E-3</v>
          </cell>
          <cell r="U4">
            <v>0</v>
          </cell>
          <cell r="V4">
            <v>0</v>
          </cell>
          <cell r="W4">
            <v>2.0000000000000001E-4</v>
          </cell>
          <cell r="X4">
            <v>7.2069999999999999E-3</v>
          </cell>
          <cell r="Y4">
            <v>6.0319999999999992E-3</v>
          </cell>
        </row>
        <row r="5">
          <cell r="A5" t="str">
            <v>R2</v>
          </cell>
          <cell r="B5">
            <v>1.105</v>
          </cell>
          <cell r="C5">
            <v>750</v>
          </cell>
          <cell r="D5">
            <v>600</v>
          </cell>
          <cell r="E5">
            <v>0</v>
          </cell>
          <cell r="F5" t="str">
            <v>kWh</v>
          </cell>
          <cell r="G5">
            <v>19.829999999999998</v>
          </cell>
          <cell r="H5">
            <v>0</v>
          </cell>
          <cell r="I5">
            <v>0.79</v>
          </cell>
          <cell r="J5">
            <v>3.7400000000000003E-2</v>
          </cell>
          <cell r="K5">
            <v>0</v>
          </cell>
          <cell r="L5">
            <v>0</v>
          </cell>
          <cell r="M5">
            <v>1.36</v>
          </cell>
          <cell r="N5">
            <v>0</v>
          </cell>
          <cell r="O5">
            <v>6.1999999999999998E-3</v>
          </cell>
          <cell r="P5">
            <v>4.4000000000000003E-3</v>
          </cell>
          <cell r="Q5">
            <v>25.109678307903934</v>
          </cell>
          <cell r="R5">
            <v>0.79</v>
          </cell>
          <cell r="S5">
            <v>3.6299999999999999E-2</v>
          </cell>
          <cell r="T5">
            <v>-1E-3</v>
          </cell>
          <cell r="U5">
            <v>0</v>
          </cell>
          <cell r="V5">
            <v>-0.02</v>
          </cell>
          <cell r="W5">
            <v>2.0000000000000001E-4</v>
          </cell>
          <cell r="X5">
            <v>6.7400000000000003E-3</v>
          </cell>
          <cell r="Y5">
            <v>5.6299999999999996E-3</v>
          </cell>
        </row>
        <row r="6">
          <cell r="A6" t="str">
            <v>Seasonal</v>
          </cell>
          <cell r="B6">
            <v>1.1040000000000001</v>
          </cell>
          <cell r="C6">
            <v>500</v>
          </cell>
          <cell r="D6">
            <v>600</v>
          </cell>
          <cell r="E6">
            <v>0</v>
          </cell>
          <cell r="F6" t="str">
            <v>kWh</v>
          </cell>
          <cell r="G6">
            <v>36.28</v>
          </cell>
          <cell r="H6">
            <v>0</v>
          </cell>
          <cell r="I6">
            <v>0.79</v>
          </cell>
          <cell r="J6">
            <v>6.3500000000000001E-2</v>
          </cell>
          <cell r="K6">
            <v>0</v>
          </cell>
          <cell r="L6">
            <v>0</v>
          </cell>
          <cell r="M6">
            <v>0.84</v>
          </cell>
          <cell r="N6">
            <v>2.9999999999999997E-4</v>
          </cell>
          <cell r="O6">
            <v>5.1000000000000004E-3</v>
          </cell>
          <cell r="P6">
            <v>4.1999999999999997E-3</v>
          </cell>
          <cell r="Q6">
            <v>40.57</v>
          </cell>
          <cell r="R6">
            <v>0.79</v>
          </cell>
          <cell r="S6">
            <v>6.08E-2</v>
          </cell>
          <cell r="T6">
            <v>-1E-3</v>
          </cell>
          <cell r="U6">
            <v>0</v>
          </cell>
          <cell r="V6">
            <v>0</v>
          </cell>
          <cell r="W6">
            <v>2.0000000000000001E-4</v>
          </cell>
          <cell r="X6">
            <v>5.6559999999999996E-3</v>
          </cell>
          <cell r="Y6">
            <v>4.8209999999999998E-3</v>
          </cell>
        </row>
        <row r="7">
          <cell r="A7" t="str">
            <v>GSe</v>
          </cell>
          <cell r="B7">
            <v>1.0960000000000001</v>
          </cell>
          <cell r="C7">
            <v>2000</v>
          </cell>
          <cell r="D7">
            <v>750</v>
          </cell>
          <cell r="E7">
            <v>0</v>
          </cell>
          <cell r="F7" t="str">
            <v>kWh</v>
          </cell>
          <cell r="G7">
            <v>27.87</v>
          </cell>
          <cell r="H7">
            <v>0</v>
          </cell>
          <cell r="I7">
            <v>0.79</v>
          </cell>
          <cell r="J7">
            <v>5.6000000000000001E-2</v>
          </cell>
          <cell r="K7">
            <v>0</v>
          </cell>
          <cell r="L7">
            <v>0</v>
          </cell>
          <cell r="M7">
            <v>0.73</v>
          </cell>
          <cell r="N7">
            <v>2.0000000000000001E-4</v>
          </cell>
          <cell r="O7">
            <v>5.8999999999999999E-3</v>
          </cell>
          <cell r="P7">
            <v>3.8E-3</v>
          </cell>
          <cell r="Q7">
            <v>29.68</v>
          </cell>
          <cell r="R7">
            <v>0.79</v>
          </cell>
          <cell r="S7">
            <v>5.91E-2</v>
          </cell>
          <cell r="T7">
            <v>-1E-3</v>
          </cell>
          <cell r="U7">
            <v>1.9E-3</v>
          </cell>
          <cell r="V7">
            <v>0</v>
          </cell>
          <cell r="W7">
            <v>2.0000000000000001E-4</v>
          </cell>
          <cell r="X7">
            <v>5.6930000000000001E-3</v>
          </cell>
          <cell r="Y7">
            <v>4.4740000000000005E-3</v>
          </cell>
        </row>
        <row r="8">
          <cell r="A8" t="str">
            <v>UGe</v>
          </cell>
          <cell r="B8">
            <v>1.0669999999999999</v>
          </cell>
          <cell r="C8">
            <v>2000</v>
          </cell>
          <cell r="D8">
            <v>750</v>
          </cell>
          <cell r="E8">
            <v>0</v>
          </cell>
          <cell r="F8" t="str">
            <v>kWh</v>
          </cell>
          <cell r="G8">
            <v>23.3</v>
          </cell>
          <cell r="H8">
            <v>0</v>
          </cell>
          <cell r="I8">
            <v>0.79</v>
          </cell>
          <cell r="J8">
            <v>2.6200000000000001E-2</v>
          </cell>
          <cell r="K8">
            <v>0</v>
          </cell>
          <cell r="L8">
            <v>0</v>
          </cell>
          <cell r="M8">
            <v>0.67</v>
          </cell>
          <cell r="N8">
            <v>-1E-4</v>
          </cell>
          <cell r="O8">
            <v>6.4000000000000003E-3</v>
          </cell>
          <cell r="P8">
            <v>4.0000000000000001E-3</v>
          </cell>
          <cell r="Q8">
            <v>23.97</v>
          </cell>
          <cell r="R8">
            <v>0.79</v>
          </cell>
          <cell r="S8">
            <v>2.8000000000000001E-2</v>
          </cell>
          <cell r="T8">
            <v>-1E-3</v>
          </cell>
          <cell r="U8">
            <v>1.9E-3</v>
          </cell>
          <cell r="V8">
            <v>0.01</v>
          </cell>
          <cell r="W8">
            <v>2.0000000000000001E-4</v>
          </cell>
          <cell r="X8">
            <v>6.1060000000000003E-3</v>
          </cell>
          <cell r="Y8">
            <v>4.6519999999999999E-3</v>
          </cell>
        </row>
        <row r="9">
          <cell r="A9" t="str">
            <v>St Lgt</v>
          </cell>
          <cell r="B9">
            <v>1.0920000000000001</v>
          </cell>
          <cell r="C9">
            <v>1440</v>
          </cell>
          <cell r="D9">
            <v>750</v>
          </cell>
          <cell r="E9">
            <v>0</v>
          </cell>
          <cell r="F9" t="str">
            <v>kWh</v>
          </cell>
          <cell r="G9">
            <v>4.25</v>
          </cell>
          <cell r="H9">
            <v>0</v>
          </cell>
          <cell r="I9">
            <v>0</v>
          </cell>
          <cell r="J9">
            <v>9.2399999999999996E-2</v>
          </cell>
          <cell r="K9">
            <v>0</v>
          </cell>
          <cell r="L9">
            <v>0</v>
          </cell>
          <cell r="M9">
            <v>0.08</v>
          </cell>
          <cell r="N9">
            <v>6.9999999999999999E-4</v>
          </cell>
          <cell r="O9">
            <v>4.4999999999999997E-3</v>
          </cell>
          <cell r="P9">
            <v>2.7000000000000001E-3</v>
          </cell>
          <cell r="Q9">
            <v>4.08</v>
          </cell>
          <cell r="R9">
            <v>0</v>
          </cell>
          <cell r="S9">
            <v>9.8000000000000004E-2</v>
          </cell>
          <cell r="T9">
            <v>-1E-3</v>
          </cell>
          <cell r="U9">
            <v>1.9E-3</v>
          </cell>
          <cell r="V9">
            <v>0</v>
          </cell>
          <cell r="W9">
            <v>2.0000000000000001E-4</v>
          </cell>
          <cell r="X9">
            <v>4.6979999999999999E-3</v>
          </cell>
          <cell r="Y9">
            <v>4.2899999999999995E-3</v>
          </cell>
        </row>
        <row r="10">
          <cell r="A10" t="str">
            <v>Sen Lgt</v>
          </cell>
          <cell r="B10">
            <v>1.0920000000000001</v>
          </cell>
          <cell r="C10">
            <v>62</v>
          </cell>
          <cell r="D10">
            <v>750</v>
          </cell>
          <cell r="E10">
            <v>0</v>
          </cell>
          <cell r="F10" t="str">
            <v>kWh</v>
          </cell>
          <cell r="G10">
            <v>2.71</v>
          </cell>
          <cell r="H10">
            <v>0</v>
          </cell>
          <cell r="I10">
            <v>0</v>
          </cell>
          <cell r="J10">
            <v>0.1178</v>
          </cell>
          <cell r="K10">
            <v>0</v>
          </cell>
          <cell r="L10">
            <v>0</v>
          </cell>
          <cell r="M10">
            <v>0.05</v>
          </cell>
          <cell r="N10">
            <v>8.9999999999999998E-4</v>
          </cell>
          <cell r="O10">
            <v>4.4999999999999997E-3</v>
          </cell>
          <cell r="P10">
            <v>2.7000000000000001E-3</v>
          </cell>
          <cell r="Q10">
            <v>3.1</v>
          </cell>
          <cell r="R10">
            <v>0</v>
          </cell>
          <cell r="S10">
            <v>0.11799999999999999</v>
          </cell>
          <cell r="T10">
            <v>-1E-3</v>
          </cell>
          <cell r="U10">
            <v>1.9E-3</v>
          </cell>
          <cell r="V10">
            <v>0</v>
          </cell>
          <cell r="W10">
            <v>1E-4</v>
          </cell>
          <cell r="X10">
            <v>4.6979999999999999E-3</v>
          </cell>
          <cell r="Y10">
            <v>4.2899999999999995E-3</v>
          </cell>
        </row>
        <row r="11">
          <cell r="A11" t="str">
            <v>USL</v>
          </cell>
          <cell r="B11">
            <v>1.0920000000000001</v>
          </cell>
          <cell r="C11">
            <v>500</v>
          </cell>
          <cell r="D11">
            <v>750</v>
          </cell>
          <cell r="E11">
            <v>0</v>
          </cell>
          <cell r="F11" t="str">
            <v>kWh</v>
          </cell>
          <cell r="G11">
            <v>35.18</v>
          </cell>
          <cell r="H11">
            <v>0</v>
          </cell>
          <cell r="I11">
            <v>0</v>
          </cell>
          <cell r="J11">
            <v>2.8500000000000001E-2</v>
          </cell>
          <cell r="K11">
            <v>0</v>
          </cell>
          <cell r="L11">
            <v>0</v>
          </cell>
          <cell r="M11">
            <v>0.51</v>
          </cell>
          <cell r="N11">
            <v>-1E-4</v>
          </cell>
          <cell r="O11">
            <v>4.7000000000000002E-3</v>
          </cell>
          <cell r="P11">
            <v>3.0999999999999999E-3</v>
          </cell>
          <cell r="Q11">
            <v>35.1</v>
          </cell>
          <cell r="R11">
            <v>0</v>
          </cell>
          <cell r="S11">
            <v>2.87E-2</v>
          </cell>
          <cell r="T11">
            <v>-1E-3</v>
          </cell>
          <cell r="U11">
            <v>1.9E-3</v>
          </cell>
          <cell r="V11">
            <v>-0.01</v>
          </cell>
          <cell r="W11">
            <v>2.0000000000000001E-4</v>
          </cell>
          <cell r="X11">
            <v>4.7699999999999999E-3</v>
          </cell>
          <cell r="Y11">
            <v>3.7950000000000002E-3</v>
          </cell>
        </row>
        <row r="12">
          <cell r="A12" t="str">
            <v>GSd</v>
          </cell>
          <cell r="B12">
            <v>1.0609999999999999</v>
          </cell>
          <cell r="C12">
            <v>36000</v>
          </cell>
          <cell r="D12">
            <v>0</v>
          </cell>
          <cell r="E12">
            <v>117</v>
          </cell>
          <cell r="F12" t="str">
            <v>kW</v>
          </cell>
          <cell r="G12">
            <v>89.48</v>
          </cell>
          <cell r="H12">
            <v>0</v>
          </cell>
          <cell r="I12">
            <v>0</v>
          </cell>
          <cell r="J12">
            <v>15.912100000000001</v>
          </cell>
          <cell r="K12">
            <v>0</v>
          </cell>
          <cell r="L12">
            <v>0</v>
          </cell>
          <cell r="M12">
            <v>1.37</v>
          </cell>
          <cell r="N12">
            <v>4.2799999999999998E-2</v>
          </cell>
          <cell r="O12">
            <v>1.7027000000000001</v>
          </cell>
          <cell r="P12">
            <v>1.1397999999999999</v>
          </cell>
          <cell r="Q12">
            <v>102.93</v>
          </cell>
          <cell r="R12">
            <v>0</v>
          </cell>
          <cell r="S12">
            <v>16.7653</v>
          </cell>
          <cell r="T12">
            <v>-1E-3</v>
          </cell>
          <cell r="U12">
            <v>1.9E-3</v>
          </cell>
          <cell r="V12">
            <v>-0.02</v>
          </cell>
          <cell r="W12">
            <v>4.7E-2</v>
          </cell>
          <cell r="X12">
            <v>1.6718177000000001</v>
          </cell>
          <cell r="Y12">
            <v>1.2769135</v>
          </cell>
        </row>
        <row r="13">
          <cell r="A13" t="str">
            <v>UGd</v>
          </cell>
          <cell r="B13">
            <v>1.05</v>
          </cell>
          <cell r="C13">
            <v>36000</v>
          </cell>
          <cell r="D13">
            <v>0</v>
          </cell>
          <cell r="E13">
            <v>117</v>
          </cell>
          <cell r="F13" t="str">
            <v>kW</v>
          </cell>
          <cell r="G13">
            <v>93.97</v>
          </cell>
          <cell r="H13">
            <v>0</v>
          </cell>
          <cell r="I13">
            <v>0</v>
          </cell>
          <cell r="J13">
            <v>9.0851000000000006</v>
          </cell>
          <cell r="K13">
            <v>0</v>
          </cell>
          <cell r="L13">
            <v>0</v>
          </cell>
          <cell r="M13">
            <v>1.42</v>
          </cell>
          <cell r="N13">
            <v>-6.2300000000000001E-2</v>
          </cell>
          <cell r="O13">
            <v>2.1128999999999998</v>
          </cell>
          <cell r="P13">
            <v>1.3900999999999999</v>
          </cell>
          <cell r="Q13">
            <v>101.13</v>
          </cell>
          <cell r="R13">
            <v>0</v>
          </cell>
          <cell r="S13">
            <v>9.5976999999999997</v>
          </cell>
          <cell r="T13">
            <v>-1E-3</v>
          </cell>
          <cell r="U13">
            <v>1.9E-3</v>
          </cell>
          <cell r="V13">
            <v>0.01</v>
          </cell>
          <cell r="W13">
            <v>6.4600000000000005E-2</v>
          </cell>
          <cell r="X13">
            <v>2.2310400000000001</v>
          </cell>
          <cell r="Y13">
            <v>1.7046749999999999</v>
          </cell>
        </row>
        <row r="14">
          <cell r="A14" t="str">
            <v>Dgen</v>
          </cell>
          <cell r="B14">
            <v>1.0609999999999999</v>
          </cell>
          <cell r="C14">
            <v>2000</v>
          </cell>
          <cell r="D14">
            <v>0</v>
          </cell>
          <cell r="E14">
            <v>15</v>
          </cell>
          <cell r="F14" t="str">
            <v>kW</v>
          </cell>
          <cell r="G14">
            <v>149.34</v>
          </cell>
          <cell r="H14">
            <v>0</v>
          </cell>
          <cell r="I14">
            <v>0</v>
          </cell>
          <cell r="J14">
            <v>6.9518000000000004</v>
          </cell>
          <cell r="K14">
            <v>0</v>
          </cell>
          <cell r="L14">
            <v>0</v>
          </cell>
          <cell r="M14">
            <v>2.72</v>
          </cell>
          <cell r="N14">
            <v>6.3299999999999995E-2</v>
          </cell>
          <cell r="O14">
            <v>0.55489999999999995</v>
          </cell>
          <cell r="P14">
            <v>0.3553</v>
          </cell>
          <cell r="Q14">
            <v>198.03</v>
          </cell>
          <cell r="R14">
            <v>0</v>
          </cell>
          <cell r="S14">
            <v>6.0591999999999997</v>
          </cell>
          <cell r="T14">
            <v>-1E-3</v>
          </cell>
          <cell r="U14">
            <v>1.9E-3</v>
          </cell>
          <cell r="V14">
            <v>0.01</v>
          </cell>
          <cell r="W14">
            <v>1.72E-2</v>
          </cell>
          <cell r="X14">
            <v>0.63108279999999994</v>
          </cell>
          <cell r="Y14">
            <v>0.54747599999999996</v>
          </cell>
        </row>
        <row r="15">
          <cell r="A15" t="str">
            <v>ST</v>
          </cell>
          <cell r="B15">
            <v>1.034</v>
          </cell>
          <cell r="C15">
            <v>36000</v>
          </cell>
          <cell r="D15">
            <v>0</v>
          </cell>
          <cell r="E15">
            <v>117</v>
          </cell>
          <cell r="F15" t="str">
            <v>kW</v>
          </cell>
          <cell r="G15">
            <v>1256.56</v>
          </cell>
          <cell r="H15">
            <v>0</v>
          </cell>
          <cell r="I15">
            <v>0</v>
          </cell>
          <cell r="J15">
            <v>1.2052</v>
          </cell>
          <cell r="K15">
            <v>0</v>
          </cell>
          <cell r="L15">
            <v>0</v>
          </cell>
          <cell r="M15">
            <v>11.86</v>
          </cell>
          <cell r="N15">
            <v>0.31259999999999999</v>
          </cell>
          <cell r="O15">
            <v>3.3028</v>
          </cell>
          <cell r="P15">
            <v>2.6059999999999999</v>
          </cell>
          <cell r="Q15">
            <v>1204.08</v>
          </cell>
          <cell r="R15">
            <v>0</v>
          </cell>
          <cell r="S15">
            <v>1.3153070071616677</v>
          </cell>
          <cell r="T15">
            <v>-1E-3</v>
          </cell>
          <cell r="U15">
            <v>1.9E-3</v>
          </cell>
          <cell r="V15">
            <v>3.83</v>
          </cell>
          <cell r="W15">
            <v>0.27289999999999998</v>
          </cell>
          <cell r="X15">
            <v>3.4866480000000002</v>
          </cell>
          <cell r="Y15">
            <v>2.6021643999999999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Design"/>
      <sheetName val="2019 Revenue at 2018 rates"/>
      <sheetName val="Rate Design_2019_v6"/>
    </sheetNames>
    <sheetDataSet>
      <sheetData sheetId="0">
        <row r="8">
          <cell r="A8" t="str">
            <v>UR</v>
          </cell>
          <cell r="T8" t="str">
            <v>UR</v>
          </cell>
          <cell r="U8">
            <v>31.297822615728933</v>
          </cell>
          <cell r="V8">
            <v>85881152.886870384</v>
          </cell>
          <cell r="W8">
            <v>9707777.0769699216</v>
          </cell>
          <cell r="X8">
            <v>0.47416559115816592</v>
          </cell>
          <cell r="Y8">
            <v>0</v>
          </cell>
        </row>
        <row r="9">
          <cell r="T9" t="str">
            <v>R1</v>
          </cell>
          <cell r="U9">
            <v>42.248719117086345</v>
          </cell>
          <cell r="V9">
            <v>228121873.1347658</v>
          </cell>
          <cell r="W9">
            <v>95435459.622109637</v>
          </cell>
          <cell r="X9">
            <v>1.9408489552771555</v>
          </cell>
          <cell r="Y9">
            <v>0</v>
          </cell>
        </row>
        <row r="10">
          <cell r="T10" t="str">
            <v>R2</v>
          </cell>
          <cell r="U10">
            <v>97.810429894417638</v>
          </cell>
          <cell r="V10">
            <v>387418952.59926111</v>
          </cell>
          <cell r="W10">
            <v>144342610.95608246</v>
          </cell>
          <cell r="X10">
            <v>3.2231232528740383</v>
          </cell>
          <cell r="Y10">
            <v>0</v>
          </cell>
        </row>
        <row r="11">
          <cell r="T11" t="str">
            <v>Seasonal</v>
          </cell>
          <cell r="U11">
            <v>45.142009632891636</v>
          </cell>
          <cell r="V11">
            <v>81154550.287349328</v>
          </cell>
          <cell r="W11">
            <v>32877524.831894159</v>
          </cell>
          <cell r="X11">
            <v>5.3047806203537951</v>
          </cell>
          <cell r="Y11">
            <v>0</v>
          </cell>
        </row>
        <row r="12">
          <cell r="T12" t="str">
            <v>GSe</v>
          </cell>
          <cell r="U12">
            <v>30.260471001883513</v>
          </cell>
          <cell r="V12">
            <v>32108482.53183062</v>
          </cell>
          <cell r="W12">
            <v>126756263.55214649</v>
          </cell>
          <cell r="X12">
            <v>6.1405568544290787</v>
          </cell>
          <cell r="Y12">
            <v>0</v>
          </cell>
        </row>
        <row r="13">
          <cell r="T13" t="str">
            <v>GSd</v>
          </cell>
          <cell r="U13">
            <v>104.41543273666507</v>
          </cell>
          <cell r="V13">
            <v>6837486.3884108318</v>
          </cell>
          <cell r="W13">
            <v>137788610.25635171</v>
          </cell>
          <cell r="X13">
            <v>0</v>
          </cell>
          <cell r="Y13">
            <v>17.353162603376052</v>
          </cell>
        </row>
        <row r="14">
          <cell r="T14" t="str">
            <v>UGe</v>
          </cell>
          <cell r="U14">
            <v>24.51801523037215</v>
          </cell>
          <cell r="V14">
            <v>5344829.6653061034</v>
          </cell>
          <cell r="W14">
            <v>17196800.986214615</v>
          </cell>
          <cell r="X14">
            <v>2.9035377224463979</v>
          </cell>
          <cell r="Y14">
            <v>0</v>
          </cell>
        </row>
        <row r="15">
          <cell r="T15" t="str">
            <v>UGd</v>
          </cell>
          <cell r="U15">
            <v>102.94346545537159</v>
          </cell>
          <cell r="V15">
            <v>2165144.3584941495</v>
          </cell>
          <cell r="W15">
            <v>27804459.386473842</v>
          </cell>
          <cell r="X15">
            <v>0</v>
          </cell>
          <cell r="Y15">
            <v>9.9375253123957297</v>
          </cell>
        </row>
        <row r="16">
          <cell r="T16" t="str">
            <v>St Lgt</v>
          </cell>
          <cell r="U16">
            <v>4.21310923193648</v>
          </cell>
          <cell r="V16">
            <v>271165.88345913461</v>
          </cell>
          <cell r="W16">
            <v>12356244.190898519</v>
          </cell>
          <cell r="X16">
            <v>10.134267833439639</v>
          </cell>
          <cell r="Y16">
            <v>0</v>
          </cell>
        </row>
        <row r="17">
          <cell r="T17" t="str">
            <v>Sen Lgt</v>
          </cell>
          <cell r="U17">
            <v>3.2572501345574487</v>
          </cell>
          <cell r="V17">
            <v>931148.76370774349</v>
          </cell>
          <cell r="W17">
            <v>2507502.0349910255</v>
          </cell>
          <cell r="X17">
            <v>12.391792281777656</v>
          </cell>
          <cell r="Y17">
            <v>0</v>
          </cell>
        </row>
        <row r="18">
          <cell r="T18" t="str">
            <v>USL</v>
          </cell>
          <cell r="U18">
            <v>35.760936887666311</v>
          </cell>
          <cell r="V18">
            <v>2417458.410774997</v>
          </cell>
          <cell r="W18">
            <v>718919.06281219923</v>
          </cell>
          <cell r="X18">
            <v>2.9271580070401195</v>
          </cell>
          <cell r="Y18">
            <v>0</v>
          </cell>
        </row>
        <row r="19">
          <cell r="T19" t="str">
            <v>Dgen</v>
          </cell>
          <cell r="U19">
            <v>198.03</v>
          </cell>
          <cell r="V19">
            <v>3023547.5476279375</v>
          </cell>
          <cell r="W19">
            <v>1833785.8549669732</v>
          </cell>
          <cell r="X19">
            <v>0</v>
          </cell>
          <cell r="Y19">
            <v>9.5955745133032888</v>
          </cell>
        </row>
        <row r="20">
          <cell r="T20" t="str">
            <v>ST</v>
          </cell>
          <cell r="U20">
            <v>1048.5114249298779</v>
          </cell>
          <cell r="V20">
            <v>10205450.868417596</v>
          </cell>
          <cell r="W20">
            <v>44339329.571882889</v>
          </cell>
          <cell r="X20">
            <v>0</v>
          </cell>
          <cell r="Y20">
            <v>1.4960553942344614</v>
          </cell>
        </row>
      </sheetData>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5">
          <cell r="B5">
            <v>250.60464000000002</v>
          </cell>
        </row>
        <row r="7">
          <cell r="C7">
            <v>63.590321692096069</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_CA_Extract"/>
      <sheetName val="ActualInputs_ScaleUp"/>
      <sheetName val="Charge_dets_SUMMARY"/>
      <sheetName val="Fixed"/>
      <sheetName val="HVDS High"/>
      <sheetName val="LVDS Low"/>
      <sheetName val="Specific Line"/>
      <sheetName val="Rate Calc"/>
      <sheetName val="Exhibit G1-4-4"/>
      <sheetName val="Exhibit G-7-1"/>
      <sheetName val="Sheet1"/>
      <sheetName val="DRO_EXHIBIT3.1.1."/>
      <sheetName val="Sheet2"/>
    </sheetNames>
    <sheetDataSet>
      <sheetData sheetId="0"/>
      <sheetData sheetId="1"/>
      <sheetData sheetId="2"/>
      <sheetData sheetId="3"/>
      <sheetData sheetId="4"/>
      <sheetData sheetId="5"/>
      <sheetData sheetId="6"/>
      <sheetData sheetId="7">
        <row r="16">
          <cell r="G16">
            <v>544.70000000000005</v>
          </cell>
          <cell r="H16">
            <v>681.93</v>
          </cell>
        </row>
        <row r="36">
          <cell r="D36">
            <v>1.3683020513538697</v>
          </cell>
        </row>
      </sheetData>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9">
          <cell r="A9" t="str">
            <v>UR</v>
          </cell>
          <cell r="B9">
            <v>0</v>
          </cell>
          <cell r="C9">
            <v>225944.18649169474</v>
          </cell>
          <cell r="D9">
            <v>2047.2628889178184</v>
          </cell>
          <cell r="E9">
            <v>0</v>
          </cell>
          <cell r="F9">
            <v>1.0569999999999999</v>
          </cell>
          <cell r="G9">
            <v>170605240.74315152</v>
          </cell>
          <cell r="H9">
            <v>755</v>
          </cell>
          <cell r="I9">
            <v>0</v>
          </cell>
        </row>
        <row r="10">
          <cell r="A10" t="str">
            <v>R1</v>
          </cell>
          <cell r="B10">
            <v>0</v>
          </cell>
          <cell r="C10">
            <v>446101.51280686347</v>
          </cell>
          <cell r="D10">
            <v>4924.0683025766612</v>
          </cell>
          <cell r="E10">
            <v>0</v>
          </cell>
          <cell r="F10">
            <v>1.0760000000000001</v>
          </cell>
          <cell r="G10">
            <v>410339025.21472174</v>
          </cell>
          <cell r="H10">
            <v>920</v>
          </cell>
          <cell r="I10">
            <v>0</v>
          </cell>
        </row>
        <row r="11">
          <cell r="A11" t="str">
            <v>R2</v>
          </cell>
          <cell r="B11">
            <v>0</v>
          </cell>
          <cell r="C11">
            <v>328410.3530898749</v>
          </cell>
          <cell r="D11">
            <v>4539.3673058441782</v>
          </cell>
          <cell r="E11">
            <v>0</v>
          </cell>
          <cell r="F11">
            <v>1.105</v>
          </cell>
          <cell r="G11">
            <v>378280608.8203482</v>
          </cell>
          <cell r="H11">
            <v>1152</v>
          </cell>
          <cell r="I11">
            <v>0</v>
          </cell>
        </row>
        <row r="12">
          <cell r="A12" t="str">
            <v>Seasonal</v>
          </cell>
          <cell r="B12">
            <v>0</v>
          </cell>
          <cell r="C12">
            <v>149484.64840405117</v>
          </cell>
          <cell r="D12">
            <v>631.92121602545365</v>
          </cell>
          <cell r="E12">
            <v>0</v>
          </cell>
          <cell r="F12">
            <v>1.1040000000000001</v>
          </cell>
          <cell r="G12">
            <v>52660101.335454471</v>
          </cell>
          <cell r="H12">
            <v>352</v>
          </cell>
          <cell r="I12">
            <v>0</v>
          </cell>
        </row>
        <row r="13">
          <cell r="A13" t="str">
            <v>GSe</v>
          </cell>
          <cell r="B13">
            <v>0</v>
          </cell>
          <cell r="C13">
            <v>88483.899806478017</v>
          </cell>
          <cell r="D13">
            <v>2104.034979835551</v>
          </cell>
          <cell r="E13">
            <v>0</v>
          </cell>
          <cell r="F13">
            <v>1.0960000000000001</v>
          </cell>
          <cell r="G13">
            <v>175336248.31962925</v>
          </cell>
          <cell r="H13">
            <v>1982</v>
          </cell>
          <cell r="I13">
            <v>0</v>
          </cell>
        </row>
        <row r="14">
          <cell r="A14" t="str">
            <v>GSd</v>
          </cell>
          <cell r="B14">
            <v>0</v>
          </cell>
          <cell r="C14">
            <v>5405.649614848262</v>
          </cell>
          <cell r="D14">
            <v>2341.9790377935678</v>
          </cell>
          <cell r="E14">
            <v>8025918.0344505152</v>
          </cell>
          <cell r="F14">
            <v>1.0669999999999999</v>
          </cell>
          <cell r="G14">
            <v>195164919.81613064</v>
          </cell>
          <cell r="H14">
            <v>36104</v>
          </cell>
          <cell r="I14">
            <v>124</v>
          </cell>
        </row>
        <row r="15">
          <cell r="A15" t="str">
            <v>UGe</v>
          </cell>
          <cell r="B15">
            <v>0</v>
          </cell>
          <cell r="C15">
            <v>18073.874182670519</v>
          </cell>
          <cell r="D15">
            <v>598.36676536535117</v>
          </cell>
          <cell r="E15">
            <v>0</v>
          </cell>
          <cell r="F15">
            <v>1.0920000000000001</v>
          </cell>
          <cell r="G15">
            <v>49863897.113779269</v>
          </cell>
          <cell r="H15">
            <v>2759</v>
          </cell>
          <cell r="I15">
            <v>0</v>
          </cell>
        </row>
        <row r="16">
          <cell r="A16" t="str">
            <v>UGd</v>
          </cell>
          <cell r="B16">
            <v>0</v>
          </cell>
          <cell r="C16">
            <v>1744.2364648136806</v>
          </cell>
          <cell r="D16">
            <v>1057.5260278163953</v>
          </cell>
          <cell r="E16">
            <v>2832322.4440301014</v>
          </cell>
          <cell r="F16">
            <v>1.0920000000000001</v>
          </cell>
          <cell r="G16">
            <v>88127168.984699607</v>
          </cell>
          <cell r="H16">
            <v>50525</v>
          </cell>
          <cell r="I16">
            <v>135</v>
          </cell>
        </row>
        <row r="17">
          <cell r="A17" t="str">
            <v>St Lgt</v>
          </cell>
          <cell r="B17">
            <v>0</v>
          </cell>
          <cell r="C17">
            <v>19544.852415994977</v>
          </cell>
          <cell r="D17">
            <v>121.36784768686539</v>
          </cell>
          <cell r="E17">
            <v>0</v>
          </cell>
          <cell r="F17">
            <v>1.0920000000000001</v>
          </cell>
          <cell r="G17">
            <v>10113987.307238782</v>
          </cell>
          <cell r="H17">
            <v>517</v>
          </cell>
          <cell r="I17">
            <v>0</v>
          </cell>
        </row>
        <row r="18">
          <cell r="A18" t="str">
            <v>Sen Lgt</v>
          </cell>
          <cell r="B18">
            <v>0</v>
          </cell>
          <cell r="C18">
            <v>23986.843457437422</v>
          </cell>
          <cell r="D18">
            <v>20.385578156035042</v>
          </cell>
          <cell r="E18">
            <v>0</v>
          </cell>
          <cell r="F18">
            <v>1.0609999999999999</v>
          </cell>
          <cell r="G18">
            <v>1698798.1796695869</v>
          </cell>
          <cell r="H18">
            <v>71</v>
          </cell>
          <cell r="I18">
            <v>0</v>
          </cell>
        </row>
        <row r="19">
          <cell r="A19" t="str">
            <v>USL</v>
          </cell>
          <cell r="B19">
            <v>0</v>
          </cell>
          <cell r="C19">
            <v>5597.258733734303</v>
          </cell>
          <cell r="D19">
            <v>24.437189604035659</v>
          </cell>
          <cell r="E19">
            <v>0</v>
          </cell>
          <cell r="F19">
            <v>1.05</v>
          </cell>
          <cell r="G19">
            <v>2036432.4670029718</v>
          </cell>
          <cell r="H19">
            <v>364</v>
          </cell>
          <cell r="I19">
            <v>0</v>
          </cell>
        </row>
        <row r="20">
          <cell r="A20" t="str">
            <v>DGen</v>
          </cell>
          <cell r="B20">
            <v>0</v>
          </cell>
          <cell r="C20">
            <v>1152.4825649576753</v>
          </cell>
          <cell r="D20">
            <v>18.36807032833428</v>
          </cell>
          <cell r="E20">
            <v>184739.19535572777</v>
          </cell>
          <cell r="F20">
            <v>1.0609999999999999</v>
          </cell>
          <cell r="G20">
            <v>1530672.5273611899</v>
          </cell>
          <cell r="H20">
            <v>1328</v>
          </cell>
          <cell r="I20">
            <v>13</v>
          </cell>
        </row>
        <row r="21">
          <cell r="A21" t="str">
            <v>ST</v>
          </cell>
          <cell r="B21">
            <v>0</v>
          </cell>
          <cell r="C21">
            <v>808.24672285681027</v>
          </cell>
          <cell r="D21">
            <v>15528.383150724745</v>
          </cell>
          <cell r="E21">
            <v>29977946.365926702</v>
          </cell>
          <cell r="F21">
            <v>1.034</v>
          </cell>
          <cell r="G21">
            <v>1294031929.227062</v>
          </cell>
          <cell r="H21">
            <v>1601036</v>
          </cell>
          <cell r="I21">
            <v>3091</v>
          </cell>
        </row>
        <row r="22">
          <cell r="A22" t="str">
            <v>Acq_UR</v>
          </cell>
          <cell r="B22">
            <v>0</v>
          </cell>
          <cell r="C22">
            <v>15311.903572352236</v>
          </cell>
          <cell r="D22">
            <v>92.804244895154866</v>
          </cell>
          <cell r="E22">
            <v>0</v>
          </cell>
          <cell r="F22">
            <v>0</v>
          </cell>
          <cell r="G22">
            <v>7733687.0745962383</v>
          </cell>
          <cell r="H22">
            <v>505</v>
          </cell>
          <cell r="I22">
            <v>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1" tint="0.499984740745262"/>
    <pageSetUpPr fitToPage="1"/>
  </sheetPr>
  <dimension ref="A1:Y89"/>
  <sheetViews>
    <sheetView tabSelected="1" workbookViewId="0">
      <pane xSplit="2" ySplit="2" topLeftCell="C3" activePane="bottomRight" state="frozen"/>
      <selection activeCell="Q5" sqref="Q5"/>
      <selection pane="topRight" activeCell="Q5" sqref="Q5"/>
      <selection pane="bottomLeft" activeCell="Q5" sqref="Q5"/>
      <selection pane="bottomRight" activeCell="E1" sqref="E1:E1048576"/>
    </sheetView>
  </sheetViews>
  <sheetFormatPr defaultRowHeight="12.75" x14ac:dyDescent="0.2"/>
  <cols>
    <col min="1" max="1" width="18.42578125" bestFit="1" customWidth="1"/>
    <col min="2" max="2" width="13" customWidth="1"/>
    <col min="3" max="3" width="12.5703125" customWidth="1"/>
    <col min="4" max="4" width="11.140625" customWidth="1"/>
    <col min="6" max="6" width="12.140625" customWidth="1"/>
    <col min="7" max="7" width="9.42578125" style="154" bestFit="1" customWidth="1"/>
    <col min="8" max="8" width="8.85546875" style="154" bestFit="1" customWidth="1"/>
    <col min="9" max="9" width="9.42578125" style="154" bestFit="1" customWidth="1"/>
    <col min="10" max="10" width="9.5703125" style="154" customWidth="1"/>
    <col min="11" max="11" width="9.7109375" style="154" bestFit="1" customWidth="1"/>
    <col min="12" max="12" width="9.85546875" style="154" customWidth="1"/>
    <col min="13" max="13" width="9.42578125" style="154" bestFit="1" customWidth="1"/>
    <col min="14" max="14" width="9.85546875" style="154" bestFit="1" customWidth="1"/>
    <col min="15" max="15" width="8.42578125" style="154" bestFit="1" customWidth="1"/>
    <col min="16" max="16" width="9.5703125" style="154" bestFit="1" customWidth="1"/>
    <col min="17" max="18" width="10" customWidth="1"/>
    <col min="19" max="20" width="11" customWidth="1"/>
    <col min="21" max="21" width="11.140625" bestFit="1" customWidth="1"/>
    <col min="22" max="22" width="9.5703125" bestFit="1" customWidth="1"/>
    <col min="23" max="23" width="10.5703125" bestFit="1" customWidth="1"/>
    <col min="24" max="24" width="9.5703125" customWidth="1"/>
    <col min="25" max="25" width="9.5703125" bestFit="1" customWidth="1"/>
    <col min="26" max="26" width="11" customWidth="1"/>
    <col min="27" max="27" width="10.28515625" customWidth="1"/>
    <col min="28" max="28" width="10.7109375" customWidth="1"/>
  </cols>
  <sheetData>
    <row r="1" spans="1:25" x14ac:dyDescent="0.2">
      <c r="A1" s="9">
        <v>1</v>
      </c>
      <c r="B1" s="9">
        <v>2</v>
      </c>
      <c r="C1" s="9">
        <v>3</v>
      </c>
      <c r="D1" s="9">
        <v>4</v>
      </c>
      <c r="E1" s="9">
        <v>5</v>
      </c>
      <c r="F1" s="9">
        <v>6</v>
      </c>
      <c r="G1" s="153">
        <v>7</v>
      </c>
      <c r="H1" s="153">
        <v>8</v>
      </c>
      <c r="I1" s="153">
        <v>9</v>
      </c>
      <c r="J1" s="153">
        <v>10</v>
      </c>
      <c r="K1" s="153">
        <v>11</v>
      </c>
      <c r="L1" s="153">
        <v>12</v>
      </c>
      <c r="M1" s="153">
        <v>13</v>
      </c>
      <c r="N1" s="153">
        <v>14</v>
      </c>
      <c r="O1" s="153">
        <v>15</v>
      </c>
      <c r="P1" s="153">
        <v>16</v>
      </c>
      <c r="Q1" s="9">
        <v>17</v>
      </c>
      <c r="R1" s="9">
        <v>18</v>
      </c>
      <c r="S1" s="9">
        <v>19</v>
      </c>
      <c r="T1" s="9">
        <v>20</v>
      </c>
      <c r="U1" s="9">
        <v>21</v>
      </c>
      <c r="V1" s="9">
        <v>22</v>
      </c>
      <c r="W1" s="9">
        <v>23</v>
      </c>
      <c r="X1" s="9">
        <v>24</v>
      </c>
      <c r="Y1" s="9">
        <v>25</v>
      </c>
    </row>
    <row r="2" spans="1:25" s="12" customFormat="1" ht="89.25" x14ac:dyDescent="0.2">
      <c r="A2" s="10" t="s">
        <v>13</v>
      </c>
      <c r="B2" s="10" t="s">
        <v>14</v>
      </c>
      <c r="C2" s="10" t="s">
        <v>62</v>
      </c>
      <c r="D2" s="10" t="s">
        <v>15</v>
      </c>
      <c r="E2" s="10" t="s">
        <v>71</v>
      </c>
      <c r="F2" s="11" t="s">
        <v>17</v>
      </c>
      <c r="G2" s="11" t="s">
        <v>54</v>
      </c>
      <c r="H2" s="11" t="s">
        <v>53</v>
      </c>
      <c r="I2" s="11" t="s">
        <v>52</v>
      </c>
      <c r="J2" s="11" t="s">
        <v>51</v>
      </c>
      <c r="K2" s="11" t="s">
        <v>94</v>
      </c>
      <c r="L2" s="11" t="s">
        <v>100</v>
      </c>
      <c r="M2" s="11" t="s">
        <v>88</v>
      </c>
      <c r="N2" s="11" t="s">
        <v>89</v>
      </c>
      <c r="O2" s="11" t="s">
        <v>58</v>
      </c>
      <c r="P2" s="11" t="s">
        <v>59</v>
      </c>
      <c r="Q2" s="152" t="s">
        <v>55</v>
      </c>
      <c r="R2" s="11" t="s">
        <v>52</v>
      </c>
      <c r="S2" s="152" t="s">
        <v>57</v>
      </c>
      <c r="T2" s="157" t="s">
        <v>98</v>
      </c>
      <c r="U2" s="152" t="s">
        <v>99</v>
      </c>
      <c r="V2" s="152" t="s">
        <v>87</v>
      </c>
      <c r="W2" s="152" t="s">
        <v>86</v>
      </c>
      <c r="X2" s="152" t="s">
        <v>56</v>
      </c>
      <c r="Y2" s="152" t="s">
        <v>97</v>
      </c>
    </row>
    <row r="3" spans="1:25" x14ac:dyDescent="0.2">
      <c r="A3" s="6" t="s">
        <v>0</v>
      </c>
      <c r="B3" s="127">
        <v>1.0569999999999999</v>
      </c>
      <c r="C3" s="7">
        <v>750</v>
      </c>
      <c r="D3" s="7">
        <v>600</v>
      </c>
      <c r="E3" s="2"/>
      <c r="F3" s="4" t="s">
        <v>18</v>
      </c>
      <c r="G3" s="122">
        <f>VLOOKUP(A3,'[1]Data for Bill Impacts'!$A$2:$Y$15,17,FALSE)</f>
        <v>27.76</v>
      </c>
      <c r="H3" s="78"/>
      <c r="I3" s="78">
        <v>0.79</v>
      </c>
      <c r="J3" s="126">
        <f>VLOOKUP(A3,'[1]Data for Bill Impacts'!$A$3:$Y$15,19,FALSE)</f>
        <v>7.9000000000000008E-3</v>
      </c>
      <c r="K3" s="122"/>
      <c r="L3" s="126"/>
      <c r="M3" s="122">
        <f>VLOOKUP(A3,'[1]Data for Bill Impacts'!$A$3:$Y$15,22,FALSE)</f>
        <v>0.01</v>
      </c>
      <c r="N3" s="126">
        <f>VLOOKUP(A3,'[1]Data for Bill Impacts'!$A$3:$Y$15,23,FALSE)</f>
        <v>2.0000000000000001E-4</v>
      </c>
      <c r="O3" s="126">
        <f>VLOOKUP(A3,'[1]Data for Bill Impacts'!$A$3:$Y$15,24,FALSE)</f>
        <v>7.8279999999999999E-3</v>
      </c>
      <c r="P3" s="126">
        <f>VLOOKUP(A3,'[1]Data for Bill Impacts'!$A$3:$Y$15,25,FALSE)</f>
        <v>6.4380000000000001E-3</v>
      </c>
      <c r="Q3" s="3">
        <f>ROUND(VLOOKUP(A3,'[2]Rate Design'!$T$8:$Z$20,2,0),2)</f>
        <v>31.3</v>
      </c>
      <c r="R3" s="78">
        <v>0.79</v>
      </c>
      <c r="S3" s="100">
        <f>ROUND(VLOOKUP(A3,'[2]Rate Design'!$T$8:$Z$20,5,0)/100,4)</f>
        <v>4.7000000000000002E-3</v>
      </c>
      <c r="T3" s="126">
        <f>VLOOKUP(A3,'[1]Data for Bill Impacts'!$A$3:$Y$15,21,FALSE)</f>
        <v>0</v>
      </c>
      <c r="U3" s="158"/>
      <c r="V3" s="173">
        <f>M3</f>
        <v>0.01</v>
      </c>
      <c r="W3" s="126">
        <f>N3</f>
        <v>2.0000000000000001E-4</v>
      </c>
      <c r="X3" s="126">
        <f>O3</f>
        <v>7.8279999999999999E-3</v>
      </c>
      <c r="Y3" s="126">
        <f>P3</f>
        <v>6.4380000000000001E-3</v>
      </c>
    </row>
    <row r="4" spans="1:25" x14ac:dyDescent="0.2">
      <c r="A4" s="6" t="s">
        <v>1</v>
      </c>
      <c r="B4" s="127">
        <v>1.0760000000000001</v>
      </c>
      <c r="C4" s="7">
        <v>750</v>
      </c>
      <c r="D4" s="7">
        <v>600</v>
      </c>
      <c r="E4" s="2"/>
      <c r="F4" s="4" t="s">
        <v>18</v>
      </c>
      <c r="G4" s="122">
        <f>VLOOKUP(A4,'[1]Data for Bill Impacts'!$A$2:$Y$15,17,FALSE)</f>
        <v>37.83</v>
      </c>
      <c r="H4" s="78"/>
      <c r="I4" s="78">
        <v>0.79</v>
      </c>
      <c r="J4" s="126">
        <f>VLOOKUP(A4,'[1]Data for Bill Impacts'!$A$3:$Y$15,19,FALSE)</f>
        <v>2.1999999999999999E-2</v>
      </c>
      <c r="K4" s="122"/>
      <c r="L4" s="126"/>
      <c r="M4" s="122">
        <f>VLOOKUP(A4,'[1]Data for Bill Impacts'!$A$3:$Y$15,22,FALSE)</f>
        <v>0</v>
      </c>
      <c r="N4" s="126">
        <f>VLOOKUP(A4,'[1]Data for Bill Impacts'!$A$3:$Y$15,23,FALSE)</f>
        <v>2.0000000000000001E-4</v>
      </c>
      <c r="O4" s="126">
        <f>VLOOKUP(A4,'[1]Data for Bill Impacts'!$A$3:$Y$15,24,FALSE)</f>
        <v>7.2069999999999999E-3</v>
      </c>
      <c r="P4" s="126">
        <f>VLOOKUP(A4,'[1]Data for Bill Impacts'!$A$3:$Y$15,25,FALSE)</f>
        <v>6.0319999999999992E-3</v>
      </c>
      <c r="Q4" s="3">
        <f>ROUND(VLOOKUP(A4,'[2]Rate Design'!$T$8:$Z$20,2,0),2)</f>
        <v>42.25</v>
      </c>
      <c r="R4" s="78">
        <v>0.79</v>
      </c>
      <c r="S4" s="100">
        <f>ROUND(VLOOKUP(A4,'[2]Rate Design'!$T$8:$Z$20,5,0)/100,4)</f>
        <v>1.9400000000000001E-2</v>
      </c>
      <c r="T4" s="126">
        <f>VLOOKUP(A4,'[1]Data for Bill Impacts'!$A$3:$Y$15,21,FALSE)</f>
        <v>0</v>
      </c>
      <c r="U4" s="158"/>
      <c r="V4" s="173">
        <f t="shared" ref="V4:V15" si="0">M4</f>
        <v>0</v>
      </c>
      <c r="W4" s="126">
        <f t="shared" ref="W4:W15" si="1">N4</f>
        <v>2.0000000000000001E-4</v>
      </c>
      <c r="X4" s="126">
        <f t="shared" ref="X4:X15" si="2">O4</f>
        <v>7.2069999999999999E-3</v>
      </c>
      <c r="Y4" s="126">
        <f t="shared" ref="Y4:Y15" si="3">P4</f>
        <v>6.0319999999999992E-3</v>
      </c>
    </row>
    <row r="5" spans="1:25" x14ac:dyDescent="0.2">
      <c r="A5" s="6" t="s">
        <v>2</v>
      </c>
      <c r="B5" s="127">
        <v>1.105</v>
      </c>
      <c r="C5" s="7">
        <v>750</v>
      </c>
      <c r="D5" s="7">
        <v>600</v>
      </c>
      <c r="E5" s="2"/>
      <c r="F5" s="4" t="s">
        <v>18</v>
      </c>
      <c r="G5" s="122">
        <f>VLOOKUP(A5,'[1]Data for Bill Impacts'!$A$2:$Y$15,17,FALSE)</f>
        <v>25.109678307903934</v>
      </c>
      <c r="H5" s="78"/>
      <c r="I5" s="78">
        <v>0.79</v>
      </c>
      <c r="J5" s="126">
        <f>VLOOKUP(A5,'[1]Data for Bill Impacts'!$A$3:$Y$15,19,FALSE)</f>
        <v>3.6299999999999999E-2</v>
      </c>
      <c r="K5" s="122"/>
      <c r="L5" s="126"/>
      <c r="M5" s="122">
        <f>VLOOKUP(A5,'[1]Data for Bill Impacts'!$A$3:$Y$15,22,FALSE)</f>
        <v>-0.02</v>
      </c>
      <c r="N5" s="126">
        <f>VLOOKUP(A5,'[1]Data for Bill Impacts'!$A$3:$Y$15,23,FALSE)</f>
        <v>2.0000000000000001E-4</v>
      </c>
      <c r="O5" s="126">
        <f>VLOOKUP(A5,'[1]Data for Bill Impacts'!$A$3:$Y$15,24,FALSE)</f>
        <v>6.7400000000000003E-3</v>
      </c>
      <c r="P5" s="126">
        <f>VLOOKUP(A5,'[1]Data for Bill Impacts'!$A$3:$Y$15,25,FALSE)</f>
        <v>5.6299999999999996E-3</v>
      </c>
      <c r="Q5" s="3">
        <f>ROUND(VLOOKUP(A5,'[2]Rate Design'!$T$8:$Z$20,2,0),2)-[3]Sheet1!C7</f>
        <v>34.219678307903934</v>
      </c>
      <c r="R5" s="78">
        <v>0.79</v>
      </c>
      <c r="S5" s="100">
        <f>ROUND(VLOOKUP(A5,'[2]Rate Design'!$T$8:$Z$20,5,0)/100,4)</f>
        <v>3.2199999999999999E-2</v>
      </c>
      <c r="T5" s="126">
        <f>VLOOKUP(A5,'[1]Data for Bill Impacts'!$A$3:$Y$15,21,FALSE)</f>
        <v>0</v>
      </c>
      <c r="U5" s="158"/>
      <c r="V5" s="173">
        <f t="shared" si="0"/>
        <v>-0.02</v>
      </c>
      <c r="W5" s="126">
        <f t="shared" si="1"/>
        <v>2.0000000000000001E-4</v>
      </c>
      <c r="X5" s="126">
        <f t="shared" si="2"/>
        <v>6.7400000000000003E-3</v>
      </c>
      <c r="Y5" s="126">
        <f t="shared" si="3"/>
        <v>5.6299999999999996E-3</v>
      </c>
    </row>
    <row r="6" spans="1:25" x14ac:dyDescent="0.2">
      <c r="A6" s="6" t="s">
        <v>3</v>
      </c>
      <c r="B6" s="127">
        <v>1.1040000000000001</v>
      </c>
      <c r="C6" s="7">
        <v>500</v>
      </c>
      <c r="D6" s="7">
        <v>600</v>
      </c>
      <c r="E6" s="2"/>
      <c r="F6" s="4" t="s">
        <v>18</v>
      </c>
      <c r="G6" s="122">
        <f>VLOOKUP(A6,'[1]Data for Bill Impacts'!$A$2:$Y$15,17,FALSE)</f>
        <v>40.57</v>
      </c>
      <c r="H6" s="78"/>
      <c r="I6" s="78">
        <v>0.79</v>
      </c>
      <c r="J6" s="126">
        <f>VLOOKUP(A6,'[1]Data for Bill Impacts'!$A$3:$Y$15,19,FALSE)</f>
        <v>6.08E-2</v>
      </c>
      <c r="K6" s="122"/>
      <c r="L6" s="126"/>
      <c r="M6" s="122">
        <f>VLOOKUP(A6,'[1]Data for Bill Impacts'!$A$3:$Y$15,22,FALSE)</f>
        <v>0</v>
      </c>
      <c r="N6" s="126">
        <f>VLOOKUP(A6,'[1]Data for Bill Impacts'!$A$3:$Y$15,23,FALSE)</f>
        <v>2.0000000000000001E-4</v>
      </c>
      <c r="O6" s="126">
        <f>VLOOKUP(A6,'[1]Data for Bill Impacts'!$A$3:$Y$15,24,FALSE)</f>
        <v>5.6559999999999996E-3</v>
      </c>
      <c r="P6" s="126">
        <f>VLOOKUP(A6,'[1]Data for Bill Impacts'!$A$3:$Y$15,25,FALSE)</f>
        <v>4.8209999999999998E-3</v>
      </c>
      <c r="Q6" s="3">
        <f>ROUND(VLOOKUP(A6,'[2]Rate Design'!$T$8:$Z$20,2,0),2)</f>
        <v>45.14</v>
      </c>
      <c r="R6" s="78">
        <v>0.79</v>
      </c>
      <c r="S6" s="100">
        <f>ROUND(VLOOKUP(A6,'[2]Rate Design'!$T$8:$Z$20,5,0)/100,4)</f>
        <v>5.2999999999999999E-2</v>
      </c>
      <c r="T6" s="126">
        <f>VLOOKUP(A6,'[1]Data for Bill Impacts'!$A$3:$Y$15,21,FALSE)</f>
        <v>0</v>
      </c>
      <c r="U6" s="158"/>
      <c r="V6" s="173">
        <f t="shared" si="0"/>
        <v>0</v>
      </c>
      <c r="W6" s="126">
        <f t="shared" si="1"/>
        <v>2.0000000000000001E-4</v>
      </c>
      <c r="X6" s="126">
        <f t="shared" si="2"/>
        <v>5.6559999999999996E-3</v>
      </c>
      <c r="Y6" s="126">
        <f t="shared" si="3"/>
        <v>4.8209999999999998E-3</v>
      </c>
    </row>
    <row r="7" spans="1:25" x14ac:dyDescent="0.2">
      <c r="A7" s="6" t="s">
        <v>4</v>
      </c>
      <c r="B7" s="127">
        <v>1.0960000000000001</v>
      </c>
      <c r="C7" s="7">
        <v>2000</v>
      </c>
      <c r="D7" s="7">
        <v>750</v>
      </c>
      <c r="E7" s="2"/>
      <c r="F7" s="4" t="s">
        <v>18</v>
      </c>
      <c r="G7" s="122">
        <f>VLOOKUP(A7,'[1]Data for Bill Impacts'!$A$2:$Y$15,17,FALSE)</f>
        <v>29.68</v>
      </c>
      <c r="H7" s="78"/>
      <c r="I7" s="78">
        <v>0.79</v>
      </c>
      <c r="J7" s="126">
        <f>VLOOKUP(A7,'[1]Data for Bill Impacts'!$A$3:$Y$15,19,FALSE)</f>
        <v>5.91E-2</v>
      </c>
      <c r="K7" s="122"/>
      <c r="L7" s="126"/>
      <c r="M7" s="122">
        <f>VLOOKUP(A7,'[1]Data for Bill Impacts'!$A$3:$Y$15,22,FALSE)</f>
        <v>0</v>
      </c>
      <c r="N7" s="126">
        <f>VLOOKUP(A7,'[1]Data for Bill Impacts'!$A$3:$Y$15,23,FALSE)</f>
        <v>2.0000000000000001E-4</v>
      </c>
      <c r="O7" s="126">
        <f>VLOOKUP(A7,'[1]Data for Bill Impacts'!$A$3:$Y$15,24,FALSE)</f>
        <v>5.6930000000000001E-3</v>
      </c>
      <c r="P7" s="126">
        <f>VLOOKUP(A7,'[1]Data for Bill Impacts'!$A$3:$Y$15,25,FALSE)</f>
        <v>4.4740000000000005E-3</v>
      </c>
      <c r="Q7" s="3">
        <f>ROUND(VLOOKUP(A7,'[2]Rate Design'!$T$8:$Z$20,2,0),2)</f>
        <v>30.26</v>
      </c>
      <c r="R7" s="78">
        <v>0.79</v>
      </c>
      <c r="S7" s="100">
        <f>ROUND(VLOOKUP(A7,'[2]Rate Design'!$T$8:$Z$20,5,0)/100,4)</f>
        <v>6.1400000000000003E-2</v>
      </c>
      <c r="T7" s="126">
        <f>VLOOKUP(A7,'[1]Data for Bill Impacts'!$A$3:$Y$15,21,FALSE)</f>
        <v>1.9E-3</v>
      </c>
      <c r="U7" s="172">
        <f t="shared" ref="U7:U15" si="4">T7</f>
        <v>1.9E-3</v>
      </c>
      <c r="V7" s="173">
        <f t="shared" si="0"/>
        <v>0</v>
      </c>
      <c r="W7" s="126">
        <f t="shared" si="1"/>
        <v>2.0000000000000001E-4</v>
      </c>
      <c r="X7" s="126">
        <f t="shared" si="2"/>
        <v>5.6930000000000001E-3</v>
      </c>
      <c r="Y7" s="126">
        <f t="shared" si="3"/>
        <v>4.4740000000000005E-3</v>
      </c>
    </row>
    <row r="8" spans="1:25" x14ac:dyDescent="0.2">
      <c r="A8" s="6" t="s">
        <v>6</v>
      </c>
      <c r="B8" s="127">
        <v>1.0669999999999999</v>
      </c>
      <c r="C8" s="7">
        <v>2000</v>
      </c>
      <c r="D8" s="7">
        <v>750</v>
      </c>
      <c r="E8" s="2"/>
      <c r="F8" s="4" t="s">
        <v>18</v>
      </c>
      <c r="G8" s="122">
        <f>VLOOKUP(A8,'[1]Data for Bill Impacts'!$A$2:$Y$15,17,FALSE)</f>
        <v>23.97</v>
      </c>
      <c r="H8" s="78"/>
      <c r="I8" s="78">
        <v>0.79</v>
      </c>
      <c r="J8" s="126">
        <f>VLOOKUP(A8,'[1]Data for Bill Impacts'!$A$3:$Y$15,19,FALSE)</f>
        <v>2.8000000000000001E-2</v>
      </c>
      <c r="K8" s="122"/>
      <c r="L8" s="126"/>
      <c r="M8" s="122">
        <f>VLOOKUP(A8,'[1]Data for Bill Impacts'!$A$3:$Y$15,22,FALSE)</f>
        <v>0.01</v>
      </c>
      <c r="N8" s="126">
        <f>VLOOKUP(A8,'[1]Data for Bill Impacts'!$A$3:$Y$15,23,FALSE)</f>
        <v>2.0000000000000001E-4</v>
      </c>
      <c r="O8" s="126">
        <f>VLOOKUP(A8,'[1]Data for Bill Impacts'!$A$3:$Y$15,24,FALSE)</f>
        <v>6.1060000000000003E-3</v>
      </c>
      <c r="P8" s="126">
        <f>VLOOKUP(A8,'[1]Data for Bill Impacts'!$A$3:$Y$15,25,FALSE)</f>
        <v>4.6519999999999999E-3</v>
      </c>
      <c r="Q8" s="3">
        <f>ROUND(VLOOKUP(A8,'[2]Rate Design'!$T$8:$Z$20,2,0),2)</f>
        <v>24.52</v>
      </c>
      <c r="R8" s="78">
        <v>0.79</v>
      </c>
      <c r="S8" s="100">
        <f>ROUND(VLOOKUP(A8,'[2]Rate Design'!$T$8:$Z$20,5,0)/100,4)</f>
        <v>2.9000000000000001E-2</v>
      </c>
      <c r="T8" s="126">
        <f>VLOOKUP(A8,'[1]Data for Bill Impacts'!$A$3:$Y$15,21,FALSE)</f>
        <v>1.9E-3</v>
      </c>
      <c r="U8" s="172">
        <f t="shared" si="4"/>
        <v>1.9E-3</v>
      </c>
      <c r="V8" s="173">
        <f t="shared" si="0"/>
        <v>0.01</v>
      </c>
      <c r="W8" s="126">
        <f t="shared" si="1"/>
        <v>2.0000000000000001E-4</v>
      </c>
      <c r="X8" s="126">
        <f t="shared" si="2"/>
        <v>6.1060000000000003E-3</v>
      </c>
      <c r="Y8" s="126">
        <f t="shared" si="3"/>
        <v>4.6519999999999999E-3</v>
      </c>
    </row>
    <row r="9" spans="1:25" x14ac:dyDescent="0.2">
      <c r="A9" s="6" t="s">
        <v>8</v>
      </c>
      <c r="B9" s="127">
        <v>1.0920000000000001</v>
      </c>
      <c r="C9" s="7">
        <v>1440</v>
      </c>
      <c r="D9" s="7">
        <v>750</v>
      </c>
      <c r="E9" s="2"/>
      <c r="F9" s="4" t="s">
        <v>18</v>
      </c>
      <c r="G9" s="122">
        <f>VLOOKUP(A9,'[1]Data for Bill Impacts'!$A$2:$Y$15,17,FALSE)</f>
        <v>4.08</v>
      </c>
      <c r="H9" s="78"/>
      <c r="I9" s="78">
        <v>0</v>
      </c>
      <c r="J9" s="126">
        <f>VLOOKUP(A9,'[1]Data for Bill Impacts'!$A$3:$Y$15,19,FALSE)</f>
        <v>9.8000000000000004E-2</v>
      </c>
      <c r="K9" s="122"/>
      <c r="L9" s="126"/>
      <c r="M9" s="122">
        <f>VLOOKUP(A9,'[1]Data for Bill Impacts'!$A$3:$Y$15,22,FALSE)</f>
        <v>0</v>
      </c>
      <c r="N9" s="126">
        <f>VLOOKUP(A9,'[1]Data for Bill Impacts'!$A$3:$Y$15,23,FALSE)</f>
        <v>2.0000000000000001E-4</v>
      </c>
      <c r="O9" s="126">
        <f>VLOOKUP(A9,'[1]Data for Bill Impacts'!$A$3:$Y$15,24,FALSE)</f>
        <v>4.6979999999999999E-3</v>
      </c>
      <c r="P9" s="126">
        <f>VLOOKUP(A9,'[1]Data for Bill Impacts'!$A$3:$Y$15,25,FALSE)</f>
        <v>4.2899999999999995E-3</v>
      </c>
      <c r="Q9" s="3">
        <f>ROUND(VLOOKUP(A9,'[2]Rate Design'!$T$8:$Z$20,2,0),2)</f>
        <v>4.21</v>
      </c>
      <c r="R9" s="2">
        <v>0</v>
      </c>
      <c r="S9" s="100">
        <f>ROUND(VLOOKUP(A9,'[2]Rate Design'!$T$8:$Z$20,5,0)/100,4)</f>
        <v>0.1013</v>
      </c>
      <c r="T9" s="126">
        <f>VLOOKUP(A9,'[1]Data for Bill Impacts'!$A$3:$Y$15,21,FALSE)</f>
        <v>1.9E-3</v>
      </c>
      <c r="U9" s="172">
        <f t="shared" si="4"/>
        <v>1.9E-3</v>
      </c>
      <c r="V9" s="173">
        <f t="shared" si="0"/>
        <v>0</v>
      </c>
      <c r="W9" s="126">
        <f t="shared" si="1"/>
        <v>2.0000000000000001E-4</v>
      </c>
      <c r="X9" s="126">
        <f t="shared" si="2"/>
        <v>4.6979999999999999E-3</v>
      </c>
      <c r="Y9" s="126">
        <f t="shared" si="3"/>
        <v>4.2899999999999995E-3</v>
      </c>
    </row>
    <row r="10" spans="1:25" x14ac:dyDescent="0.2">
      <c r="A10" s="6" t="s">
        <v>9</v>
      </c>
      <c r="B10" s="127">
        <v>1.0920000000000001</v>
      </c>
      <c r="C10" s="7">
        <v>62</v>
      </c>
      <c r="D10" s="7">
        <v>750</v>
      </c>
      <c r="E10" s="2"/>
      <c r="F10" s="4" t="s">
        <v>18</v>
      </c>
      <c r="G10" s="122">
        <f>VLOOKUP(A10,'[1]Data for Bill Impacts'!$A$2:$Y$15,17,FALSE)</f>
        <v>3.1</v>
      </c>
      <c r="H10" s="78"/>
      <c r="I10" s="78">
        <v>0</v>
      </c>
      <c r="J10" s="126">
        <f>VLOOKUP(A10,'[1]Data for Bill Impacts'!$A$3:$Y$15,19,FALSE)</f>
        <v>0.11799999999999999</v>
      </c>
      <c r="K10" s="122"/>
      <c r="L10" s="126"/>
      <c r="M10" s="122">
        <f>VLOOKUP(A10,'[1]Data for Bill Impacts'!$A$3:$Y$15,22,FALSE)</f>
        <v>0</v>
      </c>
      <c r="N10" s="126">
        <f>VLOOKUP(A10,'[1]Data for Bill Impacts'!$A$3:$Y$15,23,FALSE)</f>
        <v>1E-4</v>
      </c>
      <c r="O10" s="126">
        <f>VLOOKUP(A10,'[1]Data for Bill Impacts'!$A$3:$Y$15,24,FALSE)</f>
        <v>4.6979999999999999E-3</v>
      </c>
      <c r="P10" s="126">
        <f>VLOOKUP(A10,'[1]Data for Bill Impacts'!$A$3:$Y$15,25,FALSE)</f>
        <v>4.2899999999999995E-3</v>
      </c>
      <c r="Q10" s="3">
        <f>ROUND(VLOOKUP(A10,'[2]Rate Design'!$T$8:$Z$20,2,0),2)</f>
        <v>3.26</v>
      </c>
      <c r="R10" s="2">
        <v>0</v>
      </c>
      <c r="S10" s="100">
        <f>ROUND(VLOOKUP(A10,'[2]Rate Design'!$T$8:$Z$20,5,0)/100,4)</f>
        <v>0.1239</v>
      </c>
      <c r="T10" s="126">
        <f>VLOOKUP(A10,'[1]Data for Bill Impacts'!$A$3:$Y$15,21,FALSE)</f>
        <v>1.9E-3</v>
      </c>
      <c r="U10" s="172">
        <f t="shared" si="4"/>
        <v>1.9E-3</v>
      </c>
      <c r="V10" s="173">
        <f t="shared" si="0"/>
        <v>0</v>
      </c>
      <c r="W10" s="126">
        <f t="shared" si="1"/>
        <v>1E-4</v>
      </c>
      <c r="X10" s="126">
        <f t="shared" si="2"/>
        <v>4.6979999999999999E-3</v>
      </c>
      <c r="Y10" s="126">
        <f t="shared" si="3"/>
        <v>4.2899999999999995E-3</v>
      </c>
    </row>
    <row r="11" spans="1:25" x14ac:dyDescent="0.2">
      <c r="A11" s="8" t="s">
        <v>12</v>
      </c>
      <c r="B11" s="127">
        <v>1.0920000000000001</v>
      </c>
      <c r="C11" s="7">
        <v>500</v>
      </c>
      <c r="D11" s="7">
        <v>750</v>
      </c>
      <c r="E11" s="2"/>
      <c r="F11" s="4" t="s">
        <v>18</v>
      </c>
      <c r="G11" s="122">
        <f>VLOOKUP(A11,'[1]Data for Bill Impacts'!$A$2:$Y$15,17,FALSE)</f>
        <v>35.1</v>
      </c>
      <c r="H11" s="78"/>
      <c r="I11" s="78">
        <v>0</v>
      </c>
      <c r="J11" s="126">
        <f>VLOOKUP(A11,'[1]Data for Bill Impacts'!$A$3:$Y$15,19,FALSE)</f>
        <v>2.87E-2</v>
      </c>
      <c r="K11" s="122"/>
      <c r="L11" s="126"/>
      <c r="M11" s="122">
        <f>VLOOKUP(A11,'[1]Data for Bill Impacts'!$A$3:$Y$15,22,FALSE)</f>
        <v>-0.01</v>
      </c>
      <c r="N11" s="126">
        <f>VLOOKUP(A11,'[1]Data for Bill Impacts'!$A$3:$Y$15,23,FALSE)</f>
        <v>2.0000000000000001E-4</v>
      </c>
      <c r="O11" s="126">
        <f>VLOOKUP(A11,'[1]Data for Bill Impacts'!$A$3:$Y$15,24,FALSE)</f>
        <v>4.7699999999999999E-3</v>
      </c>
      <c r="P11" s="126">
        <f>VLOOKUP(A11,'[1]Data for Bill Impacts'!$A$3:$Y$15,25,FALSE)</f>
        <v>3.7950000000000002E-3</v>
      </c>
      <c r="Q11" s="3">
        <f>ROUND(VLOOKUP(A11,'[2]Rate Design'!$T$8:$Z$20,2,0),2)</f>
        <v>35.76</v>
      </c>
      <c r="R11" s="2">
        <v>0</v>
      </c>
      <c r="S11" s="100">
        <f>ROUND(VLOOKUP(A11,'[2]Rate Design'!$T$8:$Z$20,5,0)/100,4)</f>
        <v>2.93E-2</v>
      </c>
      <c r="T11" s="126">
        <f>VLOOKUP(A11,'[1]Data for Bill Impacts'!$A$3:$Y$15,21,FALSE)</f>
        <v>1.9E-3</v>
      </c>
      <c r="U11" s="172">
        <f t="shared" si="4"/>
        <v>1.9E-3</v>
      </c>
      <c r="V11" s="173">
        <f t="shared" si="0"/>
        <v>-0.01</v>
      </c>
      <c r="W11" s="126">
        <f t="shared" si="1"/>
        <v>2.0000000000000001E-4</v>
      </c>
      <c r="X11" s="126">
        <f t="shared" si="2"/>
        <v>4.7699999999999999E-3</v>
      </c>
      <c r="Y11" s="126">
        <f t="shared" si="3"/>
        <v>3.7950000000000002E-3</v>
      </c>
    </row>
    <row r="12" spans="1:25" x14ac:dyDescent="0.2">
      <c r="A12" s="6" t="s">
        <v>5</v>
      </c>
      <c r="B12" s="127">
        <v>1.0609999999999999</v>
      </c>
      <c r="C12" s="7">
        <v>36000</v>
      </c>
      <c r="D12" s="7">
        <v>0</v>
      </c>
      <c r="E12" s="2">
        <v>117</v>
      </c>
      <c r="F12" s="4" t="s">
        <v>19</v>
      </c>
      <c r="G12" s="122">
        <f>VLOOKUP(A12,'[1]Data for Bill Impacts'!$A$2:$Y$15,17,FALSE)</f>
        <v>102.93</v>
      </c>
      <c r="H12" s="78"/>
      <c r="I12" s="78">
        <v>0</v>
      </c>
      <c r="J12" s="126">
        <f>VLOOKUP(A12,'[1]Data for Bill Impacts'!$A$3:$Y$15,19,FALSE)</f>
        <v>16.7653</v>
      </c>
      <c r="K12" s="122"/>
      <c r="L12" s="126"/>
      <c r="M12" s="122">
        <f>VLOOKUP(A12,'[1]Data for Bill Impacts'!$A$3:$Y$15,22,FALSE)</f>
        <v>-0.02</v>
      </c>
      <c r="N12" s="126">
        <f>VLOOKUP(A12,'[1]Data for Bill Impacts'!$A$3:$Y$15,23,FALSE)</f>
        <v>4.7E-2</v>
      </c>
      <c r="O12" s="126">
        <f>VLOOKUP(A12,'[1]Data for Bill Impacts'!$A$3:$Y$15,24,FALSE)</f>
        <v>1.6718177000000001</v>
      </c>
      <c r="P12" s="126">
        <f>VLOOKUP(A12,'[1]Data for Bill Impacts'!$A$3:$Y$15,25,FALSE)</f>
        <v>1.2769135</v>
      </c>
      <c r="Q12" s="3">
        <f>ROUND(VLOOKUP(A12,'[2]Rate Design'!$T$8:$Z$20,2,0),2)</f>
        <v>104.42</v>
      </c>
      <c r="R12" s="2">
        <v>0</v>
      </c>
      <c r="S12" s="100">
        <f>ROUND(VLOOKUP(A12,'[2]Rate Design'!$T$8:$Z$20,6,0),4)</f>
        <v>17.353200000000001</v>
      </c>
      <c r="T12" s="126">
        <f>VLOOKUP(A12,'[1]Data for Bill Impacts'!$A$3:$Y$15,21,FALSE)</f>
        <v>1.9E-3</v>
      </c>
      <c r="U12" s="172">
        <f t="shared" si="4"/>
        <v>1.9E-3</v>
      </c>
      <c r="V12" s="173">
        <f t="shared" si="0"/>
        <v>-0.02</v>
      </c>
      <c r="W12" s="126">
        <f t="shared" si="1"/>
        <v>4.7E-2</v>
      </c>
      <c r="X12" s="126">
        <f t="shared" si="2"/>
        <v>1.6718177000000001</v>
      </c>
      <c r="Y12" s="126">
        <f t="shared" si="3"/>
        <v>1.2769135</v>
      </c>
    </row>
    <row r="13" spans="1:25" x14ac:dyDescent="0.2">
      <c r="A13" s="6" t="s">
        <v>7</v>
      </c>
      <c r="B13" s="127">
        <v>1.05</v>
      </c>
      <c r="C13" s="7">
        <v>36000</v>
      </c>
      <c r="D13" s="7">
        <v>0</v>
      </c>
      <c r="E13" s="2">
        <v>117</v>
      </c>
      <c r="F13" s="4" t="s">
        <v>19</v>
      </c>
      <c r="G13" s="122">
        <f>VLOOKUP(A13,'[1]Data for Bill Impacts'!$A$2:$Y$15,17,FALSE)</f>
        <v>101.13</v>
      </c>
      <c r="H13" s="78"/>
      <c r="I13" s="78">
        <v>0</v>
      </c>
      <c r="J13" s="126">
        <f>VLOOKUP(A13,'[1]Data for Bill Impacts'!$A$3:$Y$15,19,FALSE)</f>
        <v>9.5976999999999997</v>
      </c>
      <c r="K13" s="122"/>
      <c r="L13" s="126"/>
      <c r="M13" s="122">
        <f>VLOOKUP(A13,'[1]Data for Bill Impacts'!$A$3:$Y$15,22,FALSE)</f>
        <v>0.01</v>
      </c>
      <c r="N13" s="126">
        <f>VLOOKUP(A13,'[1]Data for Bill Impacts'!$A$3:$Y$15,23,FALSE)</f>
        <v>6.4600000000000005E-2</v>
      </c>
      <c r="O13" s="126">
        <f>VLOOKUP(A13,'[1]Data for Bill Impacts'!$A$3:$Y$15,24,FALSE)</f>
        <v>2.2310400000000001</v>
      </c>
      <c r="P13" s="126">
        <f>VLOOKUP(A13,'[1]Data for Bill Impacts'!$A$3:$Y$15,25,FALSE)</f>
        <v>1.7046749999999999</v>
      </c>
      <c r="Q13" s="3">
        <f>ROUND(VLOOKUP(A13,'[2]Rate Design'!$T$8:$Z$20,2,0),2)</f>
        <v>102.94</v>
      </c>
      <c r="R13" s="2">
        <v>0</v>
      </c>
      <c r="S13" s="100">
        <f>ROUND(VLOOKUP(A13,'[2]Rate Design'!$T$8:$Z$20,6,0),4)</f>
        <v>9.9375</v>
      </c>
      <c r="T13" s="126">
        <f>VLOOKUP(A13,'[1]Data for Bill Impacts'!$A$3:$Y$15,21,FALSE)</f>
        <v>1.9E-3</v>
      </c>
      <c r="U13" s="172">
        <f t="shared" si="4"/>
        <v>1.9E-3</v>
      </c>
      <c r="V13" s="173">
        <f t="shared" si="0"/>
        <v>0.01</v>
      </c>
      <c r="W13" s="126">
        <f t="shared" si="1"/>
        <v>6.4600000000000005E-2</v>
      </c>
      <c r="X13" s="126">
        <f t="shared" si="2"/>
        <v>2.2310400000000001</v>
      </c>
      <c r="Y13" s="126">
        <f t="shared" si="3"/>
        <v>1.7046749999999999</v>
      </c>
    </row>
    <row r="14" spans="1:25" x14ac:dyDescent="0.2">
      <c r="A14" s="8" t="s">
        <v>10</v>
      </c>
      <c r="B14" s="127">
        <v>1.0609999999999999</v>
      </c>
      <c r="C14" s="7">
        <v>2000</v>
      </c>
      <c r="D14" s="7">
        <v>0</v>
      </c>
      <c r="E14" s="2">
        <v>15</v>
      </c>
      <c r="F14" s="4" t="s">
        <v>19</v>
      </c>
      <c r="G14" s="122">
        <f>VLOOKUP(A14,'[1]Data for Bill Impacts'!$A$2:$Y$15,17,FALSE)</f>
        <v>198.03</v>
      </c>
      <c r="H14" s="78"/>
      <c r="I14" s="78">
        <v>0</v>
      </c>
      <c r="J14" s="126">
        <f>VLOOKUP(A14,'[1]Data for Bill Impacts'!$A$3:$Y$15,19,FALSE)</f>
        <v>6.0591999999999997</v>
      </c>
      <c r="K14" s="122"/>
      <c r="L14" s="126"/>
      <c r="M14" s="122">
        <f>VLOOKUP(A14,'[1]Data for Bill Impacts'!$A$3:$Y$15,22,FALSE)</f>
        <v>0.01</v>
      </c>
      <c r="N14" s="126">
        <f>VLOOKUP(A14,'[1]Data for Bill Impacts'!$A$3:$Y$15,23,FALSE)</f>
        <v>1.72E-2</v>
      </c>
      <c r="O14" s="126">
        <f>VLOOKUP(A14,'[1]Data for Bill Impacts'!$A$3:$Y$15,24,FALSE)</f>
        <v>0.63108279999999994</v>
      </c>
      <c r="P14" s="126">
        <f>VLOOKUP(A14,'[1]Data for Bill Impacts'!$A$3:$Y$15,25,FALSE)</f>
        <v>0.54747599999999996</v>
      </c>
      <c r="Q14" s="3">
        <f>ROUND(VLOOKUP(A14,'[2]Rate Design'!$T$8:$Z$20,2,0),2)</f>
        <v>198.03</v>
      </c>
      <c r="R14" s="2">
        <v>0</v>
      </c>
      <c r="S14" s="100">
        <f>ROUND(VLOOKUP(A14,'[2]Rate Design'!$T$8:$Z$20,6,0),4)</f>
        <v>9.5955999999999992</v>
      </c>
      <c r="T14" s="126">
        <f>VLOOKUP(A14,'[1]Data for Bill Impacts'!$A$3:$Y$15,21,FALSE)</f>
        <v>1.9E-3</v>
      </c>
      <c r="U14" s="172">
        <f t="shared" si="4"/>
        <v>1.9E-3</v>
      </c>
      <c r="V14" s="173">
        <f t="shared" si="0"/>
        <v>0.01</v>
      </c>
      <c r="W14" s="126">
        <f t="shared" si="1"/>
        <v>1.72E-2</v>
      </c>
      <c r="X14" s="126">
        <f t="shared" si="2"/>
        <v>0.63108279999999994</v>
      </c>
      <c r="Y14" s="126">
        <f t="shared" si="3"/>
        <v>0.54747599999999996</v>
      </c>
    </row>
    <row r="15" spans="1:25" x14ac:dyDescent="0.2">
      <c r="A15" s="8" t="s">
        <v>11</v>
      </c>
      <c r="B15" s="127">
        <v>1.034</v>
      </c>
      <c r="C15" s="7">
        <v>36000</v>
      </c>
      <c r="D15" s="7">
        <v>0</v>
      </c>
      <c r="E15" s="2">
        <v>117</v>
      </c>
      <c r="F15" s="4" t="s">
        <v>19</v>
      </c>
      <c r="G15" s="122">
        <f>VLOOKUP(A15,'[1]Data for Bill Impacts'!$A$2:$Y$15,17,FALSE)</f>
        <v>1204.08</v>
      </c>
      <c r="H15" s="78"/>
      <c r="I15" s="78">
        <v>0</v>
      </c>
      <c r="J15" s="126">
        <f>VLOOKUP(A15,'[1]Data for Bill Impacts'!$A$3:$Y$15,19,FALSE)</f>
        <v>1.3153070071616677</v>
      </c>
      <c r="K15" s="122"/>
      <c r="L15" s="126"/>
      <c r="M15" s="122">
        <f>VLOOKUP(A15,'[1]Data for Bill Impacts'!$A$3:$Y$15,22,FALSE)</f>
        <v>3.83</v>
      </c>
      <c r="N15" s="126">
        <f>VLOOKUP(A15,'[1]Data for Bill Impacts'!$A$3:$Y$15,23,FALSE)</f>
        <v>0.27289999999999998</v>
      </c>
      <c r="O15" s="126">
        <f>VLOOKUP(A15,'[1]Data for Bill Impacts'!$A$3:$Y$15,24,FALSE)</f>
        <v>3.4866480000000002</v>
      </c>
      <c r="P15" s="126">
        <f>VLOOKUP(A15,'[1]Data for Bill Impacts'!$A$3:$Y$15,25,FALSE)</f>
        <v>2.6021643999999999</v>
      </c>
      <c r="Q15" s="3">
        <f>SUM('[4]Rate Calc'!$G$16:$H$16)</f>
        <v>1226.6300000000001</v>
      </c>
      <c r="R15" s="2">
        <v>0</v>
      </c>
      <c r="S15" s="100">
        <f>'[4]Rate Calc'!$D$36</f>
        <v>1.3683020513538697</v>
      </c>
      <c r="T15" s="126">
        <f>VLOOKUP(A15,'[1]Data for Bill Impacts'!$A$3:$Y$15,21,FALSE)</f>
        <v>1.9E-3</v>
      </c>
      <c r="U15" s="172">
        <f t="shared" si="4"/>
        <v>1.9E-3</v>
      </c>
      <c r="V15" s="173">
        <f t="shared" si="0"/>
        <v>3.83</v>
      </c>
      <c r="W15" s="126">
        <f t="shared" si="1"/>
        <v>0.27289999999999998</v>
      </c>
      <c r="X15" s="126">
        <f t="shared" si="2"/>
        <v>3.4866480000000002</v>
      </c>
      <c r="Y15" s="126">
        <f t="shared" si="3"/>
        <v>2.6021643999999999</v>
      </c>
    </row>
    <row r="16" spans="1:25" x14ac:dyDescent="0.2">
      <c r="G16"/>
      <c r="H16"/>
      <c r="I16"/>
      <c r="J16"/>
      <c r="K16"/>
      <c r="L16"/>
      <c r="M16"/>
      <c r="N16"/>
      <c r="O16"/>
      <c r="P16"/>
      <c r="T16" s="5"/>
      <c r="U16" s="5"/>
      <c r="V16" s="5"/>
      <c r="W16" s="68"/>
      <c r="X16" s="5"/>
    </row>
    <row r="17" spans="1:25" x14ac:dyDescent="0.2">
      <c r="G17"/>
      <c r="H17"/>
      <c r="I17"/>
      <c r="J17"/>
      <c r="K17"/>
      <c r="L17"/>
      <c r="M17"/>
      <c r="N17"/>
      <c r="O17" s="68"/>
      <c r="P17" s="68"/>
      <c r="T17" s="5"/>
      <c r="U17" s="5"/>
      <c r="V17" s="5"/>
      <c r="W17" s="5"/>
      <c r="X17" s="5"/>
    </row>
    <row r="18" spans="1:25" ht="38.25" x14ac:dyDescent="0.2">
      <c r="A18" s="10" t="s">
        <v>13</v>
      </c>
      <c r="B18" s="10" t="s">
        <v>14</v>
      </c>
      <c r="C18" s="168" t="s">
        <v>114</v>
      </c>
      <c r="D18" s="168" t="s">
        <v>115</v>
      </c>
      <c r="G18"/>
      <c r="H18"/>
      <c r="I18"/>
      <c r="J18"/>
      <c r="K18"/>
      <c r="L18"/>
      <c r="M18"/>
      <c r="N18"/>
      <c r="O18"/>
      <c r="P18" s="68"/>
      <c r="Q18" s="68"/>
      <c r="U18" s="5"/>
      <c r="V18" s="5"/>
      <c r="W18" s="5"/>
      <c r="X18" s="5"/>
      <c r="Y18" s="5"/>
    </row>
    <row r="19" spans="1:25" x14ac:dyDescent="0.2">
      <c r="A19" s="6" t="s">
        <v>0</v>
      </c>
      <c r="B19" s="127">
        <v>1.0569999999999999</v>
      </c>
      <c r="C19" s="167">
        <f>VLOOKUP(A19,[5]Sheet1!$A$9:$I$22,8,FALSE)</f>
        <v>755</v>
      </c>
      <c r="D19" s="2"/>
      <c r="G19"/>
      <c r="H19"/>
      <c r="I19"/>
      <c r="J19"/>
      <c r="K19"/>
      <c r="L19"/>
      <c r="M19"/>
      <c r="N19"/>
      <c r="O19"/>
      <c r="P19" s="68"/>
      <c r="Q19" s="68"/>
      <c r="U19" s="5"/>
      <c r="V19" s="5"/>
      <c r="W19" s="5"/>
      <c r="X19" s="5"/>
      <c r="Y19" s="5"/>
    </row>
    <row r="20" spans="1:25" x14ac:dyDescent="0.2">
      <c r="A20" s="6" t="s">
        <v>1</v>
      </c>
      <c r="B20" s="127">
        <v>1.0760000000000001</v>
      </c>
      <c r="C20" s="167">
        <f>VLOOKUP(A20,[5]Sheet1!$A$9:$I$22,8,FALSE)</f>
        <v>920</v>
      </c>
      <c r="D20" s="2"/>
      <c r="G20"/>
      <c r="H20"/>
      <c r="I20"/>
      <c r="J20"/>
      <c r="K20"/>
      <c r="L20"/>
      <c r="M20"/>
      <c r="N20"/>
      <c r="O20"/>
      <c r="P20" s="68"/>
      <c r="Q20" s="68"/>
      <c r="U20" s="5"/>
      <c r="V20" s="5"/>
      <c r="W20" s="5"/>
      <c r="X20" s="5"/>
      <c r="Y20" s="5"/>
    </row>
    <row r="21" spans="1:25" x14ac:dyDescent="0.2">
      <c r="A21" s="6" t="s">
        <v>2</v>
      </c>
      <c r="B21" s="127">
        <v>1.105</v>
      </c>
      <c r="C21" s="167">
        <f>VLOOKUP(A21,[5]Sheet1!$A$9:$I$22,8,FALSE)</f>
        <v>1152</v>
      </c>
      <c r="D21" s="2"/>
      <c r="G21"/>
      <c r="H21"/>
      <c r="I21"/>
      <c r="J21"/>
      <c r="K21"/>
      <c r="L21"/>
      <c r="M21"/>
      <c r="N21"/>
      <c r="O21"/>
      <c r="P21"/>
      <c r="U21" s="5"/>
      <c r="V21" s="5"/>
      <c r="W21" s="5"/>
      <c r="X21" s="5"/>
      <c r="Y21" s="5"/>
    </row>
    <row r="22" spans="1:25" x14ac:dyDescent="0.2">
      <c r="A22" s="6" t="s">
        <v>3</v>
      </c>
      <c r="B22" s="127">
        <v>1.1040000000000001</v>
      </c>
      <c r="C22" s="167">
        <f>VLOOKUP(A22,[5]Sheet1!$A$9:$I$22,8,FALSE)</f>
        <v>352</v>
      </c>
      <c r="D22" s="2"/>
      <c r="G22"/>
      <c r="H22"/>
      <c r="I22"/>
      <c r="J22"/>
      <c r="K22"/>
      <c r="L22"/>
      <c r="M22"/>
      <c r="N22"/>
      <c r="O22"/>
      <c r="P22"/>
      <c r="T22" s="68"/>
      <c r="U22" s="5"/>
      <c r="V22" s="5"/>
      <c r="W22" s="5"/>
      <c r="X22" s="5"/>
      <c r="Y22" s="5"/>
    </row>
    <row r="23" spans="1:25" x14ac:dyDescent="0.2">
      <c r="A23" s="6" t="s">
        <v>4</v>
      </c>
      <c r="B23" s="127">
        <v>1.0960000000000001</v>
      </c>
      <c r="C23" s="167">
        <f>VLOOKUP(A23,[5]Sheet1!$A$9:$I$22,8,FALSE)</f>
        <v>1982</v>
      </c>
      <c r="D23" s="2"/>
      <c r="G23"/>
      <c r="H23"/>
      <c r="I23"/>
      <c r="J23"/>
      <c r="K23"/>
      <c r="L23"/>
      <c r="M23"/>
      <c r="N23"/>
      <c r="O23"/>
      <c r="P23"/>
      <c r="U23" s="5"/>
      <c r="V23" s="5"/>
      <c r="W23" s="5"/>
      <c r="X23" s="5"/>
      <c r="Y23" s="5"/>
    </row>
    <row r="24" spans="1:25" x14ac:dyDescent="0.2">
      <c r="A24" s="6" t="s">
        <v>6</v>
      </c>
      <c r="B24" s="127">
        <v>1.0669999999999999</v>
      </c>
      <c r="C24" s="167">
        <f>VLOOKUP(A24,[5]Sheet1!$A$9:$I$22,8,FALSE)</f>
        <v>2759</v>
      </c>
      <c r="D24" s="2"/>
      <c r="G24"/>
      <c r="H24"/>
      <c r="I24"/>
      <c r="J24"/>
      <c r="K24"/>
      <c r="L24"/>
      <c r="M24"/>
      <c r="N24"/>
      <c r="O24"/>
      <c r="P24"/>
      <c r="U24" s="5"/>
      <c r="V24" s="5"/>
      <c r="W24" s="5"/>
      <c r="X24" s="5"/>
      <c r="Y24" s="5"/>
    </row>
    <row r="25" spans="1:25" x14ac:dyDescent="0.2">
      <c r="A25" s="6" t="s">
        <v>8</v>
      </c>
      <c r="B25" s="127">
        <v>1.0920000000000001</v>
      </c>
      <c r="C25" s="167">
        <f>VLOOKUP(A25,[5]Sheet1!$A$9:$I$22,8,FALSE)</f>
        <v>517</v>
      </c>
      <c r="D25" s="2"/>
      <c r="G25"/>
      <c r="H25"/>
      <c r="I25"/>
      <c r="J25"/>
      <c r="K25"/>
      <c r="L25"/>
      <c r="M25"/>
      <c r="N25"/>
      <c r="O25"/>
      <c r="P25"/>
      <c r="U25" s="5"/>
      <c r="V25" s="5"/>
      <c r="W25" s="5"/>
      <c r="X25" s="5"/>
      <c r="Y25" s="5"/>
    </row>
    <row r="26" spans="1:25" x14ac:dyDescent="0.2">
      <c r="A26" s="6" t="s">
        <v>9</v>
      </c>
      <c r="B26" s="127">
        <v>1.0920000000000001</v>
      </c>
      <c r="C26" s="167">
        <f>VLOOKUP(A26,[5]Sheet1!$A$9:$I$22,8,FALSE)</f>
        <v>71</v>
      </c>
      <c r="D26" s="2"/>
      <c r="G26"/>
      <c r="H26"/>
      <c r="I26"/>
      <c r="J26"/>
      <c r="K26"/>
      <c r="L26"/>
      <c r="M26"/>
      <c r="N26"/>
      <c r="O26"/>
      <c r="P26"/>
      <c r="U26" s="5"/>
      <c r="V26" s="5"/>
      <c r="W26" s="5"/>
      <c r="X26" s="5"/>
      <c r="Y26" s="5"/>
    </row>
    <row r="27" spans="1:25" x14ac:dyDescent="0.2">
      <c r="A27" s="8" t="s">
        <v>12</v>
      </c>
      <c r="B27" s="127">
        <v>1.0920000000000001</v>
      </c>
      <c r="C27" s="167">
        <f>VLOOKUP(A27,[5]Sheet1!$A$9:$I$22,8,FALSE)</f>
        <v>364</v>
      </c>
      <c r="D27" s="2"/>
      <c r="G27"/>
      <c r="H27"/>
      <c r="I27"/>
      <c r="J27"/>
      <c r="K27"/>
      <c r="L27"/>
      <c r="M27"/>
      <c r="N27"/>
      <c r="O27"/>
      <c r="P27"/>
      <c r="U27" s="5"/>
      <c r="V27" s="5"/>
      <c r="W27" s="5"/>
      <c r="X27" s="5"/>
      <c r="Y27" s="5"/>
    </row>
    <row r="28" spans="1:25" x14ac:dyDescent="0.2">
      <c r="A28" s="6" t="s">
        <v>5</v>
      </c>
      <c r="B28" s="127">
        <v>1.0609999999999999</v>
      </c>
      <c r="C28" s="167">
        <f>VLOOKUP(A28,[5]Sheet1!$A$9:$I$22,8,FALSE)</f>
        <v>36104</v>
      </c>
      <c r="D28" s="167">
        <f>VLOOKUP(A28,[5]Sheet1!$A$10:$I$22,9,FALSE)</f>
        <v>124</v>
      </c>
      <c r="G28"/>
      <c r="H28"/>
      <c r="I28"/>
      <c r="J28"/>
      <c r="K28"/>
      <c r="L28"/>
      <c r="M28"/>
      <c r="N28"/>
      <c r="O28"/>
      <c r="P28"/>
    </row>
    <row r="29" spans="1:25" x14ac:dyDescent="0.2">
      <c r="A29" s="6" t="s">
        <v>7</v>
      </c>
      <c r="B29" s="127">
        <v>1.05</v>
      </c>
      <c r="C29" s="167">
        <f>VLOOKUP(A29,[5]Sheet1!$A$9:$I$22,8,FALSE)</f>
        <v>50525</v>
      </c>
      <c r="D29" s="167">
        <f>VLOOKUP(A29,[5]Sheet1!$A$10:$I$22,9,FALSE)</f>
        <v>135</v>
      </c>
      <c r="G29"/>
      <c r="H29"/>
      <c r="I29"/>
      <c r="J29"/>
      <c r="K29"/>
      <c r="L29"/>
      <c r="M29"/>
      <c r="N29"/>
      <c r="O29"/>
      <c r="P29"/>
    </row>
    <row r="30" spans="1:25" x14ac:dyDescent="0.2">
      <c r="A30" s="8" t="s">
        <v>10</v>
      </c>
      <c r="B30" s="127">
        <v>1.0609999999999999</v>
      </c>
      <c r="C30" s="167">
        <f>VLOOKUP(A30,[5]Sheet1!$A$9:$I$22,8,FALSE)</f>
        <v>1328</v>
      </c>
      <c r="D30" s="167">
        <f>VLOOKUP(A30,[5]Sheet1!$A$10:$I$22,9,FALSE)</f>
        <v>13</v>
      </c>
      <c r="G30"/>
      <c r="H30"/>
      <c r="I30"/>
      <c r="J30"/>
      <c r="K30"/>
      <c r="L30"/>
      <c r="M30"/>
      <c r="N30"/>
      <c r="O30"/>
      <c r="P30"/>
    </row>
    <row r="31" spans="1:25" x14ac:dyDescent="0.2">
      <c r="A31" s="8" t="s">
        <v>11</v>
      </c>
      <c r="B31" s="127">
        <v>1.034</v>
      </c>
      <c r="C31" s="167">
        <f>VLOOKUP(A31,[5]Sheet1!$A$9:$I$22,8,FALSE)</f>
        <v>1601036</v>
      </c>
      <c r="D31" s="167">
        <f>VLOOKUP(A31,[5]Sheet1!$A$10:$I$22,9,FALSE)</f>
        <v>3091</v>
      </c>
      <c r="G31"/>
      <c r="H31"/>
      <c r="I31"/>
      <c r="J31"/>
      <c r="K31"/>
      <c r="L31"/>
      <c r="M31"/>
      <c r="N31"/>
      <c r="O31"/>
      <c r="P31"/>
    </row>
    <row r="32" spans="1:25" x14ac:dyDescent="0.2">
      <c r="G32"/>
      <c r="H32"/>
      <c r="I32"/>
      <c r="J32"/>
      <c r="K32"/>
      <c r="L32"/>
      <c r="M32"/>
      <c r="N32"/>
      <c r="O32"/>
      <c r="P32"/>
    </row>
    <row r="33" spans="7:16" x14ac:dyDescent="0.2">
      <c r="G33"/>
      <c r="H33"/>
      <c r="I33"/>
      <c r="J33"/>
      <c r="K33"/>
      <c r="L33"/>
      <c r="M33"/>
      <c r="N33"/>
      <c r="O33"/>
      <c r="P33"/>
    </row>
    <row r="34" spans="7:16" x14ac:dyDescent="0.2">
      <c r="G34"/>
      <c r="H34"/>
      <c r="I34"/>
      <c r="J34"/>
      <c r="K34"/>
      <c r="L34"/>
      <c r="M34"/>
      <c r="N34"/>
      <c r="O34"/>
      <c r="P34"/>
    </row>
    <row r="35" spans="7:16" x14ac:dyDescent="0.2">
      <c r="G35"/>
      <c r="H35"/>
      <c r="I35"/>
      <c r="J35"/>
      <c r="K35"/>
      <c r="L35"/>
      <c r="M35"/>
      <c r="N35"/>
      <c r="O35"/>
      <c r="P35"/>
    </row>
    <row r="36" spans="7:16" x14ac:dyDescent="0.2">
      <c r="G36"/>
      <c r="H36"/>
      <c r="I36"/>
      <c r="J36"/>
      <c r="K36"/>
      <c r="L36"/>
      <c r="M36"/>
      <c r="N36"/>
      <c r="O36"/>
      <c r="P36"/>
    </row>
    <row r="37" spans="7:16" x14ac:dyDescent="0.2">
      <c r="G37"/>
      <c r="H37"/>
      <c r="I37"/>
      <c r="J37"/>
      <c r="K37"/>
      <c r="L37"/>
      <c r="M37"/>
      <c r="N37"/>
      <c r="O37"/>
      <c r="P37"/>
    </row>
    <row r="38" spans="7:16" x14ac:dyDescent="0.2">
      <c r="G38"/>
      <c r="H38"/>
      <c r="I38"/>
      <c r="J38"/>
      <c r="K38"/>
      <c r="L38"/>
      <c r="M38"/>
      <c r="N38"/>
      <c r="O38"/>
      <c r="P38"/>
    </row>
    <row r="39" spans="7:16" x14ac:dyDescent="0.2">
      <c r="G39"/>
      <c r="H39"/>
      <c r="I39"/>
      <c r="J39"/>
      <c r="K39"/>
      <c r="L39"/>
      <c r="M39"/>
      <c r="N39"/>
      <c r="O39"/>
      <c r="P39"/>
    </row>
    <row r="40" spans="7:16" x14ac:dyDescent="0.2">
      <c r="G40"/>
      <c r="H40"/>
      <c r="I40"/>
      <c r="J40"/>
      <c r="K40"/>
      <c r="L40"/>
      <c r="M40"/>
      <c r="N40"/>
      <c r="O40"/>
      <c r="P40"/>
    </row>
    <row r="41" spans="7:16" x14ac:dyDescent="0.2">
      <c r="G41"/>
      <c r="H41"/>
      <c r="I41"/>
      <c r="J41"/>
      <c r="K41"/>
      <c r="L41"/>
      <c r="M41"/>
      <c r="N41"/>
      <c r="O41"/>
      <c r="P41"/>
    </row>
    <row r="42" spans="7:16" x14ac:dyDescent="0.2">
      <c r="G42"/>
      <c r="H42"/>
      <c r="I42"/>
      <c r="J42"/>
      <c r="K42"/>
      <c r="L42"/>
      <c r="M42"/>
      <c r="N42"/>
      <c r="O42"/>
      <c r="P42"/>
    </row>
    <row r="43" spans="7:16" x14ac:dyDescent="0.2">
      <c r="G43"/>
      <c r="H43"/>
      <c r="I43"/>
      <c r="J43"/>
      <c r="K43"/>
      <c r="L43"/>
      <c r="M43"/>
      <c r="N43"/>
      <c r="O43"/>
      <c r="P43"/>
    </row>
    <row r="44" spans="7:16" x14ac:dyDescent="0.2">
      <c r="G44"/>
      <c r="H44"/>
      <c r="I44"/>
      <c r="J44"/>
      <c r="K44"/>
      <c r="L44"/>
      <c r="M44"/>
      <c r="N44"/>
      <c r="O44"/>
      <c r="P44"/>
    </row>
    <row r="45" spans="7:16" x14ac:dyDescent="0.2">
      <c r="G45"/>
      <c r="H45"/>
      <c r="I45"/>
      <c r="J45"/>
      <c r="K45"/>
      <c r="L45"/>
      <c r="M45"/>
      <c r="N45"/>
      <c r="O45"/>
      <c r="P45"/>
    </row>
    <row r="46" spans="7:16" x14ac:dyDescent="0.2">
      <c r="G46"/>
      <c r="H46"/>
      <c r="I46"/>
      <c r="J46"/>
      <c r="K46"/>
      <c r="L46"/>
      <c r="M46"/>
      <c r="N46"/>
      <c r="O46"/>
      <c r="P46"/>
    </row>
    <row r="47" spans="7:16" x14ac:dyDescent="0.2">
      <c r="G47"/>
      <c r="H47"/>
      <c r="I47"/>
      <c r="J47"/>
      <c r="K47"/>
      <c r="L47"/>
      <c r="M47"/>
      <c r="N47"/>
      <c r="O47"/>
      <c r="P47"/>
    </row>
    <row r="48" spans="7:16" x14ac:dyDescent="0.2">
      <c r="G48"/>
      <c r="H48"/>
      <c r="I48"/>
      <c r="J48"/>
      <c r="K48"/>
      <c r="L48"/>
      <c r="M48"/>
      <c r="N48"/>
      <c r="O48"/>
      <c r="P48"/>
    </row>
    <row r="49" spans="7:16" x14ac:dyDescent="0.2">
      <c r="G49"/>
      <c r="H49"/>
      <c r="I49"/>
      <c r="J49"/>
      <c r="K49"/>
      <c r="L49"/>
      <c r="M49"/>
      <c r="N49"/>
      <c r="O49"/>
      <c r="P49"/>
    </row>
    <row r="50" spans="7:16" x14ac:dyDescent="0.2">
      <c r="G50"/>
      <c r="H50"/>
      <c r="I50"/>
      <c r="J50"/>
      <c r="K50"/>
      <c r="L50"/>
      <c r="M50"/>
      <c r="N50"/>
      <c r="O50"/>
      <c r="P50"/>
    </row>
    <row r="51" spans="7:16" x14ac:dyDescent="0.2">
      <c r="G51"/>
      <c r="H51"/>
      <c r="I51"/>
      <c r="J51"/>
      <c r="K51"/>
      <c r="L51"/>
      <c r="M51"/>
      <c r="N51"/>
      <c r="O51"/>
      <c r="P51"/>
    </row>
    <row r="52" spans="7:16" x14ac:dyDescent="0.2">
      <c r="G52"/>
      <c r="H52"/>
      <c r="I52"/>
      <c r="J52"/>
      <c r="K52"/>
      <c r="L52"/>
      <c r="M52"/>
      <c r="N52"/>
      <c r="O52"/>
      <c r="P52"/>
    </row>
    <row r="53" spans="7:16" x14ac:dyDescent="0.2">
      <c r="G53"/>
      <c r="H53"/>
      <c r="I53"/>
      <c r="J53"/>
      <c r="K53"/>
      <c r="L53"/>
      <c r="M53"/>
      <c r="N53"/>
      <c r="O53"/>
      <c r="P53"/>
    </row>
    <row r="54" spans="7:16" x14ac:dyDescent="0.2">
      <c r="G54"/>
      <c r="H54"/>
      <c r="I54"/>
      <c r="J54"/>
      <c r="K54"/>
      <c r="L54"/>
      <c r="M54"/>
      <c r="N54"/>
      <c r="O54"/>
      <c r="P54"/>
    </row>
    <row r="55" spans="7:16" x14ac:dyDescent="0.2">
      <c r="G55"/>
      <c r="H55"/>
      <c r="I55"/>
      <c r="J55"/>
      <c r="K55"/>
      <c r="L55"/>
      <c r="M55"/>
      <c r="N55"/>
      <c r="O55"/>
      <c r="P55"/>
    </row>
    <row r="56" spans="7:16" x14ac:dyDescent="0.2">
      <c r="G56"/>
      <c r="H56"/>
      <c r="I56"/>
      <c r="J56"/>
      <c r="K56"/>
      <c r="L56"/>
      <c r="M56"/>
      <c r="N56"/>
      <c r="O56"/>
      <c r="P56"/>
    </row>
    <row r="57" spans="7:16" x14ac:dyDescent="0.2">
      <c r="G57"/>
      <c r="H57"/>
      <c r="I57"/>
      <c r="J57"/>
      <c r="K57"/>
      <c r="L57"/>
      <c r="M57"/>
      <c r="N57"/>
      <c r="O57"/>
      <c r="P57"/>
    </row>
    <row r="58" spans="7:16" x14ac:dyDescent="0.2">
      <c r="G58"/>
      <c r="H58"/>
      <c r="I58"/>
      <c r="J58"/>
      <c r="K58"/>
      <c r="L58"/>
      <c r="M58"/>
      <c r="N58"/>
      <c r="O58"/>
      <c r="P58"/>
    </row>
    <row r="59" spans="7:16" x14ac:dyDescent="0.2">
      <c r="G59"/>
      <c r="H59"/>
      <c r="I59"/>
      <c r="J59"/>
      <c r="K59"/>
      <c r="L59"/>
      <c r="M59"/>
      <c r="N59"/>
      <c r="O59"/>
      <c r="P59"/>
    </row>
    <row r="60" spans="7:16" x14ac:dyDescent="0.2">
      <c r="G60"/>
      <c r="H60"/>
      <c r="I60"/>
      <c r="J60"/>
      <c r="K60"/>
      <c r="L60"/>
      <c r="M60"/>
      <c r="N60"/>
      <c r="O60"/>
      <c r="P60"/>
    </row>
    <row r="61" spans="7:16" x14ac:dyDescent="0.2">
      <c r="G61"/>
      <c r="H61"/>
      <c r="I61"/>
      <c r="J61"/>
      <c r="K61"/>
      <c r="L61"/>
      <c r="M61"/>
      <c r="N61"/>
      <c r="O61"/>
      <c r="P61"/>
    </row>
    <row r="62" spans="7:16" x14ac:dyDescent="0.2">
      <c r="G62"/>
      <c r="H62"/>
      <c r="I62"/>
      <c r="J62"/>
      <c r="K62"/>
      <c r="L62"/>
      <c r="M62"/>
      <c r="N62"/>
      <c r="O62"/>
      <c r="P62"/>
    </row>
    <row r="63" spans="7:16" x14ac:dyDescent="0.2">
      <c r="G63"/>
      <c r="H63"/>
      <c r="I63"/>
      <c r="J63"/>
      <c r="K63"/>
      <c r="L63"/>
      <c r="M63"/>
      <c r="N63"/>
      <c r="O63"/>
      <c r="P63"/>
    </row>
    <row r="64" spans="7:16" x14ac:dyDescent="0.2">
      <c r="G64"/>
      <c r="H64"/>
      <c r="I64"/>
      <c r="J64"/>
      <c r="K64"/>
      <c r="L64"/>
      <c r="M64"/>
      <c r="N64"/>
      <c r="O64"/>
      <c r="P64"/>
    </row>
    <row r="65" spans="7:16" x14ac:dyDescent="0.2">
      <c r="G65"/>
      <c r="H65"/>
      <c r="I65"/>
      <c r="J65"/>
      <c r="K65"/>
      <c r="L65"/>
      <c r="M65"/>
      <c r="N65"/>
      <c r="O65"/>
      <c r="P65"/>
    </row>
    <row r="66" spans="7:16" x14ac:dyDescent="0.2">
      <c r="G66"/>
      <c r="H66"/>
      <c r="I66"/>
      <c r="J66"/>
      <c r="K66"/>
      <c r="L66"/>
      <c r="M66"/>
      <c r="N66"/>
      <c r="O66"/>
      <c r="P66"/>
    </row>
    <row r="67" spans="7:16" x14ac:dyDescent="0.2">
      <c r="G67"/>
      <c r="H67"/>
      <c r="I67"/>
      <c r="J67"/>
      <c r="K67"/>
      <c r="L67"/>
      <c r="M67"/>
      <c r="N67"/>
      <c r="O67"/>
      <c r="P67"/>
    </row>
    <row r="68" spans="7:16" x14ac:dyDescent="0.2">
      <c r="G68"/>
      <c r="H68"/>
      <c r="I68"/>
      <c r="J68"/>
      <c r="K68"/>
      <c r="L68"/>
      <c r="M68"/>
      <c r="N68"/>
      <c r="O68"/>
      <c r="P68"/>
    </row>
    <row r="69" spans="7:16" x14ac:dyDescent="0.2">
      <c r="G69"/>
      <c r="H69"/>
      <c r="I69"/>
      <c r="J69"/>
      <c r="K69"/>
      <c r="L69"/>
      <c r="M69"/>
      <c r="N69"/>
      <c r="O69"/>
      <c r="P69"/>
    </row>
    <row r="70" spans="7:16" x14ac:dyDescent="0.2">
      <c r="G70"/>
      <c r="H70"/>
      <c r="I70"/>
      <c r="J70"/>
      <c r="K70"/>
      <c r="L70"/>
      <c r="M70"/>
      <c r="N70"/>
      <c r="O70"/>
      <c r="P70"/>
    </row>
    <row r="71" spans="7:16" x14ac:dyDescent="0.2">
      <c r="G71"/>
      <c r="H71"/>
      <c r="I71"/>
      <c r="J71"/>
      <c r="K71"/>
      <c r="L71"/>
      <c r="M71"/>
      <c r="N71"/>
      <c r="O71"/>
      <c r="P71"/>
    </row>
    <row r="72" spans="7:16" x14ac:dyDescent="0.2">
      <c r="G72"/>
      <c r="H72"/>
      <c r="I72"/>
      <c r="J72"/>
      <c r="K72"/>
      <c r="L72"/>
      <c r="M72"/>
      <c r="N72"/>
      <c r="O72"/>
      <c r="P72"/>
    </row>
    <row r="73" spans="7:16" x14ac:dyDescent="0.2">
      <c r="G73"/>
      <c r="H73"/>
      <c r="I73"/>
      <c r="J73"/>
      <c r="K73"/>
      <c r="L73"/>
      <c r="M73"/>
      <c r="N73"/>
      <c r="O73"/>
      <c r="P73"/>
    </row>
    <row r="74" spans="7:16" x14ac:dyDescent="0.2">
      <c r="G74"/>
      <c r="H74"/>
      <c r="I74"/>
      <c r="J74"/>
      <c r="K74"/>
      <c r="L74"/>
      <c r="M74"/>
      <c r="N74"/>
      <c r="O74"/>
      <c r="P74"/>
    </row>
    <row r="75" spans="7:16" x14ac:dyDescent="0.2">
      <c r="G75"/>
      <c r="H75"/>
      <c r="I75"/>
      <c r="J75"/>
      <c r="K75"/>
      <c r="L75"/>
      <c r="M75"/>
      <c r="N75"/>
      <c r="O75"/>
      <c r="P75"/>
    </row>
    <row r="76" spans="7:16" x14ac:dyDescent="0.2">
      <c r="G76"/>
      <c r="H76"/>
      <c r="I76"/>
      <c r="J76"/>
      <c r="K76"/>
      <c r="L76"/>
      <c r="M76"/>
      <c r="N76"/>
      <c r="O76"/>
      <c r="P76"/>
    </row>
    <row r="77" spans="7:16" x14ac:dyDescent="0.2">
      <c r="G77"/>
      <c r="H77"/>
      <c r="I77"/>
      <c r="J77"/>
      <c r="K77"/>
      <c r="L77"/>
      <c r="M77"/>
      <c r="N77"/>
      <c r="O77"/>
      <c r="P77"/>
    </row>
    <row r="78" spans="7:16" x14ac:dyDescent="0.2">
      <c r="G78"/>
      <c r="H78"/>
      <c r="I78"/>
      <c r="J78"/>
      <c r="K78"/>
      <c r="L78"/>
      <c r="M78"/>
      <c r="N78"/>
      <c r="O78"/>
      <c r="P78"/>
    </row>
    <row r="79" spans="7:16" x14ac:dyDescent="0.2">
      <c r="G79"/>
      <c r="H79"/>
      <c r="I79"/>
      <c r="J79"/>
      <c r="K79"/>
      <c r="L79"/>
      <c r="M79"/>
      <c r="N79"/>
      <c r="O79"/>
      <c r="P79"/>
    </row>
    <row r="80" spans="7:16" x14ac:dyDescent="0.2">
      <c r="G80"/>
      <c r="H80"/>
      <c r="I80"/>
      <c r="J80"/>
      <c r="K80"/>
      <c r="L80"/>
      <c r="M80"/>
      <c r="N80"/>
      <c r="O80"/>
      <c r="P80"/>
    </row>
    <row r="81" spans="7:16" x14ac:dyDescent="0.2">
      <c r="G81"/>
      <c r="H81"/>
      <c r="I81"/>
      <c r="J81"/>
      <c r="K81"/>
      <c r="L81"/>
      <c r="M81"/>
      <c r="N81"/>
      <c r="O81"/>
      <c r="P81"/>
    </row>
    <row r="82" spans="7:16" x14ac:dyDescent="0.2">
      <c r="G82"/>
      <c r="H82"/>
      <c r="I82"/>
      <c r="J82"/>
      <c r="K82"/>
      <c r="L82"/>
      <c r="M82"/>
      <c r="N82"/>
      <c r="O82"/>
      <c r="P82"/>
    </row>
    <row r="83" spans="7:16" x14ac:dyDescent="0.2">
      <c r="G83"/>
      <c r="H83"/>
      <c r="I83"/>
      <c r="J83"/>
      <c r="K83"/>
      <c r="L83"/>
      <c r="M83"/>
      <c r="N83"/>
      <c r="O83"/>
      <c r="P83"/>
    </row>
    <row r="84" spans="7:16" x14ac:dyDescent="0.2">
      <c r="G84"/>
      <c r="H84"/>
      <c r="I84"/>
      <c r="J84"/>
      <c r="K84"/>
      <c r="L84"/>
      <c r="M84"/>
      <c r="N84"/>
      <c r="O84"/>
      <c r="P84"/>
    </row>
    <row r="85" spans="7:16" x14ac:dyDescent="0.2">
      <c r="G85"/>
      <c r="H85"/>
      <c r="I85"/>
      <c r="J85"/>
      <c r="K85"/>
      <c r="L85"/>
      <c r="M85"/>
      <c r="N85"/>
      <c r="O85"/>
      <c r="P85"/>
    </row>
    <row r="86" spans="7:16" x14ac:dyDescent="0.2">
      <c r="G86"/>
      <c r="H86"/>
      <c r="I86"/>
      <c r="J86"/>
      <c r="K86"/>
      <c r="L86"/>
      <c r="M86"/>
      <c r="N86"/>
      <c r="O86"/>
      <c r="P86"/>
    </row>
    <row r="87" spans="7:16" x14ac:dyDescent="0.2">
      <c r="G87"/>
      <c r="H87"/>
      <c r="I87"/>
      <c r="J87"/>
      <c r="K87"/>
      <c r="L87"/>
      <c r="M87"/>
      <c r="N87"/>
      <c r="O87"/>
      <c r="P87"/>
    </row>
    <row r="88" spans="7:16" x14ac:dyDescent="0.2">
      <c r="G88"/>
      <c r="H88"/>
      <c r="I88"/>
      <c r="J88"/>
      <c r="K88"/>
      <c r="L88"/>
      <c r="M88"/>
      <c r="N88"/>
      <c r="O88"/>
      <c r="P88"/>
    </row>
    <row r="89" spans="7:16" x14ac:dyDescent="0.2">
      <c r="G89"/>
      <c r="H89"/>
      <c r="I89"/>
      <c r="J89"/>
      <c r="K89"/>
      <c r="L89"/>
      <c r="M89"/>
      <c r="N89"/>
      <c r="O89"/>
      <c r="P89"/>
    </row>
  </sheetData>
  <pageMargins left="0.7" right="0.7" top="0.75" bottom="0.75" header="0.3" footer="0.3"/>
  <pageSetup paperSize="5" scale="62" fitToHeight="0" orientation="landscape" r:id="rId1"/>
  <headerFooter>
    <oddHeader>&amp;RFiled: 2017-03-31
EB-2017-0049
Exhibit H1-4-1
Attachment 2
Page &amp;P of &amp;N</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1" tint="0.499984740745262"/>
    <pageSetUpPr fitToPage="1"/>
  </sheetPr>
  <dimension ref="A1:K68"/>
  <sheetViews>
    <sheetView tabSelected="1" view="pageBreakPreview" topLeftCell="A10" zoomScaleNormal="100" zoomScaleSheetLayoutView="100" workbookViewId="0">
      <selection activeCell="E1" sqref="E1:E1048576"/>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121</v>
      </c>
      <c r="B1" s="188"/>
      <c r="C1" s="188"/>
      <c r="D1" s="188"/>
      <c r="E1" s="188"/>
      <c r="F1" s="188"/>
      <c r="G1" s="188"/>
      <c r="H1" s="188"/>
      <c r="I1" s="188"/>
      <c r="J1" s="188"/>
      <c r="K1" s="189"/>
    </row>
    <row r="3" spans="1:11" x14ac:dyDescent="0.2">
      <c r="A3" s="13" t="s">
        <v>13</v>
      </c>
      <c r="B3" s="13" t="s">
        <v>1</v>
      </c>
    </row>
    <row r="4" spans="1:11" x14ac:dyDescent="0.2">
      <c r="A4" s="15" t="s">
        <v>62</v>
      </c>
      <c r="B4" s="15">
        <v>1800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69">
        <f>B4*B6</f>
        <v>1936.8000000000002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0.17263483545186462</v>
      </c>
      <c r="K12" s="106"/>
    </row>
    <row r="13" spans="1:11" x14ac:dyDescent="0.2">
      <c r="A13" s="107" t="s">
        <v>32</v>
      </c>
      <c r="B13" s="73">
        <f>IF(B4&gt;B7,(B4)-B7,0)</f>
        <v>1200</v>
      </c>
      <c r="C13" s="21">
        <v>0.121</v>
      </c>
      <c r="D13" s="22">
        <f>B13*C13</f>
        <v>145.19999999999999</v>
      </c>
      <c r="E13" s="73">
        <f t="shared" ref="E13" si="0">B13</f>
        <v>1200</v>
      </c>
      <c r="F13" s="21">
        <f>C13</f>
        <v>0.121</v>
      </c>
      <c r="G13" s="22">
        <f>E13*F13</f>
        <v>145.19999999999999</v>
      </c>
      <c r="H13" s="22">
        <f t="shared" ref="H13:H46" si="1">G13-D13</f>
        <v>0</v>
      </c>
      <c r="I13" s="23">
        <f t="shared" ref="I13:I46" si="2">IF(ISERROR(H13/D13),0,(H13/D13))</f>
        <v>0</v>
      </c>
      <c r="J13" s="23">
        <f>G13/$G$46</f>
        <v>0.40560805999370131</v>
      </c>
      <c r="K13" s="108"/>
    </row>
    <row r="14" spans="1:11" s="1" customFormat="1" x14ac:dyDescent="0.2">
      <c r="A14" s="46" t="s">
        <v>33</v>
      </c>
      <c r="B14" s="24"/>
      <c r="C14" s="25"/>
      <c r="D14" s="25">
        <f>SUM(D12:D13)</f>
        <v>207</v>
      </c>
      <c r="E14" s="76"/>
      <c r="F14" s="25"/>
      <c r="G14" s="25">
        <f>SUM(G12:G13)</f>
        <v>207</v>
      </c>
      <c r="H14" s="25">
        <f t="shared" si="1"/>
        <v>0</v>
      </c>
      <c r="I14" s="27">
        <f t="shared" si="2"/>
        <v>0</v>
      </c>
      <c r="J14" s="27">
        <f>G14/$G$46</f>
        <v>0.57824289544556595</v>
      </c>
      <c r="K14" s="108"/>
    </row>
    <row r="15" spans="1:11" s="1" customFormat="1" x14ac:dyDescent="0.2">
      <c r="A15" s="109" t="s">
        <v>34</v>
      </c>
      <c r="B15" s="75">
        <f>B4*0.65</f>
        <v>1170</v>
      </c>
      <c r="C15" s="28">
        <v>8.6999999999999994E-2</v>
      </c>
      <c r="D15" s="22">
        <f>B15*C15</f>
        <v>101.78999999999999</v>
      </c>
      <c r="E15" s="73">
        <f t="shared" ref="E15:F17" si="3">B15</f>
        <v>1170</v>
      </c>
      <c r="F15" s="28">
        <f t="shared" si="3"/>
        <v>8.6999999999999994E-2</v>
      </c>
      <c r="G15" s="22">
        <f>E15*F15</f>
        <v>101.78999999999999</v>
      </c>
      <c r="H15" s="22">
        <f t="shared" si="1"/>
        <v>0</v>
      </c>
      <c r="I15" s="23">
        <f t="shared" si="2"/>
        <v>0</v>
      </c>
      <c r="J15" s="23"/>
      <c r="K15" s="108">
        <f t="shared" ref="K15:K26" si="4">G15/$G$51</f>
        <v>0.29101334697747994</v>
      </c>
    </row>
    <row r="16" spans="1:11" s="1" customFormat="1" x14ac:dyDescent="0.2">
      <c r="A16" s="109" t="s">
        <v>35</v>
      </c>
      <c r="B16" s="75">
        <f>B4*0.17</f>
        <v>306</v>
      </c>
      <c r="C16" s="28">
        <v>0.13200000000000001</v>
      </c>
      <c r="D16" s="22">
        <f>B16*C16</f>
        <v>40.392000000000003</v>
      </c>
      <c r="E16" s="73">
        <f t="shared" si="3"/>
        <v>306</v>
      </c>
      <c r="F16" s="28">
        <f t="shared" si="3"/>
        <v>0.13200000000000001</v>
      </c>
      <c r="G16" s="22">
        <f>E16*F16</f>
        <v>40.392000000000003</v>
      </c>
      <c r="H16" s="22">
        <f t="shared" si="1"/>
        <v>0</v>
      </c>
      <c r="I16" s="23">
        <f t="shared" si="2"/>
        <v>0</v>
      </c>
      <c r="J16" s="23"/>
      <c r="K16" s="108">
        <f t="shared" si="4"/>
        <v>0.11547903636029444</v>
      </c>
    </row>
    <row r="17" spans="1:11" s="1" customFormat="1" x14ac:dyDescent="0.2">
      <c r="A17" s="109" t="s">
        <v>36</v>
      </c>
      <c r="B17" s="75">
        <f>B4*0.18</f>
        <v>324</v>
      </c>
      <c r="C17" s="28">
        <v>0.18</v>
      </c>
      <c r="D17" s="22">
        <f>B17*C17</f>
        <v>58.32</v>
      </c>
      <c r="E17" s="73">
        <f t="shared" si="3"/>
        <v>324</v>
      </c>
      <c r="F17" s="28">
        <f t="shared" si="3"/>
        <v>0.18</v>
      </c>
      <c r="G17" s="22">
        <f>E17*F17</f>
        <v>58.32</v>
      </c>
      <c r="H17" s="22">
        <f t="shared" si="1"/>
        <v>0</v>
      </c>
      <c r="I17" s="23">
        <f t="shared" si="2"/>
        <v>0</v>
      </c>
      <c r="J17" s="23"/>
      <c r="K17" s="108">
        <f t="shared" si="4"/>
        <v>0.1667344375255588</v>
      </c>
    </row>
    <row r="18" spans="1:11" s="1" customFormat="1" x14ac:dyDescent="0.2">
      <c r="A18" s="61" t="s">
        <v>37</v>
      </c>
      <c r="B18" s="29"/>
      <c r="C18" s="30"/>
      <c r="D18" s="30">
        <f>SUM(D15:D17)</f>
        <v>200.50199999999998</v>
      </c>
      <c r="E18" s="77"/>
      <c r="F18" s="30"/>
      <c r="G18" s="30">
        <f>SUM(G15:G17)</f>
        <v>200.50199999999998</v>
      </c>
      <c r="H18" s="31">
        <f t="shared" si="1"/>
        <v>0</v>
      </c>
      <c r="I18" s="32">
        <f t="shared" si="2"/>
        <v>0</v>
      </c>
      <c r="J18" s="33">
        <f t="shared" ref="J18:J26" si="5">G18/$G$46</f>
        <v>0.56009109672766599</v>
      </c>
      <c r="K18" s="62">
        <f t="shared" si="4"/>
        <v>0.5732268208633331</v>
      </c>
    </row>
    <row r="19" spans="1:11" x14ac:dyDescent="0.2">
      <c r="A19" s="107" t="s">
        <v>38</v>
      </c>
      <c r="B19" s="73">
        <v>1</v>
      </c>
      <c r="C19" s="78">
        <f>VLOOKUP($B$3,'Data for Bill Impacts'!$A$3:$Y$15,7,0)</f>
        <v>37.83</v>
      </c>
      <c r="D19" s="22">
        <f>B19*C19</f>
        <v>37.83</v>
      </c>
      <c r="E19" s="73">
        <f t="shared" ref="E19:E41" si="6">B19</f>
        <v>1</v>
      </c>
      <c r="F19" s="78">
        <f>VLOOKUP($B$3,'Data for Bill Impacts'!$A$3:$Y$15,17,0)</f>
        <v>42.25</v>
      </c>
      <c r="G19" s="22">
        <f>E19*F19</f>
        <v>42.25</v>
      </c>
      <c r="H19" s="22">
        <f t="shared" si="1"/>
        <v>4.4200000000000017</v>
      </c>
      <c r="I19" s="23">
        <f t="shared" si="2"/>
        <v>0.11683848797250865</v>
      </c>
      <c r="J19" s="23">
        <f t="shared" si="5"/>
        <v>0.11802300643756117</v>
      </c>
      <c r="K19" s="108">
        <f t="shared" si="4"/>
        <v>0.12079098054620815</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1800</v>
      </c>
      <c r="C23" s="78">
        <f>VLOOKUP($B$3,'Data for Bill Impacts'!$A$3:$Y$15,10,0)</f>
        <v>2.1999999999999999E-2</v>
      </c>
      <c r="D23" s="22">
        <f>B23*C23</f>
        <v>39.599999999999994</v>
      </c>
      <c r="E23" s="73">
        <f t="shared" si="6"/>
        <v>1800</v>
      </c>
      <c r="F23" s="78">
        <f>VLOOKUP($B$3,'Data for Bill Impacts'!$A$3:$Y$15,19,0)</f>
        <v>1.9400000000000001E-2</v>
      </c>
      <c r="G23" s="22">
        <f>E23*F23</f>
        <v>34.92</v>
      </c>
      <c r="H23" s="22">
        <f t="shared" si="1"/>
        <v>-4.6799999999999926</v>
      </c>
      <c r="I23" s="23">
        <f t="shared" si="2"/>
        <v>-0.11818181818181801</v>
      </c>
      <c r="J23" s="23">
        <f t="shared" si="5"/>
        <v>9.7547062362121573E-2</v>
      </c>
      <c r="K23" s="108">
        <f t="shared" si="4"/>
        <v>9.9834817530735823E-2</v>
      </c>
    </row>
    <row r="24" spans="1:11" x14ac:dyDescent="0.2">
      <c r="A24" s="107" t="s">
        <v>122</v>
      </c>
      <c r="B24" s="73">
        <f>IF($B$9="kWh",$B$4,$B$5)</f>
        <v>1800</v>
      </c>
      <c r="C24" s="126">
        <f>VLOOKUP($B$3,'Data for Bill Impacts'!$A$3:$Y$15,14,0)</f>
        <v>2.0000000000000001E-4</v>
      </c>
      <c r="D24" s="22">
        <f>B24*C24</f>
        <v>0.36000000000000004</v>
      </c>
      <c r="E24" s="73">
        <f>B24</f>
        <v>1800</v>
      </c>
      <c r="F24" s="126">
        <f>VLOOKUP($B$3,'Data for Bill Impacts'!$A$3:$Y$15,23,0)</f>
        <v>2.0000000000000001E-4</v>
      </c>
      <c r="G24" s="22">
        <f>E24*F24</f>
        <v>0.36000000000000004</v>
      </c>
      <c r="H24" s="22">
        <f>G24-D24</f>
        <v>0</v>
      </c>
      <c r="I24" s="23">
        <f>IF(ISERROR(H24/D24),0,(H24/D24))</f>
        <v>0</v>
      </c>
      <c r="J24" s="23">
        <f t="shared" si="5"/>
        <v>1.0056398181662019E-3</v>
      </c>
      <c r="K24" s="108">
        <f t="shared" si="4"/>
        <v>1.0292249229972767E-3</v>
      </c>
    </row>
    <row r="25" spans="1:11" s="1" customFormat="1" x14ac:dyDescent="0.2">
      <c r="A25" s="110" t="s">
        <v>72</v>
      </c>
      <c r="B25" s="74"/>
      <c r="C25" s="35"/>
      <c r="D25" s="35">
        <f>SUM(D19:D24)</f>
        <v>77.789999999999992</v>
      </c>
      <c r="E25" s="73"/>
      <c r="F25" s="35"/>
      <c r="G25" s="35">
        <f>SUM(G19:G24)</f>
        <v>77.53</v>
      </c>
      <c r="H25" s="35">
        <f t="shared" si="1"/>
        <v>-0.25999999999999091</v>
      </c>
      <c r="I25" s="36">
        <f t="shared" si="2"/>
        <v>-3.3423319192697125E-3</v>
      </c>
      <c r="J25" s="36">
        <f t="shared" si="5"/>
        <v>0.21657570861784894</v>
      </c>
      <c r="K25" s="111">
        <f t="shared" si="4"/>
        <v>0.22165502299994125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2.2068207120869428E-3</v>
      </c>
      <c r="K26" s="108">
        <f t="shared" si="4"/>
        <v>2.2585769143551346E-3</v>
      </c>
    </row>
    <row r="27" spans="1:11" s="1" customFormat="1" x14ac:dyDescent="0.2">
      <c r="A27" s="119" t="s">
        <v>75</v>
      </c>
      <c r="B27" s="120">
        <f>B8-B4</f>
        <v>136.80000000000018</v>
      </c>
      <c r="C27" s="121">
        <f>IF(B4&gt;B7,C13,C12)</f>
        <v>0.121</v>
      </c>
      <c r="D27" s="22">
        <f>B27*C27</f>
        <v>16.552800000000023</v>
      </c>
      <c r="E27" s="73">
        <f>B27</f>
        <v>136.80000000000018</v>
      </c>
      <c r="F27" s="121">
        <f>C27</f>
        <v>0.121</v>
      </c>
      <c r="G27" s="22">
        <f>E27*F27</f>
        <v>16.552800000000023</v>
      </c>
      <c r="H27" s="22">
        <f t="shared" si="1"/>
        <v>0</v>
      </c>
      <c r="I27" s="23">
        <f>IF(ISERROR(H27/D27),0,(H27/D27))</f>
        <v>0</v>
      </c>
      <c r="J27" s="23">
        <f t="shared" ref="J27:J46" si="9">G27/$G$46</f>
        <v>4.6239318839282013E-2</v>
      </c>
      <c r="K27" s="108">
        <f t="shared" ref="K27:K41" si="10">G27/$G$51</f>
        <v>4.7323761959414838E-2</v>
      </c>
    </row>
    <row r="28" spans="1:11" s="1" customFormat="1" x14ac:dyDescent="0.2">
      <c r="A28" s="119" t="s">
        <v>74</v>
      </c>
      <c r="B28" s="120">
        <f>B8-B4</f>
        <v>136.80000000000018</v>
      </c>
      <c r="C28" s="121">
        <f>0.65*C15+0.17*C16+0.18*C17</f>
        <v>0.11139</v>
      </c>
      <c r="D28" s="22">
        <f>B28*C28</f>
        <v>15.238152000000021</v>
      </c>
      <c r="E28" s="73">
        <f>B28</f>
        <v>136.80000000000018</v>
      </c>
      <c r="F28" s="121">
        <f>C28</f>
        <v>0.11139</v>
      </c>
      <c r="G28" s="22">
        <f>E28*F28</f>
        <v>15.238152000000021</v>
      </c>
      <c r="H28" s="22">
        <f t="shared" si="1"/>
        <v>0</v>
      </c>
      <c r="I28" s="23">
        <f>IF(ISERROR(H28/D28),0,(H28/D28))</f>
        <v>0</v>
      </c>
      <c r="J28" s="23">
        <f t="shared" si="9"/>
        <v>4.2566923351302674E-2</v>
      </c>
      <c r="K28" s="108">
        <f t="shared" si="10"/>
        <v>4.3565238385613381E-2</v>
      </c>
    </row>
    <row r="29" spans="1:11" s="1" customFormat="1" x14ac:dyDescent="0.2">
      <c r="A29" s="110" t="s">
        <v>78</v>
      </c>
      <c r="B29" s="74"/>
      <c r="C29" s="35"/>
      <c r="D29" s="35">
        <f>SUM(D25,D26:D27)</f>
        <v>95.132800000000017</v>
      </c>
      <c r="E29" s="73"/>
      <c r="F29" s="35"/>
      <c r="G29" s="35">
        <f>SUM(G25,G26:G27)</f>
        <v>94.872800000000026</v>
      </c>
      <c r="H29" s="35">
        <f t="shared" si="1"/>
        <v>-0.25999999999999091</v>
      </c>
      <c r="I29" s="36">
        <f>IF(ISERROR(H29/D29),0,(H29/D29))</f>
        <v>-2.7330216287126089E-3</v>
      </c>
      <c r="J29" s="36">
        <f t="shared" si="9"/>
        <v>0.26502184816921792</v>
      </c>
      <c r="K29" s="111">
        <f t="shared" si="10"/>
        <v>0.27123736187371122</v>
      </c>
    </row>
    <row r="30" spans="1:11" s="1" customFormat="1" x14ac:dyDescent="0.2">
      <c r="A30" s="110" t="s">
        <v>77</v>
      </c>
      <c r="B30" s="74"/>
      <c r="C30" s="35"/>
      <c r="D30" s="35">
        <f>SUM(D25,D26,D28)</f>
        <v>93.818152000000026</v>
      </c>
      <c r="E30" s="73"/>
      <c r="F30" s="35"/>
      <c r="G30" s="35">
        <f>SUM(G25,G26,G28)</f>
        <v>93.558152000000035</v>
      </c>
      <c r="H30" s="35">
        <f t="shared" si="1"/>
        <v>-0.25999999999999091</v>
      </c>
      <c r="I30" s="36">
        <f>IF(ISERROR(H30/D30),0,(H30/D30))</f>
        <v>-2.7713187102639883E-3</v>
      </c>
      <c r="J30" s="36">
        <f t="shared" si="9"/>
        <v>0.2613494526812386</v>
      </c>
      <c r="K30" s="111">
        <f t="shared" si="10"/>
        <v>0.26747883829990982</v>
      </c>
    </row>
    <row r="31" spans="1:11" x14ac:dyDescent="0.2">
      <c r="A31" s="107" t="s">
        <v>40</v>
      </c>
      <c r="B31" s="73">
        <f>B8</f>
        <v>1936.8000000000002</v>
      </c>
      <c r="C31" s="126">
        <f>VLOOKUP($B$3,'Data for Bill Impacts'!$A$3:$Y$15,15,0)</f>
        <v>7.2069999999999999E-3</v>
      </c>
      <c r="D31" s="22">
        <f>B31*C31</f>
        <v>13.9585176</v>
      </c>
      <c r="E31" s="73">
        <f t="shared" si="6"/>
        <v>1936.8000000000002</v>
      </c>
      <c r="F31" s="126">
        <f>VLOOKUP($B$3,'Data for Bill Impacts'!$A$3:$Y$15,24,0)</f>
        <v>7.2069999999999999E-3</v>
      </c>
      <c r="G31" s="22">
        <f>E31*F31</f>
        <v>13.9585176</v>
      </c>
      <c r="H31" s="22">
        <f t="shared" si="1"/>
        <v>0</v>
      </c>
      <c r="I31" s="23">
        <f t="shared" si="2"/>
        <v>0</v>
      </c>
      <c r="J31" s="23">
        <f t="shared" si="9"/>
        <v>3.8992336392038127E-2</v>
      </c>
      <c r="K31" s="108">
        <f t="shared" si="10"/>
        <v>3.9906817227822584E-2</v>
      </c>
    </row>
    <row r="32" spans="1:11" x14ac:dyDescent="0.2">
      <c r="A32" s="107" t="s">
        <v>41</v>
      </c>
      <c r="B32" s="73">
        <f>B8</f>
        <v>1936.8000000000002</v>
      </c>
      <c r="C32" s="126">
        <f>VLOOKUP($B$3,'Data for Bill Impacts'!$A$3:$Y$15,16,0)</f>
        <v>6.0319999999999992E-3</v>
      </c>
      <c r="D32" s="22">
        <f>B32*C32</f>
        <v>11.6827776</v>
      </c>
      <c r="E32" s="73">
        <f t="shared" si="6"/>
        <v>1936.8000000000002</v>
      </c>
      <c r="F32" s="126">
        <f>VLOOKUP($B$3,'Data for Bill Impacts'!$A$3:$Y$15,25,0)</f>
        <v>6.0319999999999992E-3</v>
      </c>
      <c r="G32" s="22">
        <f>E32*F32</f>
        <v>11.6827776</v>
      </c>
      <c r="H32" s="22">
        <f t="shared" si="1"/>
        <v>0</v>
      </c>
      <c r="I32" s="23">
        <f t="shared" si="2"/>
        <v>0</v>
      </c>
      <c r="J32" s="23">
        <f t="shared" si="9"/>
        <v>3.263518428150048E-2</v>
      </c>
      <c r="K32" s="108">
        <f t="shared" si="10"/>
        <v>3.3400571877095296E-2</v>
      </c>
    </row>
    <row r="33" spans="1:11" s="1" customFormat="1" x14ac:dyDescent="0.2">
      <c r="A33" s="110" t="s">
        <v>76</v>
      </c>
      <c r="B33" s="74"/>
      <c r="C33" s="35"/>
      <c r="D33" s="35">
        <f>SUM(D31:D32)</f>
        <v>25.641295200000002</v>
      </c>
      <c r="E33" s="73"/>
      <c r="F33" s="35"/>
      <c r="G33" s="35">
        <f>SUM(G31:G32)</f>
        <v>25.641295200000002</v>
      </c>
      <c r="H33" s="35">
        <f t="shared" si="1"/>
        <v>0</v>
      </c>
      <c r="I33" s="36">
        <f t="shared" si="2"/>
        <v>0</v>
      </c>
      <c r="J33" s="36">
        <f t="shared" si="9"/>
        <v>7.1627520673538614E-2</v>
      </c>
      <c r="K33" s="111">
        <f t="shared" si="10"/>
        <v>7.3307389104917881E-2</v>
      </c>
    </row>
    <row r="34" spans="1:11" s="1" customFormat="1" x14ac:dyDescent="0.2">
      <c r="A34" s="110" t="s">
        <v>91</v>
      </c>
      <c r="B34" s="74"/>
      <c r="C34" s="35"/>
      <c r="D34" s="35">
        <f>D29+D33</f>
        <v>120.77409520000002</v>
      </c>
      <c r="E34" s="73"/>
      <c r="F34" s="35"/>
      <c r="G34" s="35">
        <f>G29+G33</f>
        <v>120.51409520000003</v>
      </c>
      <c r="H34" s="35">
        <f t="shared" si="1"/>
        <v>-0.25999999999999091</v>
      </c>
      <c r="I34" s="36">
        <f t="shared" si="2"/>
        <v>-2.1527795308210339E-3</v>
      </c>
      <c r="J34" s="36">
        <f t="shared" si="9"/>
        <v>0.33664936884275654</v>
      </c>
      <c r="K34" s="111">
        <f t="shared" si="10"/>
        <v>0.34454475097862913</v>
      </c>
    </row>
    <row r="35" spans="1:11" s="1" customFormat="1" x14ac:dyDescent="0.2">
      <c r="A35" s="110" t="s">
        <v>92</v>
      </c>
      <c r="B35" s="74"/>
      <c r="C35" s="35"/>
      <c r="D35" s="35">
        <f>D30+D33</f>
        <v>119.45944720000003</v>
      </c>
      <c r="E35" s="73"/>
      <c r="F35" s="35"/>
      <c r="G35" s="35">
        <f>G30+G33</f>
        <v>119.19944720000004</v>
      </c>
      <c r="H35" s="35">
        <f t="shared" si="1"/>
        <v>-0.25999999999999091</v>
      </c>
      <c r="I35" s="36">
        <f t="shared" si="2"/>
        <v>-2.1764708115943033E-3</v>
      </c>
      <c r="J35" s="36">
        <f t="shared" si="9"/>
        <v>0.33297697335477722</v>
      </c>
      <c r="K35" s="111">
        <f t="shared" si="10"/>
        <v>0.34078622740482767</v>
      </c>
    </row>
    <row r="36" spans="1:11" x14ac:dyDescent="0.2">
      <c r="A36" s="107" t="s">
        <v>42</v>
      </c>
      <c r="B36" s="73">
        <f>B8</f>
        <v>1936.8000000000002</v>
      </c>
      <c r="C36" s="34">
        <v>3.5999999999999999E-3</v>
      </c>
      <c r="D36" s="22">
        <f>B36*C36</f>
        <v>6.9724800000000009</v>
      </c>
      <c r="E36" s="73">
        <f t="shared" si="6"/>
        <v>1936.8000000000002</v>
      </c>
      <c r="F36" s="34">
        <v>3.5999999999999999E-3</v>
      </c>
      <c r="G36" s="22">
        <f>E36*F36</f>
        <v>6.9724800000000009</v>
      </c>
      <c r="H36" s="22">
        <f t="shared" si="1"/>
        <v>0</v>
      </c>
      <c r="I36" s="23">
        <f t="shared" si="2"/>
        <v>0</v>
      </c>
      <c r="J36" s="23">
        <f t="shared" si="9"/>
        <v>1.9477231998242996E-2</v>
      </c>
      <c r="K36" s="108">
        <f t="shared" si="10"/>
        <v>1.9934028308611254E-2</v>
      </c>
    </row>
    <row r="37" spans="1:11" x14ac:dyDescent="0.2">
      <c r="A37" s="107" t="s">
        <v>43</v>
      </c>
      <c r="B37" s="73">
        <f>B8</f>
        <v>1936.8000000000002</v>
      </c>
      <c r="C37" s="34">
        <v>2.0999999999999999E-3</v>
      </c>
      <c r="D37" s="22">
        <f>B37*C37</f>
        <v>4.0672800000000002</v>
      </c>
      <c r="E37" s="73">
        <f t="shared" si="6"/>
        <v>1936.8000000000002</v>
      </c>
      <c r="F37" s="34">
        <v>2.0999999999999999E-3</v>
      </c>
      <c r="G37" s="22">
        <f>E37*F37</f>
        <v>4.0672800000000002</v>
      </c>
      <c r="H37" s="22">
        <f>G37-D37</f>
        <v>0</v>
      </c>
      <c r="I37" s="23">
        <f t="shared" si="2"/>
        <v>0</v>
      </c>
      <c r="J37" s="23">
        <f t="shared" si="9"/>
        <v>1.1361718665641748E-2</v>
      </c>
      <c r="K37" s="108">
        <f t="shared" si="10"/>
        <v>1.1628183180023231E-2</v>
      </c>
    </row>
    <row r="38" spans="1:11" x14ac:dyDescent="0.2">
      <c r="A38" s="107" t="s">
        <v>96</v>
      </c>
      <c r="B38" s="73">
        <f>B8</f>
        <v>1936.8000000000002</v>
      </c>
      <c r="C38" s="34">
        <v>1.1000000000000001E-3</v>
      </c>
      <c r="D38" s="22">
        <f>B38*C38</f>
        <v>2.1304800000000004</v>
      </c>
      <c r="E38" s="73">
        <f t="shared" si="6"/>
        <v>1936.8000000000002</v>
      </c>
      <c r="F38" s="34">
        <v>1.1000000000000001E-3</v>
      </c>
      <c r="G38" s="22">
        <f>E38*F38</f>
        <v>2.1304800000000004</v>
      </c>
      <c r="H38" s="22">
        <f>G38-D38</f>
        <v>0</v>
      </c>
      <c r="I38" s="23">
        <f t="shared" ref="I38" si="11">IF(ISERROR(H38/D38),0,(H38/D38))</f>
        <v>0</v>
      </c>
      <c r="J38" s="23">
        <f t="shared" ref="J38" si="12">G38/$G$46</f>
        <v>5.951376443907583E-3</v>
      </c>
      <c r="K38" s="108">
        <f t="shared" ref="K38" si="13">G38/$G$51</f>
        <v>6.0909530942978834E-3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6.9836098483764002E-4</v>
      </c>
      <c r="K39" s="108">
        <f t="shared" si="10"/>
        <v>7.147395298592198E-4</v>
      </c>
    </row>
    <row r="40" spans="1:11" s="1" customFormat="1" x14ac:dyDescent="0.2">
      <c r="A40" s="110" t="s">
        <v>45</v>
      </c>
      <c r="B40" s="74"/>
      <c r="C40" s="35"/>
      <c r="D40" s="35">
        <f>SUM(D36:D39)</f>
        <v>13.420240000000002</v>
      </c>
      <c r="E40" s="73"/>
      <c r="F40" s="35"/>
      <c r="G40" s="35">
        <f>SUM(G36:G39)</f>
        <v>13.420240000000002</v>
      </c>
      <c r="H40" s="35">
        <f t="shared" si="1"/>
        <v>0</v>
      </c>
      <c r="I40" s="36">
        <f t="shared" si="2"/>
        <v>0</v>
      </c>
      <c r="J40" s="36">
        <f t="shared" si="9"/>
        <v>3.7488688092629965E-2</v>
      </c>
      <c r="K40" s="111">
        <f t="shared" si="10"/>
        <v>3.836790411279159E-2</v>
      </c>
    </row>
    <row r="41" spans="1:11" s="1" customFormat="1" ht="13.5" thickBot="1" x14ac:dyDescent="0.25">
      <c r="A41" s="112" t="s">
        <v>46</v>
      </c>
      <c r="B41" s="113">
        <f>B4</f>
        <v>1800</v>
      </c>
      <c r="C41" s="114">
        <v>0</v>
      </c>
      <c r="D41" s="115">
        <f>B41*C41</f>
        <v>0</v>
      </c>
      <c r="E41" s="116">
        <f t="shared" si="6"/>
        <v>1800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341.19433520000001</v>
      </c>
      <c r="E42" s="38"/>
      <c r="F42" s="39"/>
      <c r="G42" s="39">
        <f>SUM(G14,G25,G26,G27,G33,G40,G41)</f>
        <v>340.93433520000002</v>
      </c>
      <c r="H42" s="39">
        <f t="shared" si="1"/>
        <v>-0.25999999999999091</v>
      </c>
      <c r="I42" s="40">
        <f>IF(ISERROR(H42/D42),0,(H42/D42))</f>
        <v>-7.6202906430901049E-4</v>
      </c>
      <c r="J42" s="40">
        <f t="shared" si="9"/>
        <v>0.95238095238095244</v>
      </c>
      <c r="K42" s="41"/>
    </row>
    <row r="43" spans="1:11" x14ac:dyDescent="0.2">
      <c r="A43" s="155" t="s">
        <v>102</v>
      </c>
      <c r="B43" s="43"/>
      <c r="C43" s="26">
        <v>0.13</v>
      </c>
      <c r="D43" s="26">
        <f>D42*C43</f>
        <v>44.355263576000006</v>
      </c>
      <c r="E43" s="26"/>
      <c r="F43" s="26">
        <f>C43</f>
        <v>0.13</v>
      </c>
      <c r="G43" s="26">
        <f>G42*F43</f>
        <v>44.321463576000006</v>
      </c>
      <c r="H43" s="26">
        <f t="shared" si="1"/>
        <v>-3.3799999999999386E-2</v>
      </c>
      <c r="I43" s="44">
        <f t="shared" si="2"/>
        <v>-7.6202906430902328E-4</v>
      </c>
      <c r="J43" s="44">
        <f t="shared" si="9"/>
        <v>0.12380952380952383</v>
      </c>
      <c r="K43" s="45"/>
    </row>
    <row r="44" spans="1:11" s="1" customFormat="1" x14ac:dyDescent="0.2">
      <c r="A44" s="46" t="s">
        <v>103</v>
      </c>
      <c r="B44" s="24"/>
      <c r="C44" s="25"/>
      <c r="D44" s="25">
        <f>SUM(D42:D43)</f>
        <v>385.54959877600004</v>
      </c>
      <c r="E44" s="25"/>
      <c r="F44" s="25"/>
      <c r="G44" s="25">
        <f>SUM(G42:G43)</f>
        <v>385.25579877600001</v>
      </c>
      <c r="H44" s="25">
        <f t="shared" si="1"/>
        <v>-0.29380000000003292</v>
      </c>
      <c r="I44" s="27">
        <f t="shared" si="2"/>
        <v>-7.6202906430912249E-4</v>
      </c>
      <c r="J44" s="27">
        <f t="shared" si="9"/>
        <v>1.0761904761904761</v>
      </c>
      <c r="K44" s="47"/>
    </row>
    <row r="45" spans="1:11" x14ac:dyDescent="0.2">
      <c r="A45" s="42" t="s">
        <v>104</v>
      </c>
      <c r="B45" s="43"/>
      <c r="C45" s="26">
        <v>-0.08</v>
      </c>
      <c r="D45" s="26">
        <f>D42*C45</f>
        <v>-27.295546816000002</v>
      </c>
      <c r="E45" s="26"/>
      <c r="F45" s="26">
        <f>C45</f>
        <v>-0.08</v>
      </c>
      <c r="G45" s="26">
        <f>G42*F45</f>
        <v>-27.274746816000004</v>
      </c>
      <c r="H45" s="26">
        <f t="shared" si="1"/>
        <v>2.0799999999997709E-2</v>
      </c>
      <c r="I45" s="44">
        <f t="shared" si="2"/>
        <v>-7.6202906430895324E-4</v>
      </c>
      <c r="J45" s="44">
        <f t="shared" si="9"/>
        <v>-7.6190476190476197E-2</v>
      </c>
      <c r="K45" s="45"/>
    </row>
    <row r="46" spans="1:11" s="1" customFormat="1" ht="13.5" thickBot="1" x14ac:dyDescent="0.25">
      <c r="A46" s="48" t="s">
        <v>105</v>
      </c>
      <c r="B46" s="49"/>
      <c r="C46" s="50"/>
      <c r="D46" s="50">
        <f>SUM(D44:D45)</f>
        <v>358.25405196000003</v>
      </c>
      <c r="E46" s="50"/>
      <c r="F46" s="50"/>
      <c r="G46" s="50">
        <f>SUM(G44:G45)</f>
        <v>357.98105196</v>
      </c>
      <c r="H46" s="50">
        <f t="shared" si="1"/>
        <v>-0.27300000000002456</v>
      </c>
      <c r="I46" s="51">
        <f t="shared" si="2"/>
        <v>-7.6202906430910568E-4</v>
      </c>
      <c r="J46" s="51">
        <f t="shared" si="9"/>
        <v>1</v>
      </c>
      <c r="K46" s="52"/>
    </row>
    <row r="47" spans="1:11" x14ac:dyDescent="0.2">
      <c r="A47" s="53" t="s">
        <v>106</v>
      </c>
      <c r="B47" s="54"/>
      <c r="C47" s="55"/>
      <c r="D47" s="55">
        <f>SUM(D18,D25,D26,D28,D33,D40,D41)</f>
        <v>333.38168719999999</v>
      </c>
      <c r="E47" s="55"/>
      <c r="F47" s="55"/>
      <c r="G47" s="55">
        <f>SUM(G18,G25,G26,G28,G33,G40,G41)</f>
        <v>333.1216872</v>
      </c>
      <c r="H47" s="55">
        <f>G47-D47</f>
        <v>-0.25999999999999091</v>
      </c>
      <c r="I47" s="56">
        <f>IF(ISERROR(H47/D47),0,(H47/D47))</f>
        <v>-7.7988686836302898E-4</v>
      </c>
      <c r="J47" s="56"/>
      <c r="K47" s="57">
        <f>G47/$G$51</f>
        <v>0.95238095238095233</v>
      </c>
    </row>
    <row r="48" spans="1:11" x14ac:dyDescent="0.2">
      <c r="A48" s="58" t="s">
        <v>102</v>
      </c>
      <c r="B48" s="59"/>
      <c r="C48" s="31">
        <v>0.13</v>
      </c>
      <c r="D48" s="31">
        <f>D47*C48</f>
        <v>43.339619335999998</v>
      </c>
      <c r="E48" s="31"/>
      <c r="F48" s="31">
        <f>C48</f>
        <v>0.13</v>
      </c>
      <c r="G48" s="31">
        <f>G47*F48</f>
        <v>43.305819335999999</v>
      </c>
      <c r="H48" s="31">
        <f>G48-D48</f>
        <v>-3.3799999999999386E-2</v>
      </c>
      <c r="I48" s="32">
        <f>IF(ISERROR(H48/D48),0,(H48/D48))</f>
        <v>-7.798868683630421E-4</v>
      </c>
      <c r="J48" s="32"/>
      <c r="K48" s="60">
        <f>G48/$G$51</f>
        <v>0.1238095238095238</v>
      </c>
    </row>
    <row r="49" spans="1:11" x14ac:dyDescent="0.2">
      <c r="A49" s="61" t="s">
        <v>107</v>
      </c>
      <c r="B49" s="29"/>
      <c r="C49" s="30"/>
      <c r="D49" s="30">
        <f>SUM(D47:D48)</f>
        <v>376.72130653599999</v>
      </c>
      <c r="E49" s="30"/>
      <c r="F49" s="30"/>
      <c r="G49" s="30">
        <f>SUM(G47:G48)</f>
        <v>376.42750653600001</v>
      </c>
      <c r="H49" s="30">
        <f>G49-D49</f>
        <v>-0.29379999999997608</v>
      </c>
      <c r="I49" s="33">
        <f>IF(ISERROR(H49/D49),0,(H49/D49))</f>
        <v>-7.7988686836299277E-4</v>
      </c>
      <c r="J49" s="33"/>
      <c r="K49" s="62">
        <f>G49/$G$51</f>
        <v>1.0761904761904761</v>
      </c>
    </row>
    <row r="50" spans="1:11" x14ac:dyDescent="0.2">
      <c r="A50" s="58" t="s">
        <v>104</v>
      </c>
      <c r="B50" s="59"/>
      <c r="C50" s="31">
        <v>-0.08</v>
      </c>
      <c r="D50" s="31">
        <f>D47*C50</f>
        <v>-26.670534975999999</v>
      </c>
      <c r="E50" s="31"/>
      <c r="F50" s="31">
        <f>C50</f>
        <v>-0.08</v>
      </c>
      <c r="G50" s="31">
        <f>G47*F50</f>
        <v>-26.649734976000001</v>
      </c>
      <c r="H50" s="31">
        <f>G50-D50</f>
        <v>2.0799999999997709E-2</v>
      </c>
      <c r="I50" s="32">
        <f>IF(ISERROR(H50/D50),0,(H50/D50))</f>
        <v>-7.7988686836297043E-4</v>
      </c>
      <c r="J50" s="32"/>
      <c r="K50" s="60">
        <f>G50/$G$51</f>
        <v>-7.6190476190476183E-2</v>
      </c>
    </row>
    <row r="51" spans="1:11" ht="13.5" thickBot="1" x14ac:dyDescent="0.25">
      <c r="A51" s="63" t="s">
        <v>116</v>
      </c>
      <c r="B51" s="64"/>
      <c r="C51" s="65"/>
      <c r="D51" s="65">
        <f>SUM(D49:D50)</f>
        <v>350.05077155999999</v>
      </c>
      <c r="E51" s="65"/>
      <c r="F51" s="65"/>
      <c r="G51" s="65">
        <f>SUM(G49:G50)</f>
        <v>349.77777156000002</v>
      </c>
      <c r="H51" s="65">
        <f>G51-D51</f>
        <v>-0.27299999999996771</v>
      </c>
      <c r="I51" s="66">
        <f>IF(ISERROR(H51/D51),0,(H51/D51))</f>
        <v>-7.7988686836296403E-4</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1" tint="0.499984740745262"/>
    <pageSetUpPr fitToPage="1"/>
  </sheetPr>
  <dimension ref="A1:K68"/>
  <sheetViews>
    <sheetView tabSelected="1" view="pageBreakPreview" zoomScaleNormal="100" zoomScaleSheetLayoutView="100" workbookViewId="0">
      <selection activeCell="E1" sqref="E1:E1048576"/>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118</v>
      </c>
      <c r="B1" s="188"/>
      <c r="C1" s="188"/>
      <c r="D1" s="188"/>
      <c r="E1" s="188"/>
      <c r="F1" s="188"/>
      <c r="G1" s="188"/>
      <c r="H1" s="188"/>
      <c r="I1" s="188"/>
      <c r="J1" s="188"/>
      <c r="K1" s="189"/>
    </row>
    <row r="3" spans="1:11" x14ac:dyDescent="0.2">
      <c r="A3" s="13" t="s">
        <v>13</v>
      </c>
      <c r="B3" s="13" t="s">
        <v>2</v>
      </c>
    </row>
    <row r="4" spans="1:11" x14ac:dyDescent="0.2">
      <c r="A4" s="15" t="s">
        <v>62</v>
      </c>
      <c r="B4" s="15">
        <v>450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69">
        <f>B4*B6</f>
        <v>497.25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450</v>
      </c>
      <c r="C12" s="103">
        <v>0.10299999999999999</v>
      </c>
      <c r="D12" s="104">
        <f>B12*C12</f>
        <v>46.349999999999994</v>
      </c>
      <c r="E12" s="102">
        <f>B12</f>
        <v>450</v>
      </c>
      <c r="F12" s="103">
        <f>C12</f>
        <v>0.10299999999999999</v>
      </c>
      <c r="G12" s="104">
        <f>E12*F12</f>
        <v>46.349999999999994</v>
      </c>
      <c r="H12" s="104">
        <f>G12-D12</f>
        <v>0</v>
      </c>
      <c r="I12" s="105">
        <f>IF(ISERROR(H12/D12),0,(H12/D12))</f>
        <v>0</v>
      </c>
      <c r="J12" s="105">
        <f>G12/$G$46</f>
        <v>0.39923461909172964</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46.349999999999994</v>
      </c>
      <c r="E14" s="76"/>
      <c r="F14" s="25"/>
      <c r="G14" s="25">
        <f>SUM(G12:G13)</f>
        <v>46.349999999999994</v>
      </c>
      <c r="H14" s="25">
        <f t="shared" si="1"/>
        <v>0</v>
      </c>
      <c r="I14" s="27">
        <f t="shared" si="2"/>
        <v>0</v>
      </c>
      <c r="J14" s="27">
        <f>G14/$G$46</f>
        <v>0.39923461909172964</v>
      </c>
      <c r="K14" s="108"/>
    </row>
    <row r="15" spans="1:11" s="1" customFormat="1" x14ac:dyDescent="0.2">
      <c r="A15" s="109" t="s">
        <v>34</v>
      </c>
      <c r="B15" s="75">
        <f>B4*0.65</f>
        <v>292.5</v>
      </c>
      <c r="C15" s="28">
        <v>8.6999999999999994E-2</v>
      </c>
      <c r="D15" s="22">
        <f>B15*C15</f>
        <v>25.447499999999998</v>
      </c>
      <c r="E15" s="73">
        <f t="shared" ref="E15:F17" si="3">B15</f>
        <v>292.5</v>
      </c>
      <c r="F15" s="28">
        <f t="shared" si="3"/>
        <v>8.6999999999999994E-2</v>
      </c>
      <c r="G15" s="22">
        <f>E15*F15</f>
        <v>25.447499999999998</v>
      </c>
      <c r="H15" s="22">
        <f t="shared" si="1"/>
        <v>0</v>
      </c>
      <c r="I15" s="23">
        <f t="shared" si="2"/>
        <v>0</v>
      </c>
      <c r="J15" s="23"/>
      <c r="K15" s="108">
        <f t="shared" ref="K15:K26" si="4">G15/$G$51</f>
        <v>0.21122171397267542</v>
      </c>
    </row>
    <row r="16" spans="1:11" s="1" customFormat="1" x14ac:dyDescent="0.2">
      <c r="A16" s="109" t="s">
        <v>35</v>
      </c>
      <c r="B16" s="75">
        <f>B4*0.17</f>
        <v>76.5</v>
      </c>
      <c r="C16" s="28">
        <v>0.13200000000000001</v>
      </c>
      <c r="D16" s="22">
        <f>B16*C16</f>
        <v>10.098000000000001</v>
      </c>
      <c r="E16" s="73">
        <f t="shared" si="3"/>
        <v>76.5</v>
      </c>
      <c r="F16" s="28">
        <f t="shared" si="3"/>
        <v>0.13200000000000001</v>
      </c>
      <c r="G16" s="22">
        <f>E16*F16</f>
        <v>10.098000000000001</v>
      </c>
      <c r="H16" s="22">
        <f t="shared" si="1"/>
        <v>0</v>
      </c>
      <c r="I16" s="23">
        <f t="shared" si="2"/>
        <v>0</v>
      </c>
      <c r="J16" s="23"/>
      <c r="K16" s="108">
        <f t="shared" si="4"/>
        <v>8.3816361831066957E-2</v>
      </c>
    </row>
    <row r="17" spans="1:11" s="1" customFormat="1" x14ac:dyDescent="0.2">
      <c r="A17" s="109" t="s">
        <v>36</v>
      </c>
      <c r="B17" s="75">
        <f>B4*0.18</f>
        <v>81</v>
      </c>
      <c r="C17" s="28">
        <v>0.18</v>
      </c>
      <c r="D17" s="22">
        <f>B17*C17</f>
        <v>14.58</v>
      </c>
      <c r="E17" s="73">
        <f t="shared" si="3"/>
        <v>81</v>
      </c>
      <c r="F17" s="28">
        <f t="shared" si="3"/>
        <v>0.18</v>
      </c>
      <c r="G17" s="22">
        <f>E17*F17</f>
        <v>14.58</v>
      </c>
      <c r="H17" s="22">
        <f t="shared" si="1"/>
        <v>0</v>
      </c>
      <c r="I17" s="23">
        <f t="shared" si="2"/>
        <v>0</v>
      </c>
      <c r="J17" s="23"/>
      <c r="K17" s="108">
        <f t="shared" si="4"/>
        <v>0.12101827644057796</v>
      </c>
    </row>
    <row r="18" spans="1:11" s="1" customFormat="1" x14ac:dyDescent="0.2">
      <c r="A18" s="61" t="s">
        <v>37</v>
      </c>
      <c r="B18" s="29"/>
      <c r="C18" s="30"/>
      <c r="D18" s="30">
        <f>SUM(D15:D17)</f>
        <v>50.125499999999995</v>
      </c>
      <c r="E18" s="77"/>
      <c r="F18" s="30"/>
      <c r="G18" s="30">
        <f>SUM(G15:G17)</f>
        <v>50.125499999999995</v>
      </c>
      <c r="H18" s="31">
        <f t="shared" si="1"/>
        <v>0</v>
      </c>
      <c r="I18" s="32">
        <f t="shared" si="2"/>
        <v>0</v>
      </c>
      <c r="J18" s="33">
        <f t="shared" ref="J18:J26" si="5">G18/$G$46</f>
        <v>0.43175479825852198</v>
      </c>
      <c r="K18" s="62">
        <f t="shared" si="4"/>
        <v>0.4160563522443203</v>
      </c>
    </row>
    <row r="19" spans="1:11" x14ac:dyDescent="0.2">
      <c r="A19" s="107" t="s">
        <v>112</v>
      </c>
      <c r="B19" s="73">
        <v>1</v>
      </c>
      <c r="C19" s="122">
        <f>VLOOKUP($B$3,'Data for Bill Impacts'!$A$3:$Y$15,7,0)</f>
        <v>25.109678307903934</v>
      </c>
      <c r="D19" s="22">
        <f>B19*C19</f>
        <v>25.109678307903934</v>
      </c>
      <c r="E19" s="73">
        <f t="shared" ref="E19:E41" si="6">B19</f>
        <v>1</v>
      </c>
      <c r="F19" s="122">
        <f>VLOOKUP($B$3,'Data for Bill Impacts'!$A$3:$Y$15,17,0)</f>
        <v>34.219678307903934</v>
      </c>
      <c r="G19" s="22">
        <f>E19*F19</f>
        <v>34.219678307903934</v>
      </c>
      <c r="H19" s="22">
        <f t="shared" si="1"/>
        <v>9.11</v>
      </c>
      <c r="I19" s="23">
        <f t="shared" si="2"/>
        <v>0.36280831193016067</v>
      </c>
      <c r="J19" s="23">
        <f t="shared" si="5"/>
        <v>0.29475038262562142</v>
      </c>
      <c r="K19" s="108">
        <f t="shared" si="4"/>
        <v>0.28403336688433245</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-0.02</v>
      </c>
      <c r="D22" s="22">
        <f t="shared" si="8"/>
        <v>-0.02</v>
      </c>
      <c r="E22" s="73">
        <f t="shared" si="6"/>
        <v>1</v>
      </c>
      <c r="F22" s="122">
        <f>VLOOKUP($B$3,'Data for Bill Impacts'!$A$3:$Y$15,22,0)</f>
        <v>-0.02</v>
      </c>
      <c r="G22" s="22">
        <f t="shared" si="7"/>
        <v>-0.02</v>
      </c>
      <c r="H22" s="22">
        <f t="shared" si="1"/>
        <v>0</v>
      </c>
      <c r="I22" s="23">
        <f t="shared" si="2"/>
        <v>0</v>
      </c>
      <c r="J22" s="23">
        <f t="shared" si="5"/>
        <v>-1.7226952280117785E-4</v>
      </c>
      <c r="K22" s="108">
        <f t="shared" si="4"/>
        <v>-1.6600586617363232E-4</v>
      </c>
    </row>
    <row r="23" spans="1:11" x14ac:dyDescent="0.2">
      <c r="A23" s="107" t="s">
        <v>39</v>
      </c>
      <c r="B23" s="73">
        <f>IF($B$9="kWh",$B$4,$B$5)</f>
        <v>450</v>
      </c>
      <c r="C23" s="78">
        <f>VLOOKUP($B$3,'Data for Bill Impacts'!$A$3:$Y$15,10,0)</f>
        <v>3.6299999999999999E-2</v>
      </c>
      <c r="D23" s="22">
        <f>B23*C23</f>
        <v>16.335000000000001</v>
      </c>
      <c r="E23" s="73">
        <f t="shared" si="6"/>
        <v>450</v>
      </c>
      <c r="F23" s="78">
        <f>VLOOKUP($B$3,'Data for Bill Impacts'!$A$3:$Y$15,19,0)</f>
        <v>3.2199999999999999E-2</v>
      </c>
      <c r="G23" s="22">
        <f>E23*F23</f>
        <v>14.49</v>
      </c>
      <c r="H23" s="22">
        <f t="shared" si="1"/>
        <v>-1.8450000000000006</v>
      </c>
      <c r="I23" s="23">
        <f t="shared" si="2"/>
        <v>-0.11294765840220389</v>
      </c>
      <c r="J23" s="23">
        <f t="shared" si="5"/>
        <v>0.12480926926945336</v>
      </c>
      <c r="K23" s="108">
        <f t="shared" si="4"/>
        <v>0.12027125004279661</v>
      </c>
    </row>
    <row r="24" spans="1:11" x14ac:dyDescent="0.2">
      <c r="A24" s="107" t="s">
        <v>122</v>
      </c>
      <c r="B24" s="73">
        <f>IF($B$9="kWh",$B$4,$B$5)</f>
        <v>450</v>
      </c>
      <c r="C24" s="126">
        <f>VLOOKUP($B$3,'Data for Bill Impacts'!$A$3:$Y$15,14,0)</f>
        <v>2.0000000000000001E-4</v>
      </c>
      <c r="D24" s="22">
        <f>B24*C24</f>
        <v>9.0000000000000011E-2</v>
      </c>
      <c r="E24" s="73">
        <f>B24</f>
        <v>450</v>
      </c>
      <c r="F24" s="126">
        <f>VLOOKUP($B$3,'Data for Bill Impacts'!$A$3:$Y$15,23,0)</f>
        <v>2.0000000000000001E-4</v>
      </c>
      <c r="G24" s="22">
        <f>E24*F24</f>
        <v>9.0000000000000011E-2</v>
      </c>
      <c r="H24" s="22">
        <f>G24-D24</f>
        <v>0</v>
      </c>
      <c r="I24" s="23">
        <f>IF(ISERROR(H24/D24),0,(H24/D24))</f>
        <v>0</v>
      </c>
      <c r="J24" s="23">
        <f t="shared" si="5"/>
        <v>7.7521285260530044E-4</v>
      </c>
      <c r="K24" s="108">
        <f t="shared" si="4"/>
        <v>7.4702639778134554E-4</v>
      </c>
    </row>
    <row r="25" spans="1:11" s="1" customFormat="1" x14ac:dyDescent="0.2">
      <c r="A25" s="110" t="s">
        <v>72</v>
      </c>
      <c r="B25" s="74"/>
      <c r="C25" s="35"/>
      <c r="D25" s="35">
        <f>SUM(D19:D24)</f>
        <v>41.514678307903935</v>
      </c>
      <c r="E25" s="73"/>
      <c r="F25" s="35"/>
      <c r="G25" s="35">
        <f>SUM(G19:G24)</f>
        <v>48.779678307903936</v>
      </c>
      <c r="H25" s="35">
        <f t="shared" si="1"/>
        <v>7.2650000000000006</v>
      </c>
      <c r="I25" s="36">
        <f t="shared" si="2"/>
        <v>0.17499834507008152</v>
      </c>
      <c r="J25" s="36">
        <f t="shared" si="5"/>
        <v>0.42016259522487892</v>
      </c>
      <c r="K25" s="111">
        <f t="shared" si="4"/>
        <v>0.40488563745873679</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6.8046461506465258E-3</v>
      </c>
      <c r="K26" s="108">
        <f t="shared" si="4"/>
        <v>6.5572317138584768E-3</v>
      </c>
    </row>
    <row r="27" spans="1:11" s="1" customFormat="1" x14ac:dyDescent="0.2">
      <c r="A27" s="119" t="s">
        <v>75</v>
      </c>
      <c r="B27" s="120">
        <f>B8-B4</f>
        <v>47.25</v>
      </c>
      <c r="C27" s="121">
        <f>IF(B4&gt;B7,C13,C12)</f>
        <v>0.10299999999999999</v>
      </c>
      <c r="D27" s="22">
        <f>B27*C27</f>
        <v>4.8667499999999997</v>
      </c>
      <c r="E27" s="73">
        <f>B27</f>
        <v>47.25</v>
      </c>
      <c r="F27" s="121">
        <f>C27</f>
        <v>0.10299999999999999</v>
      </c>
      <c r="G27" s="22">
        <f>E27*F27</f>
        <v>4.8667499999999997</v>
      </c>
      <c r="H27" s="22">
        <f t="shared" si="1"/>
        <v>0</v>
      </c>
      <c r="I27" s="23">
        <f>IF(ISERROR(H27/D27),0,(H27/D27))</f>
        <v>0</v>
      </c>
      <c r="J27" s="23">
        <f t="shared" ref="J27:J46" si="9">G27/$G$46</f>
        <v>4.1919635004631611E-2</v>
      </c>
      <c r="K27" s="108">
        <f t="shared" ref="K27:K41" si="10">G27/$G$51</f>
        <v>4.0395452460026252E-2</v>
      </c>
    </row>
    <row r="28" spans="1:11" s="1" customFormat="1" x14ac:dyDescent="0.2">
      <c r="A28" s="119" t="s">
        <v>74</v>
      </c>
      <c r="B28" s="120">
        <f>B8-B4</f>
        <v>47.25</v>
      </c>
      <c r="C28" s="121">
        <f>0.65*C15+0.17*C16+0.18*C17</f>
        <v>0.11139</v>
      </c>
      <c r="D28" s="22">
        <f>B28*C28</f>
        <v>5.2631775000000003</v>
      </c>
      <c r="E28" s="73">
        <f>B28</f>
        <v>47.25</v>
      </c>
      <c r="F28" s="121">
        <f>C28</f>
        <v>0.11139</v>
      </c>
      <c r="G28" s="22">
        <f>E28*F28</f>
        <v>5.2631775000000003</v>
      </c>
      <c r="H28" s="22">
        <f t="shared" si="1"/>
        <v>0</v>
      </c>
      <c r="I28" s="23">
        <f>IF(ISERROR(H28/D28),0,(H28/D28))</f>
        <v>0</v>
      </c>
      <c r="J28" s="23">
        <f t="shared" si="9"/>
        <v>4.5334253817144815E-2</v>
      </c>
      <c r="K28" s="108">
        <f t="shared" si="10"/>
        <v>4.368591698565364E-2</v>
      </c>
    </row>
    <row r="29" spans="1:11" s="1" customFormat="1" x14ac:dyDescent="0.2">
      <c r="A29" s="110" t="s">
        <v>78</v>
      </c>
      <c r="B29" s="74"/>
      <c r="C29" s="35"/>
      <c r="D29" s="35">
        <f>SUM(D25,D26:D27)</f>
        <v>47.171428307903938</v>
      </c>
      <c r="E29" s="73"/>
      <c r="F29" s="35"/>
      <c r="G29" s="35">
        <f>SUM(G25,G26:G27)</f>
        <v>54.436428307903938</v>
      </c>
      <c r="H29" s="35">
        <f t="shared" si="1"/>
        <v>7.2650000000000006</v>
      </c>
      <c r="I29" s="36">
        <f>IF(ISERROR(H29/D29),0,(H29/D29))</f>
        <v>0.15401272042429748</v>
      </c>
      <c r="J29" s="36">
        <f t="shared" si="9"/>
        <v>0.46888687638015708</v>
      </c>
      <c r="K29" s="111">
        <f t="shared" si="10"/>
        <v>0.45183832163262155</v>
      </c>
    </row>
    <row r="30" spans="1:11" s="1" customFormat="1" x14ac:dyDescent="0.2">
      <c r="A30" s="110" t="s">
        <v>77</v>
      </c>
      <c r="B30" s="74"/>
      <c r="C30" s="35"/>
      <c r="D30" s="35">
        <f>SUM(D25,D26,D28)</f>
        <v>47.567855807903932</v>
      </c>
      <c r="E30" s="73"/>
      <c r="F30" s="35"/>
      <c r="G30" s="35">
        <f>SUM(G25,G26,G28)</f>
        <v>54.832855807903933</v>
      </c>
      <c r="H30" s="35">
        <f t="shared" si="1"/>
        <v>7.2650000000000006</v>
      </c>
      <c r="I30" s="36">
        <f>IF(ISERROR(H30/D30),0,(H30/D30))</f>
        <v>0.15272918815888353</v>
      </c>
      <c r="J30" s="36">
        <f t="shared" si="9"/>
        <v>0.47230149519267023</v>
      </c>
      <c r="K30" s="111">
        <f t="shared" si="10"/>
        <v>0.45512878615824887</v>
      </c>
    </row>
    <row r="31" spans="1:11" x14ac:dyDescent="0.2">
      <c r="A31" s="107" t="s">
        <v>40</v>
      </c>
      <c r="B31" s="73">
        <f>B8</f>
        <v>497.25</v>
      </c>
      <c r="C31" s="126">
        <f>VLOOKUP($B$3,'Data for Bill Impacts'!$A$3:$Y$15,15,0)</f>
        <v>6.7400000000000003E-3</v>
      </c>
      <c r="D31" s="22">
        <f>B31*C31</f>
        <v>3.3514650000000001</v>
      </c>
      <c r="E31" s="73">
        <f t="shared" si="6"/>
        <v>497.25</v>
      </c>
      <c r="F31" s="126">
        <f>VLOOKUP($B$3,'Data for Bill Impacts'!$A$3:$Y$15,24,0)</f>
        <v>6.7400000000000003E-3</v>
      </c>
      <c r="G31" s="22">
        <f>E31*F31</f>
        <v>3.3514650000000001</v>
      </c>
      <c r="H31" s="22">
        <f t="shared" si="1"/>
        <v>0</v>
      </c>
      <c r="I31" s="23">
        <f t="shared" si="2"/>
        <v>0</v>
      </c>
      <c r="J31" s="23">
        <f t="shared" si="9"/>
        <v>2.8867763811742476E-2</v>
      </c>
      <c r="K31" s="108">
        <f t="shared" si="10"/>
        <v>2.7818142513780633E-2</v>
      </c>
    </row>
    <row r="32" spans="1:11" x14ac:dyDescent="0.2">
      <c r="A32" s="107" t="s">
        <v>41</v>
      </c>
      <c r="B32" s="73">
        <f>B8</f>
        <v>497.25</v>
      </c>
      <c r="C32" s="126">
        <f>VLOOKUP($B$3,'Data for Bill Impacts'!$A$3:$Y$15,16,0)</f>
        <v>5.6299999999999996E-3</v>
      </c>
      <c r="D32" s="22">
        <f>B32*C32</f>
        <v>2.7995174999999999</v>
      </c>
      <c r="E32" s="73">
        <f t="shared" si="6"/>
        <v>497.25</v>
      </c>
      <c r="F32" s="126">
        <f>VLOOKUP($B$3,'Data for Bill Impacts'!$A$3:$Y$15,25,0)</f>
        <v>5.6299999999999996E-3</v>
      </c>
      <c r="G32" s="22">
        <f>E32*F32</f>
        <v>2.7995174999999999</v>
      </c>
      <c r="H32" s="22">
        <f t="shared" si="1"/>
        <v>0</v>
      </c>
      <c r="I32" s="23">
        <f t="shared" si="2"/>
        <v>0</v>
      </c>
      <c r="J32" s="23">
        <f t="shared" si="9"/>
        <v>2.4113577189927321E-2</v>
      </c>
      <c r="K32" s="108">
        <f t="shared" si="10"/>
        <v>2.3236816372787086E-2</v>
      </c>
    </row>
    <row r="33" spans="1:11" s="1" customFormat="1" x14ac:dyDescent="0.2">
      <c r="A33" s="110" t="s">
        <v>76</v>
      </c>
      <c r="B33" s="74"/>
      <c r="C33" s="35"/>
      <c r="D33" s="35">
        <f>SUM(D31:D32)</f>
        <v>6.1509824999999996</v>
      </c>
      <c r="E33" s="73"/>
      <c r="F33" s="35"/>
      <c r="G33" s="35">
        <f>SUM(G31:G32)</f>
        <v>6.1509824999999996</v>
      </c>
      <c r="H33" s="35">
        <f t="shared" si="1"/>
        <v>0</v>
      </c>
      <c r="I33" s="36">
        <f t="shared" si="2"/>
        <v>0</v>
      </c>
      <c r="J33" s="36">
        <f t="shared" si="9"/>
        <v>5.2981341001669797E-2</v>
      </c>
      <c r="K33" s="111">
        <f t="shared" si="10"/>
        <v>5.1054958886567713E-2</v>
      </c>
    </row>
    <row r="34" spans="1:11" s="1" customFormat="1" x14ac:dyDescent="0.2">
      <c r="A34" s="110" t="s">
        <v>91</v>
      </c>
      <c r="B34" s="74"/>
      <c r="C34" s="35"/>
      <c r="D34" s="35">
        <f>D29+D33</f>
        <v>53.322410807903935</v>
      </c>
      <c r="E34" s="73"/>
      <c r="F34" s="35"/>
      <c r="G34" s="35">
        <f>G29+G33</f>
        <v>60.587410807903936</v>
      </c>
      <c r="H34" s="35">
        <f t="shared" si="1"/>
        <v>7.2650000000000006</v>
      </c>
      <c r="I34" s="36">
        <f t="shared" si="2"/>
        <v>0.13624665295371671</v>
      </c>
      <c r="J34" s="36">
        <f t="shared" si="9"/>
        <v>0.52186821738182687</v>
      </c>
      <c r="K34" s="111">
        <f t="shared" si="10"/>
        <v>0.50289328051918925</v>
      </c>
    </row>
    <row r="35" spans="1:11" s="1" customFormat="1" x14ac:dyDescent="0.2">
      <c r="A35" s="110" t="s">
        <v>92</v>
      </c>
      <c r="B35" s="74"/>
      <c r="C35" s="35"/>
      <c r="D35" s="35">
        <f>D30+D33</f>
        <v>53.71883830790393</v>
      </c>
      <c r="E35" s="73"/>
      <c r="F35" s="35"/>
      <c r="G35" s="35">
        <f>G30+G33</f>
        <v>60.98383830790393</v>
      </c>
      <c r="H35" s="35">
        <f t="shared" si="1"/>
        <v>7.2650000000000006</v>
      </c>
      <c r="I35" s="36">
        <f t="shared" si="2"/>
        <v>0.13524119710777632</v>
      </c>
      <c r="J35" s="36">
        <f t="shared" si="9"/>
        <v>0.52528283619434002</v>
      </c>
      <c r="K35" s="111">
        <f t="shared" si="10"/>
        <v>0.50618374504481656</v>
      </c>
    </row>
    <row r="36" spans="1:11" x14ac:dyDescent="0.2">
      <c r="A36" s="107" t="s">
        <v>42</v>
      </c>
      <c r="B36" s="73">
        <f>B8</f>
        <v>497.25</v>
      </c>
      <c r="C36" s="34">
        <v>3.5999999999999999E-3</v>
      </c>
      <c r="D36" s="22">
        <f>B36*C36</f>
        <v>1.7901</v>
      </c>
      <c r="E36" s="73">
        <f t="shared" si="6"/>
        <v>497.25</v>
      </c>
      <c r="F36" s="34">
        <v>3.5999999999999999E-3</v>
      </c>
      <c r="G36" s="22">
        <f>E36*F36</f>
        <v>1.7901</v>
      </c>
      <c r="H36" s="22">
        <f t="shared" si="1"/>
        <v>0</v>
      </c>
      <c r="I36" s="23">
        <f t="shared" si="2"/>
        <v>0</v>
      </c>
      <c r="J36" s="23">
        <f t="shared" si="9"/>
        <v>1.5418983638319424E-2</v>
      </c>
      <c r="K36" s="108">
        <f t="shared" si="10"/>
        <v>1.4858355051870961E-2</v>
      </c>
    </row>
    <row r="37" spans="1:11" x14ac:dyDescent="0.2">
      <c r="A37" s="107" t="s">
        <v>43</v>
      </c>
      <c r="B37" s="73">
        <f>B8</f>
        <v>497.25</v>
      </c>
      <c r="C37" s="34">
        <v>2.0999999999999999E-3</v>
      </c>
      <c r="D37" s="22">
        <f>B37*C37</f>
        <v>1.044225</v>
      </c>
      <c r="E37" s="73">
        <f t="shared" si="6"/>
        <v>497.25</v>
      </c>
      <c r="F37" s="34">
        <v>2.0999999999999999E-3</v>
      </c>
      <c r="G37" s="22">
        <f>E37*F37</f>
        <v>1.044225</v>
      </c>
      <c r="H37" s="22">
        <f>G37-D37</f>
        <v>0</v>
      </c>
      <c r="I37" s="23">
        <f t="shared" si="2"/>
        <v>0</v>
      </c>
      <c r="J37" s="23">
        <f t="shared" si="9"/>
        <v>8.9944071223529969E-3</v>
      </c>
      <c r="K37" s="108">
        <f t="shared" si="10"/>
        <v>8.6673737802580603E-3</v>
      </c>
    </row>
    <row r="38" spans="1:11" x14ac:dyDescent="0.2">
      <c r="A38" s="107" t="s">
        <v>96</v>
      </c>
      <c r="B38" s="73">
        <f>B8</f>
        <v>497.25</v>
      </c>
      <c r="C38" s="34">
        <v>1.1000000000000001E-3</v>
      </c>
      <c r="D38" s="22">
        <f>B38*C38</f>
        <v>0.54697499999999999</v>
      </c>
      <c r="E38" s="73">
        <f t="shared" si="6"/>
        <v>497.25</v>
      </c>
      <c r="F38" s="34">
        <v>1.1000000000000001E-3</v>
      </c>
      <c r="G38" s="22">
        <f>E38*F38</f>
        <v>0.54697499999999999</v>
      </c>
      <c r="H38" s="22">
        <f>G38-D38</f>
        <v>0</v>
      </c>
      <c r="I38" s="23">
        <f t="shared" ref="I38" si="11">IF(ISERROR(H38/D38),0,(H38/D38))</f>
        <v>0</v>
      </c>
      <c r="J38" s="23">
        <f t="shared" ref="J38" si="12">G38/$G$46</f>
        <v>4.7113561117087125E-3</v>
      </c>
      <c r="K38" s="108">
        <f t="shared" ref="K38" si="13">G38/$G$51</f>
        <v>4.540052932516127E-3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2.1533690350147234E-3</v>
      </c>
      <c r="K39" s="108">
        <f t="shared" si="10"/>
        <v>2.0750733271704038E-3</v>
      </c>
    </row>
    <row r="40" spans="1:11" s="1" customFormat="1" x14ac:dyDescent="0.2">
      <c r="A40" s="110" t="s">
        <v>45</v>
      </c>
      <c r="B40" s="74"/>
      <c r="C40" s="35"/>
      <c r="D40" s="35">
        <f>SUM(D36:D39)</f>
        <v>3.6312999999999995</v>
      </c>
      <c r="E40" s="73"/>
      <c r="F40" s="35"/>
      <c r="G40" s="35">
        <f>SUM(G36:G39)</f>
        <v>3.6312999999999995</v>
      </c>
      <c r="H40" s="35">
        <f t="shared" si="1"/>
        <v>0</v>
      </c>
      <c r="I40" s="36">
        <f t="shared" si="2"/>
        <v>0</v>
      </c>
      <c r="J40" s="36">
        <f t="shared" si="9"/>
        <v>3.1278115907395855E-2</v>
      </c>
      <c r="K40" s="111">
        <f t="shared" si="10"/>
        <v>3.0140855091815549E-2</v>
      </c>
    </row>
    <row r="41" spans="1:11" s="1" customFormat="1" ht="13.5" thickBot="1" x14ac:dyDescent="0.25">
      <c r="A41" s="112" t="s">
        <v>46</v>
      </c>
      <c r="B41" s="113">
        <f>B4</f>
        <v>450</v>
      </c>
      <c r="C41" s="114">
        <v>0</v>
      </c>
      <c r="D41" s="115">
        <f>B41*C41</f>
        <v>0</v>
      </c>
      <c r="E41" s="116">
        <f t="shared" si="6"/>
        <v>450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103.30371080790393</v>
      </c>
      <c r="E42" s="38"/>
      <c r="F42" s="39"/>
      <c r="G42" s="39">
        <f>SUM(G14,G25,G26,G27,G33,G40,G41)</f>
        <v>110.56871080790393</v>
      </c>
      <c r="H42" s="39">
        <f t="shared" si="1"/>
        <v>7.2650000000000006</v>
      </c>
      <c r="I42" s="40">
        <f>IF(ISERROR(H42/D42),0,(H42/D42))</f>
        <v>7.03266121147329E-2</v>
      </c>
      <c r="J42" s="40">
        <f t="shared" si="9"/>
        <v>0.95238095238095233</v>
      </c>
      <c r="K42" s="41"/>
    </row>
    <row r="43" spans="1:11" x14ac:dyDescent="0.2">
      <c r="A43" s="155" t="s">
        <v>102</v>
      </c>
      <c r="B43" s="43"/>
      <c r="C43" s="26">
        <v>0.13</v>
      </c>
      <c r="D43" s="26">
        <f>D42*C43</f>
        <v>13.42948240502751</v>
      </c>
      <c r="E43" s="26"/>
      <c r="F43" s="26">
        <f>C43</f>
        <v>0.13</v>
      </c>
      <c r="G43" s="26">
        <f>G42*F43</f>
        <v>14.37393240502751</v>
      </c>
      <c r="H43" s="26">
        <f t="shared" si="1"/>
        <v>0.94444999999999979</v>
      </c>
      <c r="I43" s="44">
        <f t="shared" si="2"/>
        <v>7.0326612114732887E-2</v>
      </c>
      <c r="J43" s="44">
        <f t="shared" si="9"/>
        <v>0.1238095238095238</v>
      </c>
      <c r="K43" s="45"/>
    </row>
    <row r="44" spans="1:11" s="1" customFormat="1" x14ac:dyDescent="0.2">
      <c r="A44" s="46" t="s">
        <v>103</v>
      </c>
      <c r="B44" s="24"/>
      <c r="C44" s="25"/>
      <c r="D44" s="25">
        <f>SUM(D42:D43)</f>
        <v>116.73319321293144</v>
      </c>
      <c r="E44" s="25"/>
      <c r="F44" s="25"/>
      <c r="G44" s="25">
        <f>SUM(G42:G43)</f>
        <v>124.94264321293144</v>
      </c>
      <c r="H44" s="25">
        <f t="shared" si="1"/>
        <v>8.2094500000000039</v>
      </c>
      <c r="I44" s="27">
        <f t="shared" si="2"/>
        <v>7.0326612114732928E-2</v>
      </c>
      <c r="J44" s="27">
        <f t="shared" si="9"/>
        <v>1.0761904761904761</v>
      </c>
      <c r="K44" s="47"/>
    </row>
    <row r="45" spans="1:11" x14ac:dyDescent="0.2">
      <c r="A45" s="42" t="s">
        <v>104</v>
      </c>
      <c r="B45" s="43"/>
      <c r="C45" s="26">
        <v>-0.08</v>
      </c>
      <c r="D45" s="26">
        <f>D42*C45</f>
        <v>-8.2642968646323141</v>
      </c>
      <c r="E45" s="26"/>
      <c r="F45" s="26">
        <f>C45</f>
        <v>-0.08</v>
      </c>
      <c r="G45" s="26">
        <f>G42*F45</f>
        <v>-8.8454968646323149</v>
      </c>
      <c r="H45" s="26">
        <f t="shared" si="1"/>
        <v>-0.58120000000000083</v>
      </c>
      <c r="I45" s="44">
        <f t="shared" si="2"/>
        <v>7.0326612114732998E-2</v>
      </c>
      <c r="J45" s="44">
        <f t="shared" si="9"/>
        <v>-7.6190476190476183E-2</v>
      </c>
      <c r="K45" s="45"/>
    </row>
    <row r="46" spans="1:11" s="1" customFormat="1" ht="13.5" thickBot="1" x14ac:dyDescent="0.25">
      <c r="A46" s="48" t="s">
        <v>105</v>
      </c>
      <c r="B46" s="49"/>
      <c r="C46" s="50"/>
      <c r="D46" s="50">
        <f>SUM(D44:D45)</f>
        <v>108.46889634829913</v>
      </c>
      <c r="E46" s="50"/>
      <c r="F46" s="50"/>
      <c r="G46" s="50">
        <f>SUM(G44:G45)</f>
        <v>116.09714634829913</v>
      </c>
      <c r="H46" s="50">
        <f t="shared" si="1"/>
        <v>7.6282500000000084</v>
      </c>
      <c r="I46" s="51">
        <f t="shared" si="2"/>
        <v>7.032661211473297E-2</v>
      </c>
      <c r="J46" s="51">
        <f t="shared" si="9"/>
        <v>1</v>
      </c>
      <c r="K46" s="52"/>
    </row>
    <row r="47" spans="1:11" x14ac:dyDescent="0.2">
      <c r="A47" s="53" t="s">
        <v>106</v>
      </c>
      <c r="B47" s="54"/>
      <c r="C47" s="55"/>
      <c r="D47" s="55">
        <f>SUM(D18,D25,D26,D28,D33,D40,D41)</f>
        <v>107.47563830790394</v>
      </c>
      <c r="E47" s="55"/>
      <c r="F47" s="55"/>
      <c r="G47" s="55">
        <f>SUM(G18,G25,G26,G28,G33,G40,G41)</f>
        <v>114.74063830790392</v>
      </c>
      <c r="H47" s="55">
        <f>G47-D47</f>
        <v>7.2649999999999864</v>
      </c>
      <c r="I47" s="56">
        <f>IF(ISERROR(H47/D47),0,(H47/D47))</f>
        <v>6.7596714142666381E-2</v>
      </c>
      <c r="J47" s="56"/>
      <c r="K47" s="57">
        <f>G47/$G$51</f>
        <v>0.95238095238095244</v>
      </c>
    </row>
    <row r="48" spans="1:11" x14ac:dyDescent="0.2">
      <c r="A48" s="156" t="s">
        <v>102</v>
      </c>
      <c r="B48" s="59"/>
      <c r="C48" s="31">
        <v>0.13</v>
      </c>
      <c r="D48" s="31">
        <f>D47*C48</f>
        <v>13.971832980027513</v>
      </c>
      <c r="E48" s="31"/>
      <c r="F48" s="31">
        <f>C48</f>
        <v>0.13</v>
      </c>
      <c r="G48" s="31">
        <f>G47*F48</f>
        <v>14.916282980027511</v>
      </c>
      <c r="H48" s="31">
        <f>G48-D48</f>
        <v>0.94444999999999801</v>
      </c>
      <c r="I48" s="32">
        <f>IF(ISERROR(H48/D48),0,(H48/D48))</f>
        <v>6.7596714142666353E-2</v>
      </c>
      <c r="J48" s="32"/>
      <c r="K48" s="60">
        <f>G48/$G$51</f>
        <v>0.12380952380952381</v>
      </c>
    </row>
    <row r="49" spans="1:11" x14ac:dyDescent="0.2">
      <c r="A49" s="61" t="s">
        <v>107</v>
      </c>
      <c r="B49" s="29"/>
      <c r="C49" s="30"/>
      <c r="D49" s="30">
        <f>SUM(D47:D48)</f>
        <v>121.44747128793145</v>
      </c>
      <c r="E49" s="30"/>
      <c r="F49" s="30"/>
      <c r="G49" s="30">
        <f>SUM(G47:G48)</f>
        <v>129.65692128793143</v>
      </c>
      <c r="H49" s="30">
        <f>G49-D49</f>
        <v>8.2094499999999755</v>
      </c>
      <c r="I49" s="33">
        <f>IF(ISERROR(H49/D49),0,(H49/D49))</f>
        <v>6.7596714142666298E-2</v>
      </c>
      <c r="J49" s="33"/>
      <c r="K49" s="62">
        <f>G49/$G$51</f>
        <v>1.0761904761904761</v>
      </c>
    </row>
    <row r="50" spans="1:11" x14ac:dyDescent="0.2">
      <c r="A50" s="58" t="s">
        <v>104</v>
      </c>
      <c r="B50" s="59"/>
      <c r="C50" s="31">
        <v>-0.08</v>
      </c>
      <c r="D50" s="31">
        <f>D47*C50</f>
        <v>-8.5980510646323154</v>
      </c>
      <c r="E50" s="31"/>
      <c r="F50" s="31">
        <f>C50</f>
        <v>-0.08</v>
      </c>
      <c r="G50" s="31">
        <f>G47*F50</f>
        <v>-9.1792510646323144</v>
      </c>
      <c r="H50" s="31">
        <f>G50-D50</f>
        <v>-0.58119999999999905</v>
      </c>
      <c r="I50" s="32">
        <f>IF(ISERROR(H50/D50),0,(H50/D50))</f>
        <v>6.7596714142666395E-2</v>
      </c>
      <c r="J50" s="32"/>
      <c r="K50" s="60">
        <f>G50/$G$51</f>
        <v>-7.6190476190476197E-2</v>
      </c>
    </row>
    <row r="51" spans="1:11" ht="13.5" thickBot="1" x14ac:dyDescent="0.25">
      <c r="A51" s="63" t="s">
        <v>116</v>
      </c>
      <c r="B51" s="64"/>
      <c r="C51" s="65"/>
      <c r="D51" s="65">
        <f>SUM(D49:D50)</f>
        <v>112.84942022329913</v>
      </c>
      <c r="E51" s="65"/>
      <c r="F51" s="65"/>
      <c r="G51" s="65">
        <f>SUM(G49:G50)</f>
        <v>120.47767022329911</v>
      </c>
      <c r="H51" s="65">
        <f>G51-D51</f>
        <v>7.62824999999998</v>
      </c>
      <c r="I51" s="66">
        <f>IF(ISERROR(H51/D51),0,(H51/D51))</f>
        <v>6.7596714142666325E-2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1" tint="0.499984740745262"/>
    <pageSetUpPr fitToPage="1"/>
  </sheetPr>
  <dimension ref="A1:K68"/>
  <sheetViews>
    <sheetView tabSelected="1" topLeftCell="A22" zoomScaleNormal="100" zoomScaleSheetLayoutView="100" workbookViewId="0">
      <selection activeCell="E1" sqref="E1:E1048576"/>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119</v>
      </c>
      <c r="B1" s="188"/>
      <c r="C1" s="188"/>
      <c r="D1" s="188"/>
      <c r="E1" s="188"/>
      <c r="F1" s="188"/>
      <c r="G1" s="188"/>
      <c r="H1" s="188"/>
      <c r="I1" s="188"/>
      <c r="J1" s="188"/>
      <c r="K1" s="189"/>
    </row>
    <row r="3" spans="1:11" x14ac:dyDescent="0.2">
      <c r="A3" s="13" t="s">
        <v>13</v>
      </c>
      <c r="B3" s="13" t="s">
        <v>2</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69">
        <f>B4*B6</f>
        <v>828.75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0.3569142288726912</v>
      </c>
      <c r="K12" s="106"/>
    </row>
    <row r="13" spans="1:11" x14ac:dyDescent="0.2">
      <c r="A13" s="107" t="s">
        <v>32</v>
      </c>
      <c r="B13" s="73">
        <f>IF(B4&gt;B7,(B4)-B7,0)</f>
        <v>150</v>
      </c>
      <c r="C13" s="21">
        <v>0.121</v>
      </c>
      <c r="D13" s="22">
        <f>B13*C13</f>
        <v>18.149999999999999</v>
      </c>
      <c r="E13" s="73">
        <f t="shared" ref="E13" si="0">B13</f>
        <v>150</v>
      </c>
      <c r="F13" s="21">
        <f>C13</f>
        <v>0.121</v>
      </c>
      <c r="G13" s="22">
        <f>E13*F13</f>
        <v>18.149999999999999</v>
      </c>
      <c r="H13" s="22">
        <f t="shared" ref="H13:H46" si="1">G13-D13</f>
        <v>0</v>
      </c>
      <c r="I13" s="23">
        <f t="shared" ref="I13:I46" si="2">IF(ISERROR(H13/D13),0,(H13/D13))</f>
        <v>0</v>
      </c>
      <c r="J13" s="23">
        <f>G13/$G$46</f>
        <v>0.10482189731455251</v>
      </c>
      <c r="K13" s="108"/>
    </row>
    <row r="14" spans="1:11" s="1" customFormat="1" x14ac:dyDescent="0.2">
      <c r="A14" s="46" t="s">
        <v>33</v>
      </c>
      <c r="B14" s="24"/>
      <c r="C14" s="25"/>
      <c r="D14" s="25">
        <f>SUM(D12:D13)</f>
        <v>79.949999999999989</v>
      </c>
      <c r="E14" s="76"/>
      <c r="F14" s="25"/>
      <c r="G14" s="25">
        <f>SUM(G12:G13)</f>
        <v>79.949999999999989</v>
      </c>
      <c r="H14" s="25">
        <f t="shared" si="1"/>
        <v>0</v>
      </c>
      <c r="I14" s="27">
        <f t="shared" si="2"/>
        <v>0</v>
      </c>
      <c r="J14" s="27">
        <f>G14/$G$46</f>
        <v>0.46173612618724363</v>
      </c>
      <c r="K14" s="108"/>
    </row>
    <row r="15" spans="1:11" s="1" customFormat="1" x14ac:dyDescent="0.2">
      <c r="A15" s="109" t="s">
        <v>34</v>
      </c>
      <c r="B15" s="75">
        <f>B4*0.65</f>
        <v>487.5</v>
      </c>
      <c r="C15" s="28">
        <v>8.6999999999999994E-2</v>
      </c>
      <c r="D15" s="22">
        <f>B15*C15</f>
        <v>42.412499999999994</v>
      </c>
      <c r="E15" s="73">
        <f t="shared" ref="E15:F17" si="3">B15</f>
        <v>487.5</v>
      </c>
      <c r="F15" s="28">
        <f t="shared" si="3"/>
        <v>8.6999999999999994E-2</v>
      </c>
      <c r="G15" s="22">
        <f>E15*F15</f>
        <v>42.412499999999994</v>
      </c>
      <c r="H15" s="22">
        <f t="shared" si="1"/>
        <v>0</v>
      </c>
      <c r="I15" s="23">
        <f t="shared" si="2"/>
        <v>0</v>
      </c>
      <c r="J15" s="23"/>
      <c r="K15" s="108">
        <f t="shared" ref="K15:K26" si="4">G15/$G$51</f>
        <v>0.24080451484763626</v>
      </c>
    </row>
    <row r="16" spans="1:11" s="1" customFormat="1" x14ac:dyDescent="0.2">
      <c r="A16" s="109" t="s">
        <v>35</v>
      </c>
      <c r="B16" s="75">
        <f>B4*0.17</f>
        <v>127.50000000000001</v>
      </c>
      <c r="C16" s="28">
        <v>0.13200000000000001</v>
      </c>
      <c r="D16" s="22">
        <f>B16*C16</f>
        <v>16.830000000000002</v>
      </c>
      <c r="E16" s="73">
        <f t="shared" si="3"/>
        <v>127.50000000000001</v>
      </c>
      <c r="F16" s="28">
        <f t="shared" si="3"/>
        <v>0.13200000000000001</v>
      </c>
      <c r="G16" s="22">
        <f>E16*F16</f>
        <v>16.830000000000002</v>
      </c>
      <c r="H16" s="22">
        <f t="shared" si="1"/>
        <v>0</v>
      </c>
      <c r="I16" s="23">
        <f t="shared" si="2"/>
        <v>0</v>
      </c>
      <c r="J16" s="23"/>
      <c r="K16" s="108">
        <f t="shared" si="4"/>
        <v>9.555531941964561E-2</v>
      </c>
    </row>
    <row r="17" spans="1:11" s="1" customFormat="1" x14ac:dyDescent="0.2">
      <c r="A17" s="109" t="s">
        <v>36</v>
      </c>
      <c r="B17" s="75">
        <f>B4*0.18</f>
        <v>135</v>
      </c>
      <c r="C17" s="28">
        <v>0.18</v>
      </c>
      <c r="D17" s="22">
        <f>B17*C17</f>
        <v>24.3</v>
      </c>
      <c r="E17" s="73">
        <f t="shared" si="3"/>
        <v>135</v>
      </c>
      <c r="F17" s="28">
        <f t="shared" si="3"/>
        <v>0.18</v>
      </c>
      <c r="G17" s="22">
        <f>E17*F17</f>
        <v>24.3</v>
      </c>
      <c r="H17" s="22">
        <f t="shared" si="1"/>
        <v>0</v>
      </c>
      <c r="I17" s="23">
        <f t="shared" si="2"/>
        <v>0</v>
      </c>
      <c r="J17" s="23"/>
      <c r="K17" s="108">
        <f t="shared" si="4"/>
        <v>0.13796757349360594</v>
      </c>
    </row>
    <row r="18" spans="1:11" s="1" customFormat="1" x14ac:dyDescent="0.2">
      <c r="A18" s="61" t="s">
        <v>37</v>
      </c>
      <c r="B18" s="29"/>
      <c r="C18" s="30"/>
      <c r="D18" s="30">
        <f>SUM(D15:D17)</f>
        <v>83.54249999999999</v>
      </c>
      <c r="E18" s="77"/>
      <c r="F18" s="30"/>
      <c r="G18" s="30">
        <f>SUM(G15:G17)</f>
        <v>83.54249999999999</v>
      </c>
      <c r="H18" s="31">
        <f t="shared" si="1"/>
        <v>0</v>
      </c>
      <c r="I18" s="32">
        <f t="shared" si="2"/>
        <v>0</v>
      </c>
      <c r="J18" s="33">
        <f t="shared" ref="J18:J26" si="5">G18/$G$46</f>
        <v>0.48248393148214891</v>
      </c>
      <c r="K18" s="62">
        <f t="shared" si="4"/>
        <v>0.47432740776088778</v>
      </c>
    </row>
    <row r="19" spans="1:11" x14ac:dyDescent="0.2">
      <c r="A19" s="107" t="s">
        <v>112</v>
      </c>
      <c r="B19" s="73">
        <v>1</v>
      </c>
      <c r="C19" s="122">
        <f>VLOOKUP($B$3,'Data for Bill Impacts'!$A$3:$Y$15,7,0)</f>
        <v>25.109678307903934</v>
      </c>
      <c r="D19" s="22">
        <f>B19*C19</f>
        <v>25.109678307903934</v>
      </c>
      <c r="E19" s="73">
        <f t="shared" ref="E19:E41" si="6">B19</f>
        <v>1</v>
      </c>
      <c r="F19" s="122">
        <f>VLOOKUP($B$3,'Data for Bill Impacts'!$A$3:$Y$15,17,0)</f>
        <v>34.219678307903934</v>
      </c>
      <c r="G19" s="22">
        <f>E19*F19</f>
        <v>34.219678307903934</v>
      </c>
      <c r="H19" s="22">
        <f t="shared" si="1"/>
        <v>9.11</v>
      </c>
      <c r="I19" s="23">
        <f t="shared" si="2"/>
        <v>0.36280831193016067</v>
      </c>
      <c r="J19" s="23">
        <f t="shared" si="5"/>
        <v>0.1976292895717976</v>
      </c>
      <c r="K19" s="108">
        <f t="shared" si="4"/>
        <v>0.19428831201124647</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-0.02</v>
      </c>
      <c r="D22" s="22">
        <f t="shared" si="8"/>
        <v>-0.02</v>
      </c>
      <c r="E22" s="73">
        <f t="shared" si="6"/>
        <v>1</v>
      </c>
      <c r="F22" s="122">
        <f>VLOOKUP($B$3,'Data for Bill Impacts'!$A$3:$Y$15,22,0)</f>
        <v>-0.02</v>
      </c>
      <c r="G22" s="22">
        <f t="shared" si="7"/>
        <v>-0.02</v>
      </c>
      <c r="H22" s="22">
        <f t="shared" si="1"/>
        <v>0</v>
      </c>
      <c r="I22" s="23">
        <f t="shared" si="2"/>
        <v>0</v>
      </c>
      <c r="J22" s="23">
        <f t="shared" si="5"/>
        <v>-1.1550622293614603E-4</v>
      </c>
      <c r="K22" s="108">
        <f t="shared" si="4"/>
        <v>-1.135535584309514E-4</v>
      </c>
    </row>
    <row r="23" spans="1:11" x14ac:dyDescent="0.2">
      <c r="A23" s="107" t="s">
        <v>39</v>
      </c>
      <c r="B23" s="73">
        <f>IF($B$9="kWh",$B$4,$B$5)</f>
        <v>750</v>
      </c>
      <c r="C23" s="78">
        <f>VLOOKUP($B$3,'Data for Bill Impacts'!$A$3:$Y$15,10,0)</f>
        <v>3.6299999999999999E-2</v>
      </c>
      <c r="D23" s="22">
        <f>B23*C23</f>
        <v>27.224999999999998</v>
      </c>
      <c r="E23" s="73">
        <f t="shared" si="6"/>
        <v>750</v>
      </c>
      <c r="F23" s="78">
        <f>VLOOKUP($B$3,'Data for Bill Impacts'!$A$3:$Y$15,19,0)</f>
        <v>3.2199999999999999E-2</v>
      </c>
      <c r="G23" s="22">
        <f>E23*F23</f>
        <v>24.15</v>
      </c>
      <c r="H23" s="22">
        <f t="shared" si="1"/>
        <v>-3.0749999999999993</v>
      </c>
      <c r="I23" s="23">
        <f t="shared" si="2"/>
        <v>-0.11294765840220385</v>
      </c>
      <c r="J23" s="23">
        <f t="shared" si="5"/>
        <v>0.13947376419539631</v>
      </c>
      <c r="K23" s="108">
        <f t="shared" si="4"/>
        <v>0.1371159218053738</v>
      </c>
    </row>
    <row r="24" spans="1:11" x14ac:dyDescent="0.2">
      <c r="A24" s="107" t="s">
        <v>122</v>
      </c>
      <c r="B24" s="73">
        <f>IF($B$9="kWh",$B$4,$B$5)</f>
        <v>750</v>
      </c>
      <c r="C24" s="126">
        <f>VLOOKUP($B$3,'Data for Bill Impacts'!$A$3:$Y$15,14,0)</f>
        <v>2.0000000000000001E-4</v>
      </c>
      <c r="D24" s="22">
        <f>B24*C24</f>
        <v>0.15</v>
      </c>
      <c r="E24" s="73">
        <f>B24</f>
        <v>750</v>
      </c>
      <c r="F24" s="126">
        <f>VLOOKUP($B$3,'Data for Bill Impacts'!$A$3:$Y$15,23,0)</f>
        <v>2.0000000000000001E-4</v>
      </c>
      <c r="G24" s="22">
        <f>E24*F24</f>
        <v>0.15</v>
      </c>
      <c r="H24" s="22">
        <f>G24-D24</f>
        <v>0</v>
      </c>
      <c r="I24" s="23">
        <f>IF(ISERROR(H24/D24),0,(H24/D24))</f>
        <v>0</v>
      </c>
      <c r="J24" s="23">
        <f t="shared" si="5"/>
        <v>8.6629667202109514E-4</v>
      </c>
      <c r="K24" s="108">
        <f t="shared" si="4"/>
        <v>8.5165168823213549E-4</v>
      </c>
    </row>
    <row r="25" spans="1:11" s="1" customFormat="1" x14ac:dyDescent="0.2">
      <c r="A25" s="110" t="s">
        <v>72</v>
      </c>
      <c r="B25" s="74"/>
      <c r="C25" s="35"/>
      <c r="D25" s="35">
        <f>SUM(D19:D24)</f>
        <v>52.464678307903931</v>
      </c>
      <c r="E25" s="73"/>
      <c r="F25" s="35"/>
      <c r="G25" s="35">
        <f>SUM(G19:G24)</f>
        <v>58.499678307903928</v>
      </c>
      <c r="H25" s="35">
        <f t="shared" si="1"/>
        <v>6.0349999999999966</v>
      </c>
      <c r="I25" s="36">
        <f t="shared" si="2"/>
        <v>0.11502977230855925</v>
      </c>
      <c r="J25" s="36">
        <f t="shared" si="5"/>
        <v>0.33785384421627884</v>
      </c>
      <c r="K25" s="111">
        <f t="shared" si="4"/>
        <v>0.33214233194642145</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4.5624958059777678E-3</v>
      </c>
      <c r="K26" s="108">
        <f t="shared" si="4"/>
        <v>4.4853655580225802E-3</v>
      </c>
    </row>
    <row r="27" spans="1:11" s="1" customFormat="1" x14ac:dyDescent="0.2">
      <c r="A27" s="119" t="s">
        <v>75</v>
      </c>
      <c r="B27" s="120">
        <f>B8-B4</f>
        <v>78.75</v>
      </c>
      <c r="C27" s="121">
        <f>IF(B4&gt;B7,C13,C12)</f>
        <v>0.121</v>
      </c>
      <c r="D27" s="22">
        <f>B27*C27</f>
        <v>9.5287500000000005</v>
      </c>
      <c r="E27" s="73">
        <f>B27</f>
        <v>78.75</v>
      </c>
      <c r="F27" s="121">
        <f>C27</f>
        <v>0.121</v>
      </c>
      <c r="G27" s="22">
        <f>E27*F27</f>
        <v>9.5287500000000005</v>
      </c>
      <c r="H27" s="22">
        <f t="shared" si="1"/>
        <v>0</v>
      </c>
      <c r="I27" s="23">
        <f>IF(ISERROR(H27/D27),0,(H27/D27))</f>
        <v>0</v>
      </c>
      <c r="J27" s="23">
        <f t="shared" ref="J27:J46" si="9">G27/$G$46</f>
        <v>5.5031496090140075E-2</v>
      </c>
      <c r="K27" s="108">
        <f t="shared" ref="K27:K41" si="10">G27/$G$51</f>
        <v>5.4101173494946406E-2</v>
      </c>
    </row>
    <row r="28" spans="1:11" s="1" customFormat="1" x14ac:dyDescent="0.2">
      <c r="A28" s="119" t="s">
        <v>74</v>
      </c>
      <c r="B28" s="120">
        <f>B8-B4</f>
        <v>78.75</v>
      </c>
      <c r="C28" s="121">
        <f>0.65*C15+0.17*C16+0.18*C17</f>
        <v>0.11139</v>
      </c>
      <c r="D28" s="22">
        <f>B28*C28</f>
        <v>8.7719625000000008</v>
      </c>
      <c r="E28" s="73">
        <f>B28</f>
        <v>78.75</v>
      </c>
      <c r="F28" s="121">
        <f>C28</f>
        <v>0.11139</v>
      </c>
      <c r="G28" s="22">
        <f>E28*F28</f>
        <v>8.7719625000000008</v>
      </c>
      <c r="H28" s="22">
        <f t="shared" si="1"/>
        <v>0</v>
      </c>
      <c r="I28" s="23">
        <f>IF(ISERROR(H28/D28),0,(H28/D28))</f>
        <v>0</v>
      </c>
      <c r="J28" s="23">
        <f t="shared" si="9"/>
        <v>5.0660812805625642E-2</v>
      </c>
      <c r="K28" s="108">
        <f t="shared" si="10"/>
        <v>4.9804377814893226E-2</v>
      </c>
    </row>
    <row r="29" spans="1:11" s="1" customFormat="1" x14ac:dyDescent="0.2">
      <c r="A29" s="110" t="s">
        <v>78</v>
      </c>
      <c r="B29" s="74"/>
      <c r="C29" s="35"/>
      <c r="D29" s="35">
        <f>SUM(D25,D26:D27)</f>
        <v>62.783428307903932</v>
      </c>
      <c r="E29" s="73"/>
      <c r="F29" s="35"/>
      <c r="G29" s="35">
        <f>SUM(G25,G26:G27)</f>
        <v>68.818428307903929</v>
      </c>
      <c r="H29" s="35">
        <f t="shared" si="1"/>
        <v>6.0349999999999966</v>
      </c>
      <c r="I29" s="36">
        <f>IF(ISERROR(H29/D29),0,(H29/D29))</f>
        <v>9.612409138288866E-2</v>
      </c>
      <c r="J29" s="36">
        <f t="shared" si="9"/>
        <v>0.3974478361123967</v>
      </c>
      <c r="K29" s="111">
        <f t="shared" si="10"/>
        <v>0.39072887099939041</v>
      </c>
    </row>
    <row r="30" spans="1:11" s="1" customFormat="1" x14ac:dyDescent="0.2">
      <c r="A30" s="110" t="s">
        <v>77</v>
      </c>
      <c r="B30" s="74"/>
      <c r="C30" s="35"/>
      <c r="D30" s="35">
        <f>SUM(D25,D26,D28)</f>
        <v>62.026640807903931</v>
      </c>
      <c r="E30" s="73"/>
      <c r="F30" s="35"/>
      <c r="G30" s="35">
        <f>SUM(G25,G26,G28)</f>
        <v>68.061640807903927</v>
      </c>
      <c r="H30" s="35">
        <f t="shared" si="1"/>
        <v>6.0349999999999966</v>
      </c>
      <c r="I30" s="36">
        <f>IF(ISERROR(H30/D30),0,(H30/D30))</f>
        <v>9.7296902127754256E-2</v>
      </c>
      <c r="J30" s="36">
        <f t="shared" si="9"/>
        <v>0.39307715282788225</v>
      </c>
      <c r="K30" s="111">
        <f t="shared" si="10"/>
        <v>0.38643207531933721</v>
      </c>
    </row>
    <row r="31" spans="1:11" x14ac:dyDescent="0.2">
      <c r="A31" s="107" t="s">
        <v>40</v>
      </c>
      <c r="B31" s="73">
        <f>B8</f>
        <v>828.75</v>
      </c>
      <c r="C31" s="126">
        <f>VLOOKUP($B$3,'Data for Bill Impacts'!$A$3:$Y$15,15,0)</f>
        <v>6.7400000000000003E-3</v>
      </c>
      <c r="D31" s="22">
        <f>B31*C31</f>
        <v>5.5857749999999999</v>
      </c>
      <c r="E31" s="73">
        <f t="shared" si="6"/>
        <v>828.75</v>
      </c>
      <c r="F31" s="126">
        <f>VLOOKUP($B$3,'Data for Bill Impacts'!$A$3:$Y$15,24,0)</f>
        <v>6.7400000000000003E-3</v>
      </c>
      <c r="G31" s="22">
        <f>E31*F31</f>
        <v>5.5857749999999999</v>
      </c>
      <c r="H31" s="22">
        <f t="shared" si="1"/>
        <v>0</v>
      </c>
      <c r="I31" s="23">
        <f t="shared" si="2"/>
        <v>0</v>
      </c>
      <c r="J31" s="23">
        <f t="shared" si="9"/>
        <v>3.2259588621057551E-2</v>
      </c>
      <c r="K31" s="108">
        <f t="shared" si="10"/>
        <v>3.1714231392232374E-2</v>
      </c>
    </row>
    <row r="32" spans="1:11" x14ac:dyDescent="0.2">
      <c r="A32" s="107" t="s">
        <v>41</v>
      </c>
      <c r="B32" s="73">
        <f>B8</f>
        <v>828.75</v>
      </c>
      <c r="C32" s="126">
        <f>VLOOKUP($B$3,'Data for Bill Impacts'!$A$3:$Y$15,16,0)</f>
        <v>5.6299999999999996E-3</v>
      </c>
      <c r="D32" s="22">
        <f>B32*C32</f>
        <v>4.6658624999999994</v>
      </c>
      <c r="E32" s="73">
        <f t="shared" si="6"/>
        <v>828.75</v>
      </c>
      <c r="F32" s="126">
        <f>VLOOKUP($B$3,'Data for Bill Impacts'!$A$3:$Y$15,25,0)</f>
        <v>5.6299999999999996E-3</v>
      </c>
      <c r="G32" s="22">
        <f>E32*F32</f>
        <v>4.6658624999999994</v>
      </c>
      <c r="H32" s="22">
        <f t="shared" si="1"/>
        <v>0</v>
      </c>
      <c r="I32" s="23">
        <f t="shared" si="2"/>
        <v>0</v>
      </c>
      <c r="J32" s="23">
        <f t="shared" si="9"/>
        <v>2.6946807705720176E-2</v>
      </c>
      <c r="K32" s="108">
        <f t="shared" si="10"/>
        <v>2.6491264501226745E-2</v>
      </c>
    </row>
    <row r="33" spans="1:11" s="1" customFormat="1" x14ac:dyDescent="0.2">
      <c r="A33" s="110" t="s">
        <v>76</v>
      </c>
      <c r="B33" s="74"/>
      <c r="C33" s="35"/>
      <c r="D33" s="35">
        <f>SUM(D31:D32)</f>
        <v>10.251637499999999</v>
      </c>
      <c r="E33" s="73"/>
      <c r="F33" s="35"/>
      <c r="G33" s="35">
        <f>SUM(G31:G32)</f>
        <v>10.251637499999999</v>
      </c>
      <c r="H33" s="35">
        <f t="shared" si="1"/>
        <v>0</v>
      </c>
      <c r="I33" s="36">
        <f t="shared" si="2"/>
        <v>0</v>
      </c>
      <c r="J33" s="36">
        <f t="shared" si="9"/>
        <v>5.9206396326777731E-2</v>
      </c>
      <c r="K33" s="111">
        <f t="shared" si="10"/>
        <v>5.8205495893459122E-2</v>
      </c>
    </row>
    <row r="34" spans="1:11" s="1" customFormat="1" x14ac:dyDescent="0.2">
      <c r="A34" s="110" t="s">
        <v>91</v>
      </c>
      <c r="B34" s="74"/>
      <c r="C34" s="35"/>
      <c r="D34" s="35">
        <f>D29+D33</f>
        <v>73.035065807903933</v>
      </c>
      <c r="E34" s="73"/>
      <c r="F34" s="35"/>
      <c r="G34" s="35">
        <f>G29+G33</f>
        <v>79.07006580790393</v>
      </c>
      <c r="H34" s="35">
        <f t="shared" si="1"/>
        <v>6.0349999999999966</v>
      </c>
      <c r="I34" s="36">
        <f t="shared" si="2"/>
        <v>8.2631540524289948E-2</v>
      </c>
      <c r="J34" s="36">
        <f t="shared" si="9"/>
        <v>0.45665423243917441</v>
      </c>
      <c r="K34" s="111">
        <f t="shared" si="10"/>
        <v>0.44893436689284955</v>
      </c>
    </row>
    <row r="35" spans="1:11" s="1" customFormat="1" x14ac:dyDescent="0.2">
      <c r="A35" s="110" t="s">
        <v>92</v>
      </c>
      <c r="B35" s="74"/>
      <c r="C35" s="35"/>
      <c r="D35" s="35">
        <f>D30+D33</f>
        <v>72.278278307903932</v>
      </c>
      <c r="E35" s="73"/>
      <c r="F35" s="35"/>
      <c r="G35" s="35">
        <f>G30+G33</f>
        <v>78.313278307903929</v>
      </c>
      <c r="H35" s="35">
        <f t="shared" si="1"/>
        <v>6.0349999999999966</v>
      </c>
      <c r="I35" s="36">
        <f t="shared" si="2"/>
        <v>8.3496731539329488E-2</v>
      </c>
      <c r="J35" s="36">
        <f t="shared" si="9"/>
        <v>0.45228354915465996</v>
      </c>
      <c r="K35" s="111">
        <f t="shared" si="10"/>
        <v>0.44463757121279635</v>
      </c>
    </row>
    <row r="36" spans="1:11" x14ac:dyDescent="0.2">
      <c r="A36" s="107" t="s">
        <v>42</v>
      </c>
      <c r="B36" s="73">
        <f>B8</f>
        <v>828.75</v>
      </c>
      <c r="C36" s="34">
        <v>3.5999999999999999E-3</v>
      </c>
      <c r="D36" s="22">
        <f>B36*C36</f>
        <v>2.9834999999999998</v>
      </c>
      <c r="E36" s="73">
        <f t="shared" si="6"/>
        <v>828.75</v>
      </c>
      <c r="F36" s="34">
        <v>3.5999999999999999E-3</v>
      </c>
      <c r="G36" s="22">
        <f>E36*F36</f>
        <v>2.9834999999999998</v>
      </c>
      <c r="H36" s="22">
        <f t="shared" si="1"/>
        <v>0</v>
      </c>
      <c r="I36" s="23">
        <f t="shared" si="2"/>
        <v>0</v>
      </c>
      <c r="J36" s="23">
        <f t="shared" si="9"/>
        <v>1.7230640806499581E-2</v>
      </c>
      <c r="K36" s="108">
        <f t="shared" si="10"/>
        <v>1.6939352078937174E-2</v>
      </c>
    </row>
    <row r="37" spans="1:11" x14ac:dyDescent="0.2">
      <c r="A37" s="107" t="s">
        <v>43</v>
      </c>
      <c r="B37" s="73">
        <f>B8</f>
        <v>828.75</v>
      </c>
      <c r="C37" s="34">
        <v>2.0999999999999999E-3</v>
      </c>
      <c r="D37" s="22">
        <f>B37*C37</f>
        <v>1.7403749999999998</v>
      </c>
      <c r="E37" s="73">
        <f t="shared" si="6"/>
        <v>828.75</v>
      </c>
      <c r="F37" s="34">
        <v>2.0999999999999999E-3</v>
      </c>
      <c r="G37" s="22">
        <f>E37*F37</f>
        <v>1.7403749999999998</v>
      </c>
      <c r="H37" s="22">
        <f>G37-D37</f>
        <v>0</v>
      </c>
      <c r="I37" s="23">
        <f t="shared" si="2"/>
        <v>0</v>
      </c>
      <c r="J37" s="23">
        <f t="shared" si="9"/>
        <v>1.0051207137124755E-2</v>
      </c>
      <c r="K37" s="108">
        <f t="shared" si="10"/>
        <v>9.8812887127133504E-3</v>
      </c>
    </row>
    <row r="38" spans="1:11" x14ac:dyDescent="0.2">
      <c r="A38" s="107" t="s">
        <v>96</v>
      </c>
      <c r="B38" s="73">
        <f>B8</f>
        <v>828.75</v>
      </c>
      <c r="C38" s="34">
        <v>1.1000000000000001E-3</v>
      </c>
      <c r="D38" s="22">
        <f>B38*C38</f>
        <v>0.91162500000000002</v>
      </c>
      <c r="E38" s="73">
        <f t="shared" si="6"/>
        <v>828.75</v>
      </c>
      <c r="F38" s="34">
        <v>1.1000000000000001E-3</v>
      </c>
      <c r="G38" s="22">
        <f>E38*F38</f>
        <v>0.91162500000000002</v>
      </c>
      <c r="H38" s="22">
        <f>G38-D38</f>
        <v>0</v>
      </c>
      <c r="I38" s="23">
        <f t="shared" ref="I38" si="11">IF(ISERROR(H38/D38),0,(H38/D38))</f>
        <v>0</v>
      </c>
      <c r="J38" s="23">
        <f t="shared" ref="J38" si="12">G38/$G$46</f>
        <v>5.2649180242082061E-3</v>
      </c>
      <c r="K38" s="108">
        <f t="shared" ref="K38" si="13">G38/$G$51</f>
        <v>5.1759131352308039E-3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1.4438277867018254E-3</v>
      </c>
      <c r="K39" s="108">
        <f t="shared" si="10"/>
        <v>1.4194194803868925E-3</v>
      </c>
    </row>
    <row r="40" spans="1:11" s="1" customFormat="1" x14ac:dyDescent="0.2">
      <c r="A40" s="110" t="s">
        <v>45</v>
      </c>
      <c r="B40" s="74"/>
      <c r="C40" s="35"/>
      <c r="D40" s="35">
        <f>SUM(D36:D39)</f>
        <v>5.8854999999999995</v>
      </c>
      <c r="E40" s="73"/>
      <c r="F40" s="35"/>
      <c r="G40" s="35">
        <f>SUM(G36:G39)</f>
        <v>5.8854999999999995</v>
      </c>
      <c r="H40" s="35">
        <f t="shared" si="1"/>
        <v>0</v>
      </c>
      <c r="I40" s="36">
        <f t="shared" si="2"/>
        <v>0</v>
      </c>
      <c r="J40" s="36">
        <f t="shared" si="9"/>
        <v>3.3990593754534365E-2</v>
      </c>
      <c r="K40" s="111">
        <f t="shared" si="10"/>
        <v>3.3415973407268221E-2</v>
      </c>
    </row>
    <row r="41" spans="1:11" s="1" customFormat="1" ht="13.5" thickBot="1" x14ac:dyDescent="0.25">
      <c r="A41" s="112" t="s">
        <v>46</v>
      </c>
      <c r="B41" s="113">
        <f>B4</f>
        <v>750</v>
      </c>
      <c r="C41" s="114">
        <v>0</v>
      </c>
      <c r="D41" s="115">
        <f>B41*C41</f>
        <v>0</v>
      </c>
      <c r="E41" s="116">
        <f t="shared" si="6"/>
        <v>750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158.87056580790392</v>
      </c>
      <c r="E42" s="38"/>
      <c r="F42" s="39"/>
      <c r="G42" s="39">
        <f>SUM(G14,G25,G26,G27,G33,G40,G41)</f>
        <v>164.90556580790391</v>
      </c>
      <c r="H42" s="39">
        <f t="shared" si="1"/>
        <v>6.0349999999999966</v>
      </c>
      <c r="I42" s="40">
        <f>IF(ISERROR(H42/D42),0,(H42/D42))</f>
        <v>3.7986898135033594E-2</v>
      </c>
      <c r="J42" s="40">
        <f t="shared" si="9"/>
        <v>0.95238095238095244</v>
      </c>
      <c r="K42" s="41"/>
    </row>
    <row r="43" spans="1:11" x14ac:dyDescent="0.2">
      <c r="A43" s="155" t="s">
        <v>102</v>
      </c>
      <c r="B43" s="43"/>
      <c r="C43" s="26">
        <v>0.13</v>
      </c>
      <c r="D43" s="26">
        <f>D42*C43</f>
        <v>20.653173555027511</v>
      </c>
      <c r="E43" s="26"/>
      <c r="F43" s="26">
        <f>C43</f>
        <v>0.13</v>
      </c>
      <c r="G43" s="26">
        <f>G42*F43</f>
        <v>21.43772355502751</v>
      </c>
      <c r="H43" s="26">
        <f t="shared" si="1"/>
        <v>0.78454999999999941</v>
      </c>
      <c r="I43" s="44">
        <f t="shared" si="2"/>
        <v>3.798689813503358E-2</v>
      </c>
      <c r="J43" s="44">
        <f t="shared" si="9"/>
        <v>0.12380952380952383</v>
      </c>
      <c r="K43" s="45"/>
    </row>
    <row r="44" spans="1:11" s="1" customFormat="1" x14ac:dyDescent="0.2">
      <c r="A44" s="46" t="s">
        <v>103</v>
      </c>
      <c r="B44" s="24"/>
      <c r="C44" s="25"/>
      <c r="D44" s="25">
        <f>SUM(D42:D43)</f>
        <v>179.52373936293142</v>
      </c>
      <c r="E44" s="25"/>
      <c r="F44" s="25"/>
      <c r="G44" s="25">
        <f>SUM(G42:G43)</f>
        <v>186.34328936293142</v>
      </c>
      <c r="H44" s="25">
        <f t="shared" si="1"/>
        <v>6.8195499999999925</v>
      </c>
      <c r="I44" s="27">
        <f t="shared" si="2"/>
        <v>3.7986898135033573E-2</v>
      </c>
      <c r="J44" s="27">
        <f t="shared" si="9"/>
        <v>1.0761904761904761</v>
      </c>
      <c r="K44" s="47"/>
    </row>
    <row r="45" spans="1:11" x14ac:dyDescent="0.2">
      <c r="A45" s="42" t="s">
        <v>104</v>
      </c>
      <c r="B45" s="43"/>
      <c r="C45" s="26">
        <v>-0.08</v>
      </c>
      <c r="D45" s="26">
        <f>D42*C45</f>
        <v>-12.709645264632314</v>
      </c>
      <c r="E45" s="26"/>
      <c r="F45" s="26">
        <f>C45</f>
        <v>-0.08</v>
      </c>
      <c r="G45" s="26">
        <f>G42*F45</f>
        <v>-13.192445264632314</v>
      </c>
      <c r="H45" s="26">
        <f t="shared" si="1"/>
        <v>-0.48279999999999923</v>
      </c>
      <c r="I45" s="44">
        <f t="shared" si="2"/>
        <v>3.7986898135033545E-2</v>
      </c>
      <c r="J45" s="44">
        <f t="shared" si="9"/>
        <v>-7.6190476190476197E-2</v>
      </c>
      <c r="K45" s="45"/>
    </row>
    <row r="46" spans="1:11" s="1" customFormat="1" ht="13.5" thickBot="1" x14ac:dyDescent="0.25">
      <c r="A46" s="48" t="s">
        <v>105</v>
      </c>
      <c r="B46" s="49"/>
      <c r="C46" s="50"/>
      <c r="D46" s="50">
        <f>SUM(D44:D45)</f>
        <v>166.81409409829911</v>
      </c>
      <c r="E46" s="50"/>
      <c r="F46" s="50"/>
      <c r="G46" s="50">
        <f>SUM(G44:G45)</f>
        <v>173.1508440982991</v>
      </c>
      <c r="H46" s="50">
        <f t="shared" si="1"/>
        <v>6.336749999999995</v>
      </c>
      <c r="I46" s="51">
        <f t="shared" si="2"/>
        <v>3.798689813503358E-2</v>
      </c>
      <c r="J46" s="51">
        <f t="shared" si="9"/>
        <v>1</v>
      </c>
      <c r="K46" s="52"/>
    </row>
    <row r="47" spans="1:11" x14ac:dyDescent="0.2">
      <c r="A47" s="53" t="s">
        <v>106</v>
      </c>
      <c r="B47" s="54"/>
      <c r="C47" s="55"/>
      <c r="D47" s="55">
        <f>SUM(D18,D25,D26,D28,D33,D40,D41)</f>
        <v>161.70627830790391</v>
      </c>
      <c r="E47" s="55"/>
      <c r="F47" s="55"/>
      <c r="G47" s="55">
        <f>SUM(G18,G25,G26,G28,G33,G40,G41)</f>
        <v>167.74127830790391</v>
      </c>
      <c r="H47" s="55">
        <f>G47-D47</f>
        <v>6.0349999999999966</v>
      </c>
      <c r="I47" s="56">
        <f>IF(ISERROR(H47/D47),0,(H47/D47))</f>
        <v>3.7320752559209795E-2</v>
      </c>
      <c r="J47" s="56"/>
      <c r="K47" s="57">
        <f>G47/$G$51</f>
        <v>0.95238095238095233</v>
      </c>
    </row>
    <row r="48" spans="1:11" x14ac:dyDescent="0.2">
      <c r="A48" s="58" t="s">
        <v>102</v>
      </c>
      <c r="B48" s="59"/>
      <c r="C48" s="31">
        <v>0.13</v>
      </c>
      <c r="D48" s="31">
        <f>D47*C48</f>
        <v>21.021816180027511</v>
      </c>
      <c r="E48" s="31"/>
      <c r="F48" s="31">
        <f>C48</f>
        <v>0.13</v>
      </c>
      <c r="G48" s="31">
        <f>G47*F48</f>
        <v>21.80636618002751</v>
      </c>
      <c r="H48" s="31">
        <f>G48-D48</f>
        <v>0.78454999999999941</v>
      </c>
      <c r="I48" s="32">
        <f>IF(ISERROR(H48/D48),0,(H48/D48))</f>
        <v>3.7320752559209788E-2</v>
      </c>
      <c r="J48" s="32"/>
      <c r="K48" s="60">
        <f>G48/$G$51</f>
        <v>0.12380952380952381</v>
      </c>
    </row>
    <row r="49" spans="1:11" x14ac:dyDescent="0.2">
      <c r="A49" s="61" t="s">
        <v>107</v>
      </c>
      <c r="B49" s="29"/>
      <c r="C49" s="30"/>
      <c r="D49" s="30">
        <f>SUM(D47:D48)</f>
        <v>182.72809448793143</v>
      </c>
      <c r="E49" s="30"/>
      <c r="F49" s="30"/>
      <c r="G49" s="30">
        <f>SUM(G47:G48)</f>
        <v>189.54764448793142</v>
      </c>
      <c r="H49" s="30">
        <f>G49-D49</f>
        <v>6.8195499999999925</v>
      </c>
      <c r="I49" s="33">
        <f>IF(ISERROR(H49/D49),0,(H49/D49))</f>
        <v>3.7320752559209774E-2</v>
      </c>
      <c r="J49" s="33"/>
      <c r="K49" s="62">
        <f>G49/$G$51</f>
        <v>1.0761904761904761</v>
      </c>
    </row>
    <row r="50" spans="1:11" x14ac:dyDescent="0.2">
      <c r="A50" s="58" t="s">
        <v>104</v>
      </c>
      <c r="B50" s="59"/>
      <c r="C50" s="31">
        <v>-0.08</v>
      </c>
      <c r="D50" s="31">
        <f>D47*C50</f>
        <v>-12.936502264632313</v>
      </c>
      <c r="E50" s="31"/>
      <c r="F50" s="31">
        <f>C50</f>
        <v>-0.08</v>
      </c>
      <c r="G50" s="31">
        <f>G47*F50</f>
        <v>-13.419302264632313</v>
      </c>
      <c r="H50" s="31">
        <f>G50-D50</f>
        <v>-0.48279999999999923</v>
      </c>
      <c r="I50" s="32">
        <f>IF(ISERROR(H50/D50),0,(H50/D50))</f>
        <v>3.7320752559209761E-2</v>
      </c>
      <c r="J50" s="32"/>
      <c r="K50" s="60">
        <f>G50/$G$51</f>
        <v>-7.6190476190476183E-2</v>
      </c>
    </row>
    <row r="51" spans="1:11" ht="13.5" thickBot="1" x14ac:dyDescent="0.25">
      <c r="A51" s="63" t="s">
        <v>116</v>
      </c>
      <c r="B51" s="64"/>
      <c r="C51" s="65"/>
      <c r="D51" s="65">
        <f>SUM(D49:D50)</f>
        <v>169.79159222329912</v>
      </c>
      <c r="E51" s="65"/>
      <c r="F51" s="65"/>
      <c r="G51" s="65">
        <f>SUM(G49:G50)</f>
        <v>176.12834222329911</v>
      </c>
      <c r="H51" s="65">
        <f>G51-D51</f>
        <v>6.336749999999995</v>
      </c>
      <c r="I51" s="66">
        <f>IF(ISERROR(H51/D51),0,(H51/D51))</f>
        <v>3.7320752559209788E-2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1" tint="0.499984740745262"/>
    <pageSetUpPr fitToPage="1"/>
  </sheetPr>
  <dimension ref="A1:K68"/>
  <sheetViews>
    <sheetView tabSelected="1" topLeftCell="A12" zoomScaleNormal="100" zoomScaleSheetLayoutView="100" workbookViewId="0">
      <selection activeCell="E1" sqref="E1:E1048576"/>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120</v>
      </c>
      <c r="B1" s="188"/>
      <c r="C1" s="188"/>
      <c r="D1" s="188"/>
      <c r="E1" s="188"/>
      <c r="F1" s="188"/>
      <c r="G1" s="188"/>
      <c r="H1" s="188"/>
      <c r="I1" s="188"/>
      <c r="J1" s="188"/>
      <c r="K1" s="189"/>
    </row>
    <row r="3" spans="1:11" x14ac:dyDescent="0.2">
      <c r="A3" s="13" t="s">
        <v>13</v>
      </c>
      <c r="B3" s="13" t="s">
        <v>2</v>
      </c>
    </row>
    <row r="4" spans="1:11" x14ac:dyDescent="0.2">
      <c r="A4" s="15" t="s">
        <v>62</v>
      </c>
      <c r="B4" s="15">
        <f>VLOOKUP(B3,'Data for Bill Impacts'!A19:D31,3,FALSE)</f>
        <v>1152</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69">
        <f>B4*B6</f>
        <v>1272.96</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0.24503871386501852</v>
      </c>
      <c r="K12" s="106"/>
    </row>
    <row r="13" spans="1:11" x14ac:dyDescent="0.2">
      <c r="A13" s="107" t="s">
        <v>32</v>
      </c>
      <c r="B13" s="73">
        <f>IF(B4&gt;B7,(B4)-B7,0)</f>
        <v>552</v>
      </c>
      <c r="C13" s="21">
        <v>0.121</v>
      </c>
      <c r="D13" s="22">
        <f>B13*C13</f>
        <v>66.792000000000002</v>
      </c>
      <c r="E13" s="73">
        <f t="shared" ref="E13" si="0">B13</f>
        <v>552</v>
      </c>
      <c r="F13" s="21">
        <f>C13</f>
        <v>0.121</v>
      </c>
      <c r="G13" s="22">
        <f>E13*F13</f>
        <v>66.792000000000002</v>
      </c>
      <c r="H13" s="22">
        <f t="shared" ref="H13:H46" si="1">G13-D13</f>
        <v>0</v>
      </c>
      <c r="I13" s="23">
        <f t="shared" ref="I13:I46" si="2">IF(ISERROR(H13/D13),0,(H13/D13))</f>
        <v>0</v>
      </c>
      <c r="J13" s="23">
        <f>G13/$G$46</f>
        <v>0.26483213230537733</v>
      </c>
      <c r="K13" s="108"/>
    </row>
    <row r="14" spans="1:11" s="1" customFormat="1" x14ac:dyDescent="0.2">
      <c r="A14" s="46" t="s">
        <v>33</v>
      </c>
      <c r="B14" s="24"/>
      <c r="C14" s="25"/>
      <c r="D14" s="25">
        <f>SUM(D12:D13)</f>
        <v>128.59199999999998</v>
      </c>
      <c r="E14" s="76"/>
      <c r="F14" s="25"/>
      <c r="G14" s="25">
        <f>SUM(G12:G13)</f>
        <v>128.59199999999998</v>
      </c>
      <c r="H14" s="25">
        <f t="shared" si="1"/>
        <v>0</v>
      </c>
      <c r="I14" s="27">
        <f t="shared" si="2"/>
        <v>0</v>
      </c>
      <c r="J14" s="27">
        <f>G14/$G$46</f>
        <v>0.5098708461703958</v>
      </c>
      <c r="K14" s="108"/>
    </row>
    <row r="15" spans="1:11" s="1" customFormat="1" x14ac:dyDescent="0.2">
      <c r="A15" s="109" t="s">
        <v>34</v>
      </c>
      <c r="B15" s="75">
        <f>B4*0.65</f>
        <v>748.80000000000007</v>
      </c>
      <c r="C15" s="28">
        <v>8.6999999999999994E-2</v>
      </c>
      <c r="D15" s="22">
        <f>B15*C15</f>
        <v>65.145600000000002</v>
      </c>
      <c r="E15" s="73">
        <f t="shared" ref="E15:F17" si="3">B15</f>
        <v>748.80000000000007</v>
      </c>
      <c r="F15" s="28">
        <f t="shared" si="3"/>
        <v>8.6999999999999994E-2</v>
      </c>
      <c r="G15" s="22">
        <f>E15*F15</f>
        <v>65.145600000000002</v>
      </c>
      <c r="H15" s="22">
        <f t="shared" si="1"/>
        <v>0</v>
      </c>
      <c r="I15" s="23">
        <f t="shared" si="2"/>
        <v>0</v>
      </c>
      <c r="J15" s="23"/>
      <c r="K15" s="108">
        <f t="shared" ref="K15:K26" si="4">G15/$G$51</f>
        <v>0.25985455497583654</v>
      </c>
    </row>
    <row r="16" spans="1:11" s="1" customFormat="1" x14ac:dyDescent="0.2">
      <c r="A16" s="109" t="s">
        <v>35</v>
      </c>
      <c r="B16" s="75">
        <f>B4*0.17</f>
        <v>195.84</v>
      </c>
      <c r="C16" s="28">
        <v>0.13200000000000001</v>
      </c>
      <c r="D16" s="22">
        <f>B16*C16</f>
        <v>25.85088</v>
      </c>
      <c r="E16" s="73">
        <f t="shared" si="3"/>
        <v>195.84</v>
      </c>
      <c r="F16" s="28">
        <f t="shared" si="3"/>
        <v>0.13200000000000001</v>
      </c>
      <c r="G16" s="22">
        <f>E16*F16</f>
        <v>25.85088</v>
      </c>
      <c r="H16" s="22">
        <f t="shared" si="1"/>
        <v>0</v>
      </c>
      <c r="I16" s="23">
        <f t="shared" si="2"/>
        <v>0</v>
      </c>
      <c r="J16" s="23"/>
      <c r="K16" s="108">
        <f t="shared" si="4"/>
        <v>0.10311469873842213</v>
      </c>
    </row>
    <row r="17" spans="1:11" s="1" customFormat="1" x14ac:dyDescent="0.2">
      <c r="A17" s="109" t="s">
        <v>36</v>
      </c>
      <c r="B17" s="75">
        <f>B4*0.18</f>
        <v>207.35999999999999</v>
      </c>
      <c r="C17" s="28">
        <v>0.18</v>
      </c>
      <c r="D17" s="22">
        <f>B17*C17</f>
        <v>37.324799999999996</v>
      </c>
      <c r="E17" s="73">
        <f t="shared" si="3"/>
        <v>207.35999999999999</v>
      </c>
      <c r="F17" s="28">
        <f t="shared" si="3"/>
        <v>0.18</v>
      </c>
      <c r="G17" s="22">
        <f>E17*F17</f>
        <v>37.324799999999996</v>
      </c>
      <c r="H17" s="22">
        <f t="shared" si="1"/>
        <v>0</v>
      </c>
      <c r="I17" s="23">
        <f t="shared" si="2"/>
        <v>0</v>
      </c>
      <c r="J17" s="23"/>
      <c r="K17" s="108">
        <f t="shared" si="4"/>
        <v>0.14888218534424585</v>
      </c>
    </row>
    <row r="18" spans="1:11" s="1" customFormat="1" x14ac:dyDescent="0.2">
      <c r="A18" s="61" t="s">
        <v>37</v>
      </c>
      <c r="B18" s="29"/>
      <c r="C18" s="30"/>
      <c r="D18" s="30">
        <f>SUM(D15:D17)</f>
        <v>128.32128</v>
      </c>
      <c r="E18" s="77"/>
      <c r="F18" s="30"/>
      <c r="G18" s="30">
        <f>SUM(G15:G17)</f>
        <v>128.32128</v>
      </c>
      <c r="H18" s="31">
        <f t="shared" si="1"/>
        <v>0</v>
      </c>
      <c r="I18" s="32">
        <f t="shared" si="2"/>
        <v>0</v>
      </c>
      <c r="J18" s="33">
        <f t="shared" ref="J18:J26" si="5">G18/$G$46</f>
        <v>0.50879743386266874</v>
      </c>
      <c r="K18" s="62">
        <f t="shared" si="4"/>
        <v>0.5118514390585045</v>
      </c>
    </row>
    <row r="19" spans="1:11" x14ac:dyDescent="0.2">
      <c r="A19" s="107" t="s">
        <v>112</v>
      </c>
      <c r="B19" s="73">
        <v>1</v>
      </c>
      <c r="C19" s="122">
        <f>VLOOKUP($B$3,'Data for Bill Impacts'!$A$3:$Y$15,7,0)</f>
        <v>25.109678307903934</v>
      </c>
      <c r="D19" s="22">
        <f>B19*C19</f>
        <v>25.109678307903934</v>
      </c>
      <c r="E19" s="73">
        <f t="shared" ref="E19:E41" si="6">B19</f>
        <v>1</v>
      </c>
      <c r="F19" s="122">
        <f>VLOOKUP($B$3,'Data for Bill Impacts'!$A$3:$Y$15,17,0)</f>
        <v>34.219678307903934</v>
      </c>
      <c r="G19" s="22">
        <f>E19*F19</f>
        <v>34.219678307903934</v>
      </c>
      <c r="H19" s="22">
        <f t="shared" si="1"/>
        <v>9.11</v>
      </c>
      <c r="I19" s="23">
        <f t="shared" si="2"/>
        <v>0.36280831193016067</v>
      </c>
      <c r="J19" s="23">
        <f t="shared" si="5"/>
        <v>0.13568197348614003</v>
      </c>
      <c r="K19" s="108">
        <f t="shared" si="4"/>
        <v>0.13649639082480877</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-0.02</v>
      </c>
      <c r="D22" s="22">
        <f t="shared" si="8"/>
        <v>-0.02</v>
      </c>
      <c r="E22" s="73">
        <f t="shared" si="6"/>
        <v>1</v>
      </c>
      <c r="F22" s="122">
        <f>VLOOKUP($B$3,'Data for Bill Impacts'!$A$3:$Y$15,22,0)</f>
        <v>-0.02</v>
      </c>
      <c r="G22" s="22">
        <f t="shared" si="7"/>
        <v>-0.02</v>
      </c>
      <c r="H22" s="22">
        <f t="shared" si="1"/>
        <v>0</v>
      </c>
      <c r="I22" s="23">
        <f t="shared" si="2"/>
        <v>0</v>
      </c>
      <c r="J22" s="23">
        <f t="shared" si="5"/>
        <v>-7.9300554648873315E-5</v>
      </c>
      <c r="K22" s="108">
        <f t="shared" si="4"/>
        <v>-7.9776548216866993E-5</v>
      </c>
    </row>
    <row r="23" spans="1:11" x14ac:dyDescent="0.2">
      <c r="A23" s="107" t="s">
        <v>39</v>
      </c>
      <c r="B23" s="73">
        <f>IF($B$9="kWh",$B$4,$B$5)</f>
        <v>1152</v>
      </c>
      <c r="C23" s="78">
        <f>VLOOKUP($B$3,'Data for Bill Impacts'!$A$3:$Y$15,10,0)</f>
        <v>3.6299999999999999E-2</v>
      </c>
      <c r="D23" s="22">
        <f>B23*C23</f>
        <v>41.817599999999999</v>
      </c>
      <c r="E23" s="73">
        <f t="shared" si="6"/>
        <v>1152</v>
      </c>
      <c r="F23" s="78">
        <f>VLOOKUP($B$3,'Data for Bill Impacts'!$A$3:$Y$15,19,0)</f>
        <v>3.2199999999999999E-2</v>
      </c>
      <c r="G23" s="22">
        <f>E23*F23</f>
        <v>37.0944</v>
      </c>
      <c r="H23" s="22">
        <f t="shared" si="1"/>
        <v>-4.7231999999999985</v>
      </c>
      <c r="I23" s="23">
        <f t="shared" si="2"/>
        <v>-0.11294765840220382</v>
      </c>
      <c r="J23" s="23">
        <f t="shared" si="5"/>
        <v>0.14708032471835833</v>
      </c>
      <c r="K23" s="108">
        <f t="shared" si="4"/>
        <v>0.14796315950878755</v>
      </c>
    </row>
    <row r="24" spans="1:11" x14ac:dyDescent="0.2">
      <c r="A24" s="107" t="s">
        <v>122</v>
      </c>
      <c r="B24" s="73">
        <f>IF($B$9="kWh",$B$4,$B$5)</f>
        <v>1152</v>
      </c>
      <c r="C24" s="126">
        <f>VLOOKUP($B$3,'Data for Bill Impacts'!$A$3:$Y$15,14,0)</f>
        <v>2.0000000000000001E-4</v>
      </c>
      <c r="D24" s="22">
        <f>B24*C24</f>
        <v>0.23040000000000002</v>
      </c>
      <c r="E24" s="73">
        <f>B24</f>
        <v>1152</v>
      </c>
      <c r="F24" s="126">
        <f>VLOOKUP($B$3,'Data for Bill Impacts'!$A$3:$Y$15,23,0)</f>
        <v>2.0000000000000001E-4</v>
      </c>
      <c r="G24" s="22">
        <f>E24*F24</f>
        <v>0.23040000000000002</v>
      </c>
      <c r="H24" s="22">
        <f>G24-D24</f>
        <v>0</v>
      </c>
      <c r="I24" s="23">
        <f>IF(ISERROR(H24/D24),0,(H24/D24))</f>
        <v>0</v>
      </c>
      <c r="J24" s="23">
        <f t="shared" si="5"/>
        <v>9.1354238955502066E-4</v>
      </c>
      <c r="K24" s="108">
        <f t="shared" si="4"/>
        <v>9.1902583545830786E-4</v>
      </c>
    </row>
    <row r="25" spans="1:11" s="1" customFormat="1" x14ac:dyDescent="0.2">
      <c r="A25" s="110" t="s">
        <v>72</v>
      </c>
      <c r="B25" s="74"/>
      <c r="C25" s="35"/>
      <c r="D25" s="35">
        <f>SUM(D19:D24)</f>
        <v>67.13767830790394</v>
      </c>
      <c r="E25" s="73"/>
      <c r="F25" s="35"/>
      <c r="G25" s="35">
        <f>SUM(G19:G24)</f>
        <v>71.524478307903934</v>
      </c>
      <c r="H25" s="35">
        <f t="shared" si="1"/>
        <v>4.3867999999999938</v>
      </c>
      <c r="I25" s="36">
        <f t="shared" si="2"/>
        <v>6.5340358954348102E-2</v>
      </c>
      <c r="J25" s="36">
        <f t="shared" si="5"/>
        <v>0.28359654003940449</v>
      </c>
      <c r="K25" s="111">
        <f t="shared" si="4"/>
        <v>0.28529879962083776</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3.132371908630496E-3</v>
      </c>
      <c r="K26" s="108">
        <f t="shared" si="4"/>
        <v>3.1511736545662464E-3</v>
      </c>
    </row>
    <row r="27" spans="1:11" s="1" customFormat="1" x14ac:dyDescent="0.2">
      <c r="A27" s="119" t="s">
        <v>75</v>
      </c>
      <c r="B27" s="120">
        <f>B8-B4</f>
        <v>120.96000000000004</v>
      </c>
      <c r="C27" s="121">
        <f>IF(B4&gt;B7,C13,C12)</f>
        <v>0.121</v>
      </c>
      <c r="D27" s="22">
        <f>B27*C27</f>
        <v>14.636160000000004</v>
      </c>
      <c r="E27" s="73">
        <f>B27</f>
        <v>120.96000000000004</v>
      </c>
      <c r="F27" s="121">
        <f>C27</f>
        <v>0.121</v>
      </c>
      <c r="G27" s="22">
        <f>E27*F27</f>
        <v>14.636160000000004</v>
      </c>
      <c r="H27" s="22">
        <f t="shared" si="1"/>
        <v>0</v>
      </c>
      <c r="I27" s="23">
        <f>IF(ISERROR(H27/D27),0,(H27/D27))</f>
        <v>0</v>
      </c>
      <c r="J27" s="23">
        <f t="shared" ref="J27:J46" si="9">G27/$G$46</f>
        <v>5.8032780296482699E-2</v>
      </c>
      <c r="K27" s="108">
        <f t="shared" ref="K27:K41" si="10">G27/$G$51</f>
        <v>5.8381116197489015E-2</v>
      </c>
    </row>
    <row r="28" spans="1:11" s="1" customFormat="1" x14ac:dyDescent="0.2">
      <c r="A28" s="119" t="s">
        <v>74</v>
      </c>
      <c r="B28" s="120">
        <f>B8-B4</f>
        <v>120.96000000000004</v>
      </c>
      <c r="C28" s="121">
        <f>0.65*C15+0.17*C16+0.18*C17</f>
        <v>0.11139</v>
      </c>
      <c r="D28" s="22">
        <f>B28*C28</f>
        <v>13.473734400000005</v>
      </c>
      <c r="E28" s="73">
        <f>B28</f>
        <v>120.96000000000004</v>
      </c>
      <c r="F28" s="121">
        <f>C28</f>
        <v>0.11139</v>
      </c>
      <c r="G28" s="22">
        <f>E28*F28</f>
        <v>13.473734400000005</v>
      </c>
      <c r="H28" s="22">
        <f t="shared" si="1"/>
        <v>0</v>
      </c>
      <c r="I28" s="23">
        <f>IF(ISERROR(H28/D28),0,(H28/D28))</f>
        <v>0</v>
      </c>
      <c r="J28" s="23">
        <f t="shared" si="9"/>
        <v>5.3423730555580237E-2</v>
      </c>
      <c r="K28" s="108">
        <f t="shared" si="10"/>
        <v>5.3744401101142994E-2</v>
      </c>
    </row>
    <row r="29" spans="1:11" s="1" customFormat="1" x14ac:dyDescent="0.2">
      <c r="A29" s="110" t="s">
        <v>78</v>
      </c>
      <c r="B29" s="74"/>
      <c r="C29" s="35"/>
      <c r="D29" s="35">
        <f>SUM(D25,D26:D27)</f>
        <v>82.56383830790395</v>
      </c>
      <c r="E29" s="73"/>
      <c r="F29" s="35"/>
      <c r="G29" s="35">
        <f>SUM(G25,G26:G27)</f>
        <v>86.950638307903944</v>
      </c>
      <c r="H29" s="35">
        <f t="shared" si="1"/>
        <v>4.3867999999999938</v>
      </c>
      <c r="I29" s="36">
        <f>IF(ISERROR(H29/D29),0,(H29/D29))</f>
        <v>5.3132219745409284E-2</v>
      </c>
      <c r="J29" s="36">
        <f t="shared" si="9"/>
        <v>0.34476169224451769</v>
      </c>
      <c r="K29" s="111">
        <f t="shared" si="10"/>
        <v>0.34683108947289304</v>
      </c>
    </row>
    <row r="30" spans="1:11" s="1" customFormat="1" x14ac:dyDescent="0.2">
      <c r="A30" s="110" t="s">
        <v>77</v>
      </c>
      <c r="B30" s="74"/>
      <c r="C30" s="35"/>
      <c r="D30" s="35">
        <f>SUM(D25,D26,D28)</f>
        <v>81.401412707903944</v>
      </c>
      <c r="E30" s="73"/>
      <c r="F30" s="35"/>
      <c r="G30" s="35">
        <f>SUM(G25,G26,G28)</f>
        <v>85.788212707903938</v>
      </c>
      <c r="H30" s="35">
        <f t="shared" si="1"/>
        <v>4.3867999999999938</v>
      </c>
      <c r="I30" s="36">
        <f>IF(ISERROR(H30/D30),0,(H30/D30))</f>
        <v>5.3890956607120934E-2</v>
      </c>
      <c r="J30" s="36">
        <f t="shared" si="9"/>
        <v>0.34015264250361521</v>
      </c>
      <c r="K30" s="111">
        <f t="shared" si="10"/>
        <v>0.34219437437654698</v>
      </c>
    </row>
    <row r="31" spans="1:11" x14ac:dyDescent="0.2">
      <c r="A31" s="107" t="s">
        <v>40</v>
      </c>
      <c r="B31" s="73">
        <f>B8</f>
        <v>1272.96</v>
      </c>
      <c r="C31" s="126">
        <f>VLOOKUP($B$3,'Data for Bill Impacts'!$A$3:$Y$15,15,0)</f>
        <v>6.7400000000000003E-3</v>
      </c>
      <c r="D31" s="22">
        <f>B31*C31</f>
        <v>8.5797504</v>
      </c>
      <c r="E31" s="73">
        <f t="shared" si="6"/>
        <v>1272.96</v>
      </c>
      <c r="F31" s="126">
        <f>VLOOKUP($B$3,'Data for Bill Impacts'!$A$3:$Y$15,24,0)</f>
        <v>6.7400000000000003E-3</v>
      </c>
      <c r="G31" s="22">
        <f>E31*F31</f>
        <v>8.5797504</v>
      </c>
      <c r="H31" s="22">
        <f t="shared" si="1"/>
        <v>0</v>
      </c>
      <c r="I31" s="23">
        <f t="shared" si="2"/>
        <v>0</v>
      </c>
      <c r="J31" s="23">
        <f t="shared" si="9"/>
        <v>3.4018948273444635E-2</v>
      </c>
      <c r="K31" s="108">
        <f t="shared" si="10"/>
        <v>3.4223143573714192E-2</v>
      </c>
    </row>
    <row r="32" spans="1:11" x14ac:dyDescent="0.2">
      <c r="A32" s="107" t="s">
        <v>41</v>
      </c>
      <c r="B32" s="73">
        <f>B8</f>
        <v>1272.96</v>
      </c>
      <c r="C32" s="126">
        <f>VLOOKUP($B$3,'Data for Bill Impacts'!$A$3:$Y$15,16,0)</f>
        <v>5.6299999999999996E-3</v>
      </c>
      <c r="D32" s="22">
        <f>B32*C32</f>
        <v>7.1667647999999993</v>
      </c>
      <c r="E32" s="73">
        <f t="shared" si="6"/>
        <v>1272.96</v>
      </c>
      <c r="F32" s="126">
        <f>VLOOKUP($B$3,'Data for Bill Impacts'!$A$3:$Y$15,25,0)</f>
        <v>5.6299999999999996E-3</v>
      </c>
      <c r="G32" s="22">
        <f>E32*F32</f>
        <v>7.1667647999999993</v>
      </c>
      <c r="H32" s="22">
        <f t="shared" si="1"/>
        <v>0</v>
      </c>
      <c r="I32" s="23">
        <f t="shared" si="2"/>
        <v>0</v>
      </c>
      <c r="J32" s="23">
        <f t="shared" si="9"/>
        <v>2.8416421183901079E-2</v>
      </c>
      <c r="K32" s="108">
        <f t="shared" si="10"/>
        <v>2.8586987881307254E-2</v>
      </c>
    </row>
    <row r="33" spans="1:11" s="1" customFormat="1" x14ac:dyDescent="0.2">
      <c r="A33" s="110" t="s">
        <v>76</v>
      </c>
      <c r="B33" s="74"/>
      <c r="C33" s="35"/>
      <c r="D33" s="35">
        <f>SUM(D31:D32)</f>
        <v>15.746515199999999</v>
      </c>
      <c r="E33" s="73"/>
      <c r="F33" s="35"/>
      <c r="G33" s="35">
        <f>SUM(G31:G32)</f>
        <v>15.746515199999999</v>
      </c>
      <c r="H33" s="35">
        <f t="shared" si="1"/>
        <v>0</v>
      </c>
      <c r="I33" s="36">
        <f t="shared" si="2"/>
        <v>0</v>
      </c>
      <c r="J33" s="36">
        <f t="shared" si="9"/>
        <v>6.2435369457345714E-2</v>
      </c>
      <c r="K33" s="111">
        <f t="shared" si="10"/>
        <v>6.2810131455021442E-2</v>
      </c>
    </row>
    <row r="34" spans="1:11" s="1" customFormat="1" x14ac:dyDescent="0.2">
      <c r="A34" s="110" t="s">
        <v>91</v>
      </c>
      <c r="B34" s="74"/>
      <c r="C34" s="35"/>
      <c r="D34" s="35">
        <f>D29+D33</f>
        <v>98.310353507903955</v>
      </c>
      <c r="E34" s="73"/>
      <c r="F34" s="35"/>
      <c r="G34" s="35">
        <f>G29+G33</f>
        <v>102.69715350790395</v>
      </c>
      <c r="H34" s="35">
        <f t="shared" si="1"/>
        <v>4.3867999999999938</v>
      </c>
      <c r="I34" s="36">
        <f t="shared" si="2"/>
        <v>4.4621953268099111E-2</v>
      </c>
      <c r="J34" s="36">
        <f t="shared" si="9"/>
        <v>0.40719706170186343</v>
      </c>
      <c r="K34" s="111">
        <f t="shared" si="10"/>
        <v>0.40964122092791455</v>
      </c>
    </row>
    <row r="35" spans="1:11" s="1" customFormat="1" x14ac:dyDescent="0.2">
      <c r="A35" s="110" t="s">
        <v>92</v>
      </c>
      <c r="B35" s="74"/>
      <c r="C35" s="35"/>
      <c r="D35" s="35">
        <f>D30+D33</f>
        <v>97.147927907903949</v>
      </c>
      <c r="E35" s="73"/>
      <c r="F35" s="35"/>
      <c r="G35" s="35">
        <f>G30+G33</f>
        <v>101.53472790790394</v>
      </c>
      <c r="H35" s="35">
        <f t="shared" si="1"/>
        <v>4.3867999999999938</v>
      </c>
      <c r="I35" s="36">
        <f t="shared" si="2"/>
        <v>4.5155878200085459E-2</v>
      </c>
      <c r="J35" s="36">
        <f t="shared" si="9"/>
        <v>0.40258801196096095</v>
      </c>
      <c r="K35" s="111">
        <f t="shared" si="10"/>
        <v>0.4050045058315685</v>
      </c>
    </row>
    <row r="36" spans="1:11" x14ac:dyDescent="0.2">
      <c r="A36" s="107" t="s">
        <v>42</v>
      </c>
      <c r="B36" s="73">
        <f>B8</f>
        <v>1272.96</v>
      </c>
      <c r="C36" s="34">
        <v>3.5999999999999999E-3</v>
      </c>
      <c r="D36" s="22">
        <f>B36*C36</f>
        <v>4.5826560000000001</v>
      </c>
      <c r="E36" s="73">
        <f t="shared" si="6"/>
        <v>1272.96</v>
      </c>
      <c r="F36" s="34">
        <v>3.5999999999999999E-3</v>
      </c>
      <c r="G36" s="22">
        <f>E36*F36</f>
        <v>4.5826560000000001</v>
      </c>
      <c r="H36" s="22">
        <f t="shared" si="1"/>
        <v>0</v>
      </c>
      <c r="I36" s="23">
        <f t="shared" si="2"/>
        <v>0</v>
      </c>
      <c r="J36" s="23">
        <f t="shared" si="9"/>
        <v>1.817035812824936E-2</v>
      </c>
      <c r="K36" s="108">
        <f t="shared" si="10"/>
        <v>1.8279423867265741E-2</v>
      </c>
    </row>
    <row r="37" spans="1:11" x14ac:dyDescent="0.2">
      <c r="A37" s="107" t="s">
        <v>43</v>
      </c>
      <c r="B37" s="73">
        <f>B8</f>
        <v>1272.96</v>
      </c>
      <c r="C37" s="34">
        <v>2.0999999999999999E-3</v>
      </c>
      <c r="D37" s="22">
        <f>B37*C37</f>
        <v>2.673216</v>
      </c>
      <c r="E37" s="73">
        <f t="shared" si="6"/>
        <v>1272.96</v>
      </c>
      <c r="F37" s="34">
        <v>2.0999999999999999E-3</v>
      </c>
      <c r="G37" s="22">
        <f>E37*F37</f>
        <v>2.673216</v>
      </c>
      <c r="H37" s="22">
        <f>G37-D37</f>
        <v>0</v>
      </c>
      <c r="I37" s="23">
        <f t="shared" si="2"/>
        <v>0</v>
      </c>
      <c r="J37" s="23">
        <f t="shared" si="9"/>
        <v>1.0599375574812126E-2</v>
      </c>
      <c r="K37" s="108">
        <f t="shared" si="10"/>
        <v>1.0662997255905016E-2</v>
      </c>
    </row>
    <row r="38" spans="1:11" x14ac:dyDescent="0.2">
      <c r="A38" s="107" t="s">
        <v>96</v>
      </c>
      <c r="B38" s="73">
        <f>B8</f>
        <v>1272.96</v>
      </c>
      <c r="C38" s="34">
        <v>1.1000000000000001E-3</v>
      </c>
      <c r="D38" s="22">
        <f>B38*C38</f>
        <v>1.4002560000000002</v>
      </c>
      <c r="E38" s="73">
        <f t="shared" si="6"/>
        <v>1272.96</v>
      </c>
      <c r="F38" s="34">
        <v>1.1000000000000001E-3</v>
      </c>
      <c r="G38" s="22">
        <f>E38*F38</f>
        <v>1.4002560000000002</v>
      </c>
      <c r="H38" s="22">
        <f>G38-D38</f>
        <v>0</v>
      </c>
      <c r="I38" s="23">
        <f t="shared" si="2"/>
        <v>0</v>
      </c>
      <c r="J38" s="23">
        <f t="shared" si="9"/>
        <v>5.5520538725206386E-3</v>
      </c>
      <c r="K38" s="108">
        <f t="shared" si="10"/>
        <v>5.5853795149978661E-3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9.9125693311091648E-4</v>
      </c>
      <c r="K39" s="108">
        <f t="shared" si="10"/>
        <v>9.9720685271083732E-4</v>
      </c>
    </row>
    <row r="40" spans="1:11" s="1" customFormat="1" x14ac:dyDescent="0.2">
      <c r="A40" s="110" t="s">
        <v>45</v>
      </c>
      <c r="B40" s="74"/>
      <c r="C40" s="35"/>
      <c r="D40" s="35">
        <f>SUM(D36:D39)</f>
        <v>8.9061280000000007</v>
      </c>
      <c r="E40" s="73"/>
      <c r="F40" s="35"/>
      <c r="G40" s="35">
        <f>SUM(G36:G39)</f>
        <v>8.9061280000000007</v>
      </c>
      <c r="H40" s="35">
        <f t="shared" si="1"/>
        <v>0</v>
      </c>
      <c r="I40" s="36">
        <f t="shared" si="2"/>
        <v>0</v>
      </c>
      <c r="J40" s="36">
        <f t="shared" si="9"/>
        <v>3.5313044508693041E-2</v>
      </c>
      <c r="K40" s="111">
        <f t="shared" si="10"/>
        <v>3.5525007490879459E-2</v>
      </c>
    </row>
    <row r="41" spans="1:11" s="1" customFormat="1" ht="13.5" thickBot="1" x14ac:dyDescent="0.25">
      <c r="A41" s="112" t="s">
        <v>46</v>
      </c>
      <c r="B41" s="113">
        <f>B4</f>
        <v>1152</v>
      </c>
      <c r="C41" s="114">
        <v>0</v>
      </c>
      <c r="D41" s="115">
        <f>B41*C41</f>
        <v>0</v>
      </c>
      <c r="E41" s="116">
        <f t="shared" si="6"/>
        <v>1152</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235.80848150790393</v>
      </c>
      <c r="E42" s="38"/>
      <c r="F42" s="39"/>
      <c r="G42" s="39">
        <f>SUM(G14,G25,G26,G27,G33,G40,G41)</f>
        <v>240.19528150790393</v>
      </c>
      <c r="H42" s="39">
        <f t="shared" si="1"/>
        <v>4.3867999999999938</v>
      </c>
      <c r="I42" s="40">
        <f>IF(ISERROR(H42/D42),0,(H42/D42))</f>
        <v>1.8603232470469706E-2</v>
      </c>
      <c r="J42" s="40">
        <f t="shared" si="9"/>
        <v>0.95238095238095233</v>
      </c>
      <c r="K42" s="41"/>
    </row>
    <row r="43" spans="1:11" x14ac:dyDescent="0.2">
      <c r="A43" s="155" t="s">
        <v>102</v>
      </c>
      <c r="B43" s="43"/>
      <c r="C43" s="26">
        <v>0.13</v>
      </c>
      <c r="D43" s="26">
        <f>D42*C43</f>
        <v>30.655102596027511</v>
      </c>
      <c r="E43" s="26"/>
      <c r="F43" s="26">
        <f>C43</f>
        <v>0.13</v>
      </c>
      <c r="G43" s="26">
        <f>G42*F43</f>
        <v>31.225386596027512</v>
      </c>
      <c r="H43" s="26">
        <f t="shared" si="1"/>
        <v>0.5702840000000009</v>
      </c>
      <c r="I43" s="44">
        <f t="shared" si="2"/>
        <v>1.8603232470469761E-2</v>
      </c>
      <c r="J43" s="44">
        <f t="shared" si="9"/>
        <v>0.1238095238095238</v>
      </c>
      <c r="K43" s="45"/>
    </row>
    <row r="44" spans="1:11" s="1" customFormat="1" x14ac:dyDescent="0.2">
      <c r="A44" s="46" t="s">
        <v>103</v>
      </c>
      <c r="B44" s="24"/>
      <c r="C44" s="25"/>
      <c r="D44" s="25">
        <f>SUM(D42:D43)</f>
        <v>266.46358410393145</v>
      </c>
      <c r="E44" s="25"/>
      <c r="F44" s="25"/>
      <c r="G44" s="25">
        <f>SUM(G42:G43)</f>
        <v>271.42066810393146</v>
      </c>
      <c r="H44" s="25">
        <f t="shared" si="1"/>
        <v>4.9570840000000089</v>
      </c>
      <c r="I44" s="27">
        <f t="shared" si="2"/>
        <v>1.8603232470469765E-2</v>
      </c>
      <c r="J44" s="27">
        <f t="shared" si="9"/>
        <v>1.0761904761904761</v>
      </c>
      <c r="K44" s="47"/>
    </row>
    <row r="45" spans="1:11" x14ac:dyDescent="0.2">
      <c r="A45" s="42" t="s">
        <v>104</v>
      </c>
      <c r="B45" s="43"/>
      <c r="C45" s="26">
        <v>-0.08</v>
      </c>
      <c r="D45" s="26">
        <f>D42*C45</f>
        <v>-18.864678520632314</v>
      </c>
      <c r="E45" s="26"/>
      <c r="F45" s="26">
        <f>C45</f>
        <v>-0.08</v>
      </c>
      <c r="G45" s="26">
        <f>G42*F45</f>
        <v>-19.215622520632316</v>
      </c>
      <c r="H45" s="26">
        <f t="shared" si="1"/>
        <v>-0.35094400000000192</v>
      </c>
      <c r="I45" s="44">
        <f t="shared" si="2"/>
        <v>1.8603232470469834E-2</v>
      </c>
      <c r="J45" s="44">
        <f t="shared" si="9"/>
        <v>-7.6190476190476183E-2</v>
      </c>
      <c r="K45" s="45"/>
    </row>
    <row r="46" spans="1:11" s="1" customFormat="1" ht="13.5" thickBot="1" x14ac:dyDescent="0.25">
      <c r="A46" s="48" t="s">
        <v>105</v>
      </c>
      <c r="B46" s="49"/>
      <c r="C46" s="50"/>
      <c r="D46" s="50">
        <f>SUM(D44:D45)</f>
        <v>247.59890558329914</v>
      </c>
      <c r="E46" s="50"/>
      <c r="F46" s="50"/>
      <c r="G46" s="50">
        <f>SUM(G44:G45)</f>
        <v>252.20504558329915</v>
      </c>
      <c r="H46" s="50">
        <f t="shared" si="1"/>
        <v>4.6061400000000106</v>
      </c>
      <c r="I46" s="51">
        <f t="shared" si="2"/>
        <v>1.8603232470469775E-2</v>
      </c>
      <c r="J46" s="51">
        <f t="shared" si="9"/>
        <v>1</v>
      </c>
      <c r="K46" s="52"/>
    </row>
    <row r="47" spans="1:11" x14ac:dyDescent="0.2">
      <c r="A47" s="53" t="s">
        <v>106</v>
      </c>
      <c r="B47" s="54"/>
      <c r="C47" s="55"/>
      <c r="D47" s="55">
        <f>SUM(D18,D25,D26,D28,D33,D40,D41)</f>
        <v>234.37533590790395</v>
      </c>
      <c r="E47" s="55"/>
      <c r="F47" s="55"/>
      <c r="G47" s="55">
        <f>SUM(G18,G25,G26,G28,G33,G40,G41)</f>
        <v>238.76213590790394</v>
      </c>
      <c r="H47" s="55">
        <f>G47-D47</f>
        <v>4.3867999999999938</v>
      </c>
      <c r="I47" s="56">
        <f>IF(ISERROR(H47/D47),0,(H47/D47))</f>
        <v>1.8716986508016162E-2</v>
      </c>
      <c r="J47" s="56"/>
      <c r="K47" s="57">
        <f>G47/$G$51</f>
        <v>0.95238095238095244</v>
      </c>
    </row>
    <row r="48" spans="1:11" x14ac:dyDescent="0.2">
      <c r="A48" s="58" t="s">
        <v>102</v>
      </c>
      <c r="B48" s="59"/>
      <c r="C48" s="31">
        <v>0.13</v>
      </c>
      <c r="D48" s="31">
        <f>D47*C48</f>
        <v>30.468793668027512</v>
      </c>
      <c r="E48" s="31"/>
      <c r="F48" s="31">
        <f>C48</f>
        <v>0.13</v>
      </c>
      <c r="G48" s="31">
        <f>G47*F48</f>
        <v>31.039077668027513</v>
      </c>
      <c r="H48" s="31">
        <f>G48-D48</f>
        <v>0.5702840000000009</v>
      </c>
      <c r="I48" s="32">
        <f>IF(ISERROR(H48/D48),0,(H48/D48))</f>
        <v>1.8716986508016217E-2</v>
      </c>
      <c r="J48" s="32"/>
      <c r="K48" s="60">
        <f>G48/$G$51</f>
        <v>0.12380952380952381</v>
      </c>
    </row>
    <row r="49" spans="1:11" x14ac:dyDescent="0.2">
      <c r="A49" s="61" t="s">
        <v>107</v>
      </c>
      <c r="B49" s="29"/>
      <c r="C49" s="30"/>
      <c r="D49" s="30">
        <f>SUM(D47:D48)</f>
        <v>264.84412957593145</v>
      </c>
      <c r="E49" s="30"/>
      <c r="F49" s="30"/>
      <c r="G49" s="30">
        <f>SUM(G47:G48)</f>
        <v>269.80121357593146</v>
      </c>
      <c r="H49" s="30">
        <f>G49-D49</f>
        <v>4.9570840000000089</v>
      </c>
      <c r="I49" s="33">
        <f>IF(ISERROR(H49/D49),0,(H49/D49))</f>
        <v>1.8716986508016221E-2</v>
      </c>
      <c r="J49" s="33"/>
      <c r="K49" s="62">
        <f>G49/$G$51</f>
        <v>1.0761904761904764</v>
      </c>
    </row>
    <row r="50" spans="1:11" x14ac:dyDescent="0.2">
      <c r="A50" s="58" t="s">
        <v>104</v>
      </c>
      <c r="B50" s="59"/>
      <c r="C50" s="31">
        <v>-0.08</v>
      </c>
      <c r="D50" s="31">
        <f>D47*C50</f>
        <v>-18.750026872632315</v>
      </c>
      <c r="E50" s="31"/>
      <c r="F50" s="31">
        <f>C50</f>
        <v>-0.08</v>
      </c>
      <c r="G50" s="31">
        <f>G47*F50</f>
        <v>-19.100970872632317</v>
      </c>
      <c r="H50" s="31">
        <f>G50-D50</f>
        <v>-0.35094400000000192</v>
      </c>
      <c r="I50" s="32">
        <f>IF(ISERROR(H50/D50),0,(H50/D50))</f>
        <v>1.871698650801629E-2</v>
      </c>
      <c r="J50" s="32"/>
      <c r="K50" s="60">
        <f>G50/$G$51</f>
        <v>-7.6190476190476197E-2</v>
      </c>
    </row>
    <row r="51" spans="1:11" ht="13.5" thickBot="1" x14ac:dyDescent="0.25">
      <c r="A51" s="63" t="s">
        <v>116</v>
      </c>
      <c r="B51" s="64"/>
      <c r="C51" s="65"/>
      <c r="D51" s="65">
        <f>SUM(D49:D50)</f>
        <v>246.09410270329914</v>
      </c>
      <c r="E51" s="65"/>
      <c r="F51" s="65"/>
      <c r="G51" s="65">
        <f>SUM(G49:G50)</f>
        <v>250.70024270329912</v>
      </c>
      <c r="H51" s="65">
        <f>G51-D51</f>
        <v>4.6061399999999821</v>
      </c>
      <c r="I51" s="66">
        <f>IF(ISERROR(H51/D51),0,(H51/D51))</f>
        <v>1.8716986508016113E-2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1" tint="0.499984740745262"/>
    <pageSetUpPr fitToPage="1"/>
  </sheetPr>
  <dimension ref="A1:K68"/>
  <sheetViews>
    <sheetView tabSelected="1" view="pageBreakPreview" topLeftCell="A13" zoomScaleNormal="100" zoomScaleSheetLayoutView="100" workbookViewId="0">
      <selection activeCell="E1" sqref="E1:E1048576"/>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121</v>
      </c>
      <c r="B1" s="188"/>
      <c r="C1" s="188"/>
      <c r="D1" s="188"/>
      <c r="E1" s="188"/>
      <c r="F1" s="188"/>
      <c r="G1" s="188"/>
      <c r="H1" s="188"/>
      <c r="I1" s="188"/>
      <c r="J1" s="188"/>
      <c r="K1" s="189"/>
    </row>
    <row r="3" spans="1:11" x14ac:dyDescent="0.2">
      <c r="A3" s="13" t="s">
        <v>13</v>
      </c>
      <c r="B3" s="13" t="s">
        <v>2</v>
      </c>
    </row>
    <row r="4" spans="1:11" x14ac:dyDescent="0.2">
      <c r="A4" s="15" t="s">
        <v>62</v>
      </c>
      <c r="B4" s="15">
        <v>2300</v>
      </c>
    </row>
    <row r="5" spans="1:11" x14ac:dyDescent="0.2">
      <c r="A5" s="15" t="s">
        <v>16</v>
      </c>
      <c r="B5" s="15">
        <f>VLOOKUP($B$3,'Data for Bill Impacts'!$A$3:$Y$15,5,0)</f>
        <v>0</v>
      </c>
    </row>
    <row r="6" spans="1:11" x14ac:dyDescent="0.2">
      <c r="A6" s="15" t="s">
        <v>20</v>
      </c>
      <c r="B6" s="15">
        <f>VLOOKUP($B$3,'Data for Bill Impacts'!$A$3:$Y$15,2,0)</f>
        <v>1.105</v>
      </c>
    </row>
    <row r="7" spans="1:11" x14ac:dyDescent="0.2">
      <c r="A7" s="15" t="s">
        <v>15</v>
      </c>
      <c r="B7" s="15">
        <f>VLOOKUP($B$3,'Data for Bill Impacts'!$A$3:$Y$15,4,0)</f>
        <v>600</v>
      </c>
    </row>
    <row r="8" spans="1:11" x14ac:dyDescent="0.2">
      <c r="A8" s="15" t="s">
        <v>82</v>
      </c>
      <c r="B8" s="169">
        <f>B4*B6</f>
        <v>2541.5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0.12929903062853931</v>
      </c>
      <c r="K12" s="106"/>
    </row>
    <row r="13" spans="1:11" x14ac:dyDescent="0.2">
      <c r="A13" s="107" t="s">
        <v>32</v>
      </c>
      <c r="B13" s="73">
        <f>IF(B4&gt;B7,(B4)-B7,0)</f>
        <v>1700</v>
      </c>
      <c r="C13" s="21">
        <v>0.121</v>
      </c>
      <c r="D13" s="22">
        <f>B13*C13</f>
        <v>205.7</v>
      </c>
      <c r="E13" s="73">
        <f t="shared" ref="E13" si="0">B13</f>
        <v>1700</v>
      </c>
      <c r="F13" s="21">
        <f>C13</f>
        <v>0.121</v>
      </c>
      <c r="G13" s="22">
        <f>E13*F13</f>
        <v>205.7</v>
      </c>
      <c r="H13" s="22">
        <f t="shared" ref="H13:H46" si="1">G13-D13</f>
        <v>0</v>
      </c>
      <c r="I13" s="23">
        <f t="shared" ref="I13:I46" si="2">IF(ISERROR(H13/D13),0,(H13/D13))</f>
        <v>0</v>
      </c>
      <c r="J13" s="23">
        <f>G13/$G$46</f>
        <v>0.43036910356457175</v>
      </c>
      <c r="K13" s="108"/>
    </row>
    <row r="14" spans="1:11" s="1" customFormat="1" x14ac:dyDescent="0.2">
      <c r="A14" s="46" t="s">
        <v>33</v>
      </c>
      <c r="B14" s="24"/>
      <c r="C14" s="25"/>
      <c r="D14" s="25">
        <f>SUM(D12:D13)</f>
        <v>267.5</v>
      </c>
      <c r="E14" s="76"/>
      <c r="F14" s="25"/>
      <c r="G14" s="25">
        <f>SUM(G12:G13)</f>
        <v>267.5</v>
      </c>
      <c r="H14" s="25">
        <f t="shared" si="1"/>
        <v>0</v>
      </c>
      <c r="I14" s="27">
        <f t="shared" si="2"/>
        <v>0</v>
      </c>
      <c r="J14" s="27">
        <f>G14/$G$46</f>
        <v>0.55966813419311112</v>
      </c>
      <c r="K14" s="108"/>
    </row>
    <row r="15" spans="1:11" s="1" customFormat="1" x14ac:dyDescent="0.2">
      <c r="A15" s="109" t="s">
        <v>34</v>
      </c>
      <c r="B15" s="75">
        <f>B4*0.65</f>
        <v>1495</v>
      </c>
      <c r="C15" s="28">
        <v>8.6999999999999994E-2</v>
      </c>
      <c r="D15" s="22">
        <f>B15*C15</f>
        <v>130.065</v>
      </c>
      <c r="E15" s="73">
        <f t="shared" ref="E15:F17" si="3">B15</f>
        <v>1495</v>
      </c>
      <c r="F15" s="28">
        <f t="shared" si="3"/>
        <v>8.6999999999999994E-2</v>
      </c>
      <c r="G15" s="22">
        <f>E15*F15</f>
        <v>130.065</v>
      </c>
      <c r="H15" s="22">
        <f t="shared" si="1"/>
        <v>0</v>
      </c>
      <c r="I15" s="23">
        <f t="shared" si="2"/>
        <v>0</v>
      </c>
      <c r="J15" s="23"/>
      <c r="K15" s="108">
        <f t="shared" ref="K15:K26" si="4">G15/$G$51</f>
        <v>0.28051997945480456</v>
      </c>
    </row>
    <row r="16" spans="1:11" s="1" customFormat="1" x14ac:dyDescent="0.2">
      <c r="A16" s="109" t="s">
        <v>35</v>
      </c>
      <c r="B16" s="75">
        <f>B4*0.17</f>
        <v>391</v>
      </c>
      <c r="C16" s="28">
        <v>0.13200000000000001</v>
      </c>
      <c r="D16" s="22">
        <f>B16*C16</f>
        <v>51.612000000000002</v>
      </c>
      <c r="E16" s="73">
        <f t="shared" si="3"/>
        <v>391</v>
      </c>
      <c r="F16" s="28">
        <f t="shared" si="3"/>
        <v>0.13200000000000001</v>
      </c>
      <c r="G16" s="22">
        <f>E16*F16</f>
        <v>51.612000000000002</v>
      </c>
      <c r="H16" s="22">
        <f t="shared" si="1"/>
        <v>0</v>
      </c>
      <c r="I16" s="23">
        <f t="shared" si="2"/>
        <v>0</v>
      </c>
      <c r="J16" s="23"/>
      <c r="K16" s="108">
        <f t="shared" si="4"/>
        <v>0.11131508999055374</v>
      </c>
    </row>
    <row r="17" spans="1:11" s="1" customFormat="1" x14ac:dyDescent="0.2">
      <c r="A17" s="109" t="s">
        <v>36</v>
      </c>
      <c r="B17" s="75">
        <f>B4*0.18</f>
        <v>414</v>
      </c>
      <c r="C17" s="28">
        <v>0.18</v>
      </c>
      <c r="D17" s="22">
        <f>B17*C17</f>
        <v>74.52</v>
      </c>
      <c r="E17" s="73">
        <f t="shared" si="3"/>
        <v>414</v>
      </c>
      <c r="F17" s="28">
        <f t="shared" si="3"/>
        <v>0.18</v>
      </c>
      <c r="G17" s="22">
        <f>E17*F17</f>
        <v>74.52</v>
      </c>
      <c r="H17" s="22">
        <f t="shared" si="1"/>
        <v>0</v>
      </c>
      <c r="I17" s="23">
        <f t="shared" si="2"/>
        <v>0</v>
      </c>
      <c r="J17" s="23"/>
      <c r="K17" s="108">
        <f t="shared" si="4"/>
        <v>0.16072232244625406</v>
      </c>
    </row>
    <row r="18" spans="1:11" s="1" customFormat="1" x14ac:dyDescent="0.2">
      <c r="A18" s="61" t="s">
        <v>37</v>
      </c>
      <c r="B18" s="29"/>
      <c r="C18" s="30"/>
      <c r="D18" s="30">
        <f>SUM(D15:D17)</f>
        <v>256.197</v>
      </c>
      <c r="E18" s="77"/>
      <c r="F18" s="30"/>
      <c r="G18" s="30">
        <f>SUM(G15:G17)</f>
        <v>256.197</v>
      </c>
      <c r="H18" s="31">
        <f t="shared" si="1"/>
        <v>0</v>
      </c>
      <c r="I18" s="32">
        <f t="shared" si="2"/>
        <v>0</v>
      </c>
      <c r="J18" s="33">
        <f t="shared" ref="J18:J26" si="5">G18/$G$46</f>
        <v>0.53601980177896258</v>
      </c>
      <c r="K18" s="62">
        <f t="shared" si="4"/>
        <v>0.55255739189161235</v>
      </c>
    </row>
    <row r="19" spans="1:11" x14ac:dyDescent="0.2">
      <c r="A19" s="107" t="s">
        <v>112</v>
      </c>
      <c r="B19" s="73">
        <v>1</v>
      </c>
      <c r="C19" s="122">
        <f>VLOOKUP($B$3,'Data for Bill Impacts'!$A$3:$Y$15,7,0)</f>
        <v>25.109678307903934</v>
      </c>
      <c r="D19" s="22">
        <f>B19*C19</f>
        <v>25.109678307903934</v>
      </c>
      <c r="E19" s="73">
        <f t="shared" ref="E19:E41" si="6">B19</f>
        <v>1</v>
      </c>
      <c r="F19" s="122">
        <f>VLOOKUP($B$3,'Data for Bill Impacts'!$A$3:$Y$15,17,0)</f>
        <v>34.219678307903934</v>
      </c>
      <c r="G19" s="22">
        <f>E19*F19</f>
        <v>34.219678307903934</v>
      </c>
      <c r="H19" s="22">
        <f t="shared" si="1"/>
        <v>9.11</v>
      </c>
      <c r="I19" s="23">
        <f t="shared" si="2"/>
        <v>0.36280831193016067</v>
      </c>
      <c r="J19" s="23">
        <f t="shared" si="5"/>
        <v>7.1595003780460076E-2</v>
      </c>
      <c r="K19" s="108">
        <f t="shared" si="4"/>
        <v>7.3803893867552622E-2</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-0.02</v>
      </c>
      <c r="D22" s="22">
        <f t="shared" si="8"/>
        <v>-0.02</v>
      </c>
      <c r="E22" s="73">
        <f t="shared" si="6"/>
        <v>1</v>
      </c>
      <c r="F22" s="122">
        <f>VLOOKUP($B$3,'Data for Bill Impacts'!$A$3:$Y$15,22,0)</f>
        <v>-0.02</v>
      </c>
      <c r="G22" s="22">
        <f t="shared" si="7"/>
        <v>-0.02</v>
      </c>
      <c r="H22" s="22">
        <f t="shared" si="1"/>
        <v>0</v>
      </c>
      <c r="I22" s="23">
        <f t="shared" si="2"/>
        <v>0</v>
      </c>
      <c r="J22" s="23">
        <f t="shared" si="5"/>
        <v>-4.1844346481727933E-5</v>
      </c>
      <c r="K22" s="108">
        <f t="shared" si="4"/>
        <v>-4.3135352240003773E-5</v>
      </c>
    </row>
    <row r="23" spans="1:11" x14ac:dyDescent="0.2">
      <c r="A23" s="107" t="s">
        <v>39</v>
      </c>
      <c r="B23" s="73">
        <f>IF($B$9="kWh",$B$4,$B$5)</f>
        <v>2300</v>
      </c>
      <c r="C23" s="78">
        <f>VLOOKUP($B$3,'Data for Bill Impacts'!$A$3:$Y$15,10,0)</f>
        <v>3.6299999999999999E-2</v>
      </c>
      <c r="D23" s="22">
        <f>B23*C23</f>
        <v>83.49</v>
      </c>
      <c r="E23" s="73">
        <f t="shared" si="6"/>
        <v>2300</v>
      </c>
      <c r="F23" s="78">
        <f>VLOOKUP($B$3,'Data for Bill Impacts'!$A$3:$Y$15,19,0)</f>
        <v>3.2199999999999999E-2</v>
      </c>
      <c r="G23" s="22">
        <f>E23*F23</f>
        <v>74.06</v>
      </c>
      <c r="H23" s="22">
        <f t="shared" si="1"/>
        <v>-9.4299999999999926</v>
      </c>
      <c r="I23" s="23">
        <f t="shared" si="2"/>
        <v>-0.11294765840220378</v>
      </c>
      <c r="J23" s="23">
        <f t="shared" si="5"/>
        <v>0.15494961502183854</v>
      </c>
      <c r="K23" s="108">
        <f t="shared" si="4"/>
        <v>0.15973020934473398</v>
      </c>
    </row>
    <row r="24" spans="1:11" x14ac:dyDescent="0.2">
      <c r="A24" s="107" t="s">
        <v>122</v>
      </c>
      <c r="B24" s="73">
        <f>IF($B$9="kWh",$B$4,$B$5)</f>
        <v>2300</v>
      </c>
      <c r="C24" s="126">
        <f>VLOOKUP($B$3,'Data for Bill Impacts'!$A$3:$Y$15,14,0)</f>
        <v>2.0000000000000001E-4</v>
      </c>
      <c r="D24" s="22">
        <f>B24*C24</f>
        <v>0.46</v>
      </c>
      <c r="E24" s="73">
        <f>B24</f>
        <v>2300</v>
      </c>
      <c r="F24" s="126">
        <f>VLOOKUP($B$3,'Data for Bill Impacts'!$A$3:$Y$15,23,0)</f>
        <v>2.0000000000000001E-4</v>
      </c>
      <c r="G24" s="22">
        <f>E24*F24</f>
        <v>0.46</v>
      </c>
      <c r="H24" s="22">
        <f>G24-D24</f>
        <v>0</v>
      </c>
      <c r="I24" s="23">
        <f>IF(ISERROR(H24/D24),0,(H24/D24))</f>
        <v>0</v>
      </c>
      <c r="J24" s="23">
        <f t="shared" si="5"/>
        <v>9.6241996907974251E-4</v>
      </c>
      <c r="K24" s="108">
        <f t="shared" si="4"/>
        <v>9.921131015200868E-4</v>
      </c>
    </row>
    <row r="25" spans="1:11" s="1" customFormat="1" x14ac:dyDescent="0.2">
      <c r="A25" s="110" t="s">
        <v>72</v>
      </c>
      <c r="B25" s="74"/>
      <c r="C25" s="35"/>
      <c r="D25" s="35">
        <f>SUM(D19:D24)</f>
        <v>109.03967830790393</v>
      </c>
      <c r="E25" s="73"/>
      <c r="F25" s="35"/>
      <c r="G25" s="35">
        <f>SUM(G19:G24)</f>
        <v>108.71967830790392</v>
      </c>
      <c r="H25" s="35">
        <f t="shared" si="1"/>
        <v>-0.32000000000000739</v>
      </c>
      <c r="I25" s="36">
        <f t="shared" si="2"/>
        <v>-2.9347115193828635E-3</v>
      </c>
      <c r="J25" s="36">
        <f t="shared" si="5"/>
        <v>0.2274651944248966</v>
      </c>
      <c r="K25" s="111">
        <f t="shared" si="4"/>
        <v>0.23448308096156664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1.6528516860282534E-3</v>
      </c>
      <c r="K26" s="108">
        <f t="shared" si="4"/>
        <v>1.7038464134801492E-3</v>
      </c>
    </row>
    <row r="27" spans="1:11" s="1" customFormat="1" x14ac:dyDescent="0.2">
      <c r="A27" s="119" t="s">
        <v>75</v>
      </c>
      <c r="B27" s="120">
        <f>B8-B4</f>
        <v>241.5</v>
      </c>
      <c r="C27" s="121">
        <f>IF(B4&gt;B7,C13,C12)</f>
        <v>0.121</v>
      </c>
      <c r="D27" s="22">
        <f>B27*C27</f>
        <v>29.221499999999999</v>
      </c>
      <c r="E27" s="73">
        <f>B27</f>
        <v>241.5</v>
      </c>
      <c r="F27" s="121">
        <f>C27</f>
        <v>0.121</v>
      </c>
      <c r="G27" s="22">
        <f>E27*F27</f>
        <v>29.221499999999999</v>
      </c>
      <c r="H27" s="22">
        <f t="shared" si="1"/>
        <v>0</v>
      </c>
      <c r="I27" s="23">
        <f>IF(ISERROR(H27/D27),0,(H27/D27))</f>
        <v>0</v>
      </c>
      <c r="J27" s="23">
        <f t="shared" ref="J27:J46" si="9">G27/$G$46</f>
        <v>6.1137728535790636E-2</v>
      </c>
      <c r="K27" s="108">
        <f t="shared" ref="K27:K41" si="10">G27/$G$51</f>
        <v>6.3023984774063513E-2</v>
      </c>
    </row>
    <row r="28" spans="1:11" s="1" customFormat="1" x14ac:dyDescent="0.2">
      <c r="A28" s="119" t="s">
        <v>74</v>
      </c>
      <c r="B28" s="120">
        <f>B8-B4</f>
        <v>241.5</v>
      </c>
      <c r="C28" s="121">
        <f>0.65*C15+0.17*C16+0.18*C17</f>
        <v>0.11139</v>
      </c>
      <c r="D28" s="22">
        <f>B28*C28</f>
        <v>26.900684999999999</v>
      </c>
      <c r="E28" s="73">
        <f>B28</f>
        <v>241.5</v>
      </c>
      <c r="F28" s="121">
        <f>C28</f>
        <v>0.11139</v>
      </c>
      <c r="G28" s="22">
        <f>E28*F28</f>
        <v>26.900684999999999</v>
      </c>
      <c r="H28" s="22">
        <f t="shared" si="1"/>
        <v>0</v>
      </c>
      <c r="I28" s="23">
        <f>IF(ISERROR(H28/D28),0,(H28/D28))</f>
        <v>0</v>
      </c>
      <c r="J28" s="23">
        <f t="shared" si="9"/>
        <v>5.6282079186791067E-2</v>
      </c>
      <c r="K28" s="108">
        <f t="shared" si="10"/>
        <v>5.8018526148619291E-2</v>
      </c>
    </row>
    <row r="29" spans="1:11" s="1" customFormat="1" x14ac:dyDescent="0.2">
      <c r="A29" s="110" t="s">
        <v>78</v>
      </c>
      <c r="B29" s="74"/>
      <c r="C29" s="35"/>
      <c r="D29" s="35">
        <f>SUM(D25,D26:D27)</f>
        <v>139.05117830790394</v>
      </c>
      <c r="E29" s="73"/>
      <c r="F29" s="35"/>
      <c r="G29" s="35">
        <f>SUM(G25,G26:G27)</f>
        <v>138.73117830790392</v>
      </c>
      <c r="H29" s="35">
        <f t="shared" si="1"/>
        <v>-0.3200000000000216</v>
      </c>
      <c r="I29" s="36">
        <f>IF(ISERROR(H29/D29),0,(H29/D29))</f>
        <v>-2.3013109553911069E-3</v>
      </c>
      <c r="J29" s="36">
        <f t="shared" si="9"/>
        <v>0.29025577464671548</v>
      </c>
      <c r="K29" s="111">
        <f t="shared" si="10"/>
        <v>0.29921091214911033</v>
      </c>
    </row>
    <row r="30" spans="1:11" s="1" customFormat="1" x14ac:dyDescent="0.2">
      <c r="A30" s="110" t="s">
        <v>77</v>
      </c>
      <c r="B30" s="74"/>
      <c r="C30" s="35"/>
      <c r="D30" s="35">
        <f>SUM(D25,D26,D28)</f>
        <v>136.73036330790393</v>
      </c>
      <c r="E30" s="73"/>
      <c r="F30" s="35"/>
      <c r="G30" s="35">
        <f>SUM(G25,G26,G28)</f>
        <v>136.41036330790394</v>
      </c>
      <c r="H30" s="35">
        <f t="shared" si="1"/>
        <v>-0.31999999999999318</v>
      </c>
      <c r="I30" s="36">
        <f>IF(ISERROR(H30/D30),0,(H30/D30))</f>
        <v>-2.3403726301771265E-3</v>
      </c>
      <c r="J30" s="36">
        <f t="shared" si="9"/>
        <v>0.28540012529771597</v>
      </c>
      <c r="K30" s="111">
        <f t="shared" si="10"/>
        <v>0.29420545352366612</v>
      </c>
    </row>
    <row r="31" spans="1:11" x14ac:dyDescent="0.2">
      <c r="A31" s="107" t="s">
        <v>40</v>
      </c>
      <c r="B31" s="73">
        <f>B8</f>
        <v>2541.5</v>
      </c>
      <c r="C31" s="126">
        <f>VLOOKUP($B$3,'Data for Bill Impacts'!$A$3:$Y$15,15,0)</f>
        <v>6.7400000000000003E-3</v>
      </c>
      <c r="D31" s="22">
        <f>B31*C31</f>
        <v>17.129709999999999</v>
      </c>
      <c r="E31" s="73">
        <f t="shared" si="6"/>
        <v>2541.5</v>
      </c>
      <c r="F31" s="126">
        <f>VLOOKUP($B$3,'Data for Bill Impacts'!$A$3:$Y$15,24,0)</f>
        <v>6.7400000000000003E-3</v>
      </c>
      <c r="G31" s="22">
        <f>E31*F31</f>
        <v>17.129709999999999</v>
      </c>
      <c r="H31" s="22">
        <f t="shared" si="1"/>
        <v>0</v>
      </c>
      <c r="I31" s="23">
        <f t="shared" si="2"/>
        <v>0</v>
      </c>
      <c r="J31" s="23">
        <f t="shared" si="9"/>
        <v>3.5839076018575985E-2</v>
      </c>
      <c r="K31" s="108">
        <f t="shared" si="10"/>
        <v>3.6944803730955753E-2</v>
      </c>
    </row>
    <row r="32" spans="1:11" x14ac:dyDescent="0.2">
      <c r="A32" s="107" t="s">
        <v>41</v>
      </c>
      <c r="B32" s="73">
        <f>B8</f>
        <v>2541.5</v>
      </c>
      <c r="C32" s="126">
        <f>VLOOKUP($B$3,'Data for Bill Impacts'!$A$3:$Y$15,16,0)</f>
        <v>5.6299999999999996E-3</v>
      </c>
      <c r="D32" s="22">
        <f>B32*C32</f>
        <v>14.308644999999999</v>
      </c>
      <c r="E32" s="73">
        <f t="shared" si="6"/>
        <v>2541.5</v>
      </c>
      <c r="F32" s="126">
        <f>VLOOKUP($B$3,'Data for Bill Impacts'!$A$3:$Y$15,25,0)</f>
        <v>5.6299999999999996E-3</v>
      </c>
      <c r="G32" s="22">
        <f>E32*F32</f>
        <v>14.308644999999999</v>
      </c>
      <c r="H32" s="22">
        <f t="shared" si="1"/>
        <v>0</v>
      </c>
      <c r="I32" s="23">
        <f t="shared" si="2"/>
        <v>0</v>
      </c>
      <c r="J32" s="23">
        <f t="shared" si="9"/>
        <v>2.9936794953202197E-2</v>
      </c>
      <c r="K32" s="108">
        <f t="shared" si="10"/>
        <v>3.0860422107608438E-2</v>
      </c>
    </row>
    <row r="33" spans="1:11" s="1" customFormat="1" x14ac:dyDescent="0.2">
      <c r="A33" s="110" t="s">
        <v>76</v>
      </c>
      <c r="B33" s="74"/>
      <c r="C33" s="35"/>
      <c r="D33" s="35">
        <f>SUM(D31:D32)</f>
        <v>31.438354999999998</v>
      </c>
      <c r="E33" s="73"/>
      <c r="F33" s="35"/>
      <c r="G33" s="35">
        <f>SUM(G31:G32)</f>
        <v>31.438354999999998</v>
      </c>
      <c r="H33" s="35">
        <f t="shared" si="1"/>
        <v>0</v>
      </c>
      <c r="I33" s="36">
        <f t="shared" si="2"/>
        <v>0</v>
      </c>
      <c r="J33" s="36">
        <f t="shared" si="9"/>
        <v>6.5775870971778186E-2</v>
      </c>
      <c r="K33" s="111">
        <f t="shared" si="10"/>
        <v>6.7805225838564187E-2</v>
      </c>
    </row>
    <row r="34" spans="1:11" s="1" customFormat="1" x14ac:dyDescent="0.2">
      <c r="A34" s="110" t="s">
        <v>91</v>
      </c>
      <c r="B34" s="74"/>
      <c r="C34" s="35"/>
      <c r="D34" s="35">
        <f>D29+D33</f>
        <v>170.48953330790394</v>
      </c>
      <c r="E34" s="73"/>
      <c r="F34" s="35"/>
      <c r="G34" s="35">
        <f>G29+G33</f>
        <v>170.16953330790392</v>
      </c>
      <c r="H34" s="35">
        <f t="shared" si="1"/>
        <v>-0.3200000000000216</v>
      </c>
      <c r="I34" s="36">
        <f t="shared" si="2"/>
        <v>-1.8769480670822289E-3</v>
      </c>
      <c r="J34" s="36">
        <f t="shared" si="9"/>
        <v>0.35603164561849365</v>
      </c>
      <c r="K34" s="111">
        <f t="shared" si="10"/>
        <v>0.36701613798767452</v>
      </c>
    </row>
    <row r="35" spans="1:11" s="1" customFormat="1" x14ac:dyDescent="0.2">
      <c r="A35" s="110" t="s">
        <v>92</v>
      </c>
      <c r="B35" s="74"/>
      <c r="C35" s="35"/>
      <c r="D35" s="35">
        <f>D30+D33</f>
        <v>168.16871830790393</v>
      </c>
      <c r="E35" s="73"/>
      <c r="F35" s="35"/>
      <c r="G35" s="35">
        <f>G30+G33</f>
        <v>167.84871830790394</v>
      </c>
      <c r="H35" s="35">
        <f t="shared" si="1"/>
        <v>-0.31999999999999318</v>
      </c>
      <c r="I35" s="36">
        <f t="shared" si="2"/>
        <v>-1.9028509179340827E-3</v>
      </c>
      <c r="J35" s="36">
        <f t="shared" si="9"/>
        <v>0.35117599626949414</v>
      </c>
      <c r="K35" s="111">
        <f t="shared" si="10"/>
        <v>0.3620106793622303</v>
      </c>
    </row>
    <row r="36" spans="1:11" x14ac:dyDescent="0.2">
      <c r="A36" s="107" t="s">
        <v>42</v>
      </c>
      <c r="B36" s="73">
        <f>B8</f>
        <v>2541.5</v>
      </c>
      <c r="C36" s="34">
        <v>3.5999999999999999E-3</v>
      </c>
      <c r="D36" s="22">
        <f>B36*C36</f>
        <v>9.1494</v>
      </c>
      <c r="E36" s="73">
        <f t="shared" si="6"/>
        <v>2541.5</v>
      </c>
      <c r="F36" s="34">
        <v>3.5999999999999999E-3</v>
      </c>
      <c r="G36" s="22">
        <f>E36*F36</f>
        <v>9.1494</v>
      </c>
      <c r="H36" s="22">
        <f t="shared" si="1"/>
        <v>0</v>
      </c>
      <c r="I36" s="23">
        <f t="shared" si="2"/>
        <v>0</v>
      </c>
      <c r="J36" s="23">
        <f t="shared" si="9"/>
        <v>1.9142533184996077E-2</v>
      </c>
      <c r="K36" s="108">
        <f t="shared" si="10"/>
        <v>1.9733129589234528E-2</v>
      </c>
    </row>
    <row r="37" spans="1:11" x14ac:dyDescent="0.2">
      <c r="A37" s="107" t="s">
        <v>43</v>
      </c>
      <c r="B37" s="73">
        <f>B8</f>
        <v>2541.5</v>
      </c>
      <c r="C37" s="34">
        <v>2.0999999999999999E-3</v>
      </c>
      <c r="D37" s="22">
        <f>B37*C37</f>
        <v>5.3371499999999994</v>
      </c>
      <c r="E37" s="73">
        <f t="shared" si="6"/>
        <v>2541.5</v>
      </c>
      <c r="F37" s="34">
        <v>2.0999999999999999E-3</v>
      </c>
      <c r="G37" s="22">
        <f>E37*F37</f>
        <v>5.3371499999999994</v>
      </c>
      <c r="H37" s="22">
        <f>G37-D37</f>
        <v>0</v>
      </c>
      <c r="I37" s="23">
        <f t="shared" si="2"/>
        <v>0</v>
      </c>
      <c r="J37" s="23">
        <f t="shared" si="9"/>
        <v>1.1166477691247711E-2</v>
      </c>
      <c r="K37" s="108">
        <f t="shared" si="10"/>
        <v>1.1510992260386805E-2</v>
      </c>
    </row>
    <row r="38" spans="1:11" x14ac:dyDescent="0.2">
      <c r="A38" s="107" t="s">
        <v>96</v>
      </c>
      <c r="B38" s="73">
        <f>B8</f>
        <v>2541.5</v>
      </c>
      <c r="C38" s="34">
        <v>1.1000000000000001E-3</v>
      </c>
      <c r="D38" s="22">
        <f>B38*C38</f>
        <v>2.7956500000000002</v>
      </c>
      <c r="E38" s="73">
        <f t="shared" si="6"/>
        <v>2541.5</v>
      </c>
      <c r="F38" s="34">
        <v>1.1000000000000001E-3</v>
      </c>
      <c r="G38" s="22">
        <f>E38*F38</f>
        <v>2.7956500000000002</v>
      </c>
      <c r="H38" s="22">
        <f>G38-D38</f>
        <v>0</v>
      </c>
      <c r="I38" s="23">
        <f t="shared" ref="I38" si="11">IF(ISERROR(H38/D38),0,(H38/D38))</f>
        <v>0</v>
      </c>
      <c r="J38" s="23">
        <f t="shared" ref="J38" si="12">G38/$G$46</f>
        <v>5.8491073620821352E-3</v>
      </c>
      <c r="K38" s="108">
        <f t="shared" ref="K38" si="13">G38/$G$51</f>
        <v>6.0295673744883279E-3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5.2305433102159914E-4</v>
      </c>
      <c r="K39" s="108">
        <f t="shared" si="10"/>
        <v>5.391919030000472E-4</v>
      </c>
    </row>
    <row r="40" spans="1:11" s="1" customFormat="1" x14ac:dyDescent="0.2">
      <c r="A40" s="110" t="s">
        <v>45</v>
      </c>
      <c r="B40" s="74"/>
      <c r="C40" s="35"/>
      <c r="D40" s="35">
        <f>SUM(D36:D39)</f>
        <v>17.5322</v>
      </c>
      <c r="E40" s="73"/>
      <c r="F40" s="35"/>
      <c r="G40" s="35">
        <f>SUM(G36:G39)</f>
        <v>17.5322</v>
      </c>
      <c r="H40" s="35">
        <f t="shared" si="1"/>
        <v>0</v>
      </c>
      <c r="I40" s="36">
        <f t="shared" si="2"/>
        <v>0</v>
      </c>
      <c r="J40" s="36">
        <f t="shared" si="9"/>
        <v>3.6681172569347519E-2</v>
      </c>
      <c r="K40" s="111">
        <f t="shared" si="10"/>
        <v>3.7812881127109704E-2</v>
      </c>
    </row>
    <row r="41" spans="1:11" s="1" customFormat="1" ht="13.5" thickBot="1" x14ac:dyDescent="0.25">
      <c r="A41" s="112" t="s">
        <v>46</v>
      </c>
      <c r="B41" s="113">
        <f>B4</f>
        <v>2300</v>
      </c>
      <c r="C41" s="114">
        <v>0</v>
      </c>
      <c r="D41" s="115">
        <f>B41*C41</f>
        <v>0</v>
      </c>
      <c r="E41" s="116">
        <f t="shared" si="6"/>
        <v>2300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455.52173330790396</v>
      </c>
      <c r="E42" s="38"/>
      <c r="F42" s="39"/>
      <c r="G42" s="39">
        <f>SUM(G14,G25,G26,G27,G33,G40,G41)</f>
        <v>455.20173330790391</v>
      </c>
      <c r="H42" s="39">
        <f t="shared" si="1"/>
        <v>-0.32000000000005002</v>
      </c>
      <c r="I42" s="40">
        <f>IF(ISERROR(H42/D42),0,(H42/D42))</f>
        <v>-7.0249118011620805E-4</v>
      </c>
      <c r="J42" s="40">
        <f t="shared" si="9"/>
        <v>0.95238095238095233</v>
      </c>
      <c r="K42" s="41"/>
    </row>
    <row r="43" spans="1:11" x14ac:dyDescent="0.2">
      <c r="A43" s="155" t="s">
        <v>102</v>
      </c>
      <c r="B43" s="43"/>
      <c r="C43" s="26">
        <v>0.13</v>
      </c>
      <c r="D43" s="26">
        <f>D42*C43</f>
        <v>59.217825330027516</v>
      </c>
      <c r="E43" s="26"/>
      <c r="F43" s="26">
        <f>C43</f>
        <v>0.13</v>
      </c>
      <c r="G43" s="26">
        <f>G42*F43</f>
        <v>59.176225330027513</v>
      </c>
      <c r="H43" s="26">
        <f t="shared" si="1"/>
        <v>-4.1600000000002524E-2</v>
      </c>
      <c r="I43" s="44">
        <f t="shared" si="2"/>
        <v>-7.0249118011614083E-4</v>
      </c>
      <c r="J43" s="44">
        <f t="shared" si="9"/>
        <v>0.12380952380952381</v>
      </c>
      <c r="K43" s="45"/>
    </row>
    <row r="44" spans="1:11" s="1" customFormat="1" x14ac:dyDescent="0.2">
      <c r="A44" s="46" t="s">
        <v>103</v>
      </c>
      <c r="B44" s="24"/>
      <c r="C44" s="25"/>
      <c r="D44" s="25">
        <f>SUM(D42:D43)</f>
        <v>514.73955863793151</v>
      </c>
      <c r="E44" s="25"/>
      <c r="F44" s="25"/>
      <c r="G44" s="25">
        <f>SUM(G42:G43)</f>
        <v>514.37795863793144</v>
      </c>
      <c r="H44" s="25">
        <f t="shared" si="1"/>
        <v>-0.36160000000006676</v>
      </c>
      <c r="I44" s="27">
        <f t="shared" si="2"/>
        <v>-7.0249118011622778E-4</v>
      </c>
      <c r="J44" s="27">
        <f t="shared" si="9"/>
        <v>1.0761904761904761</v>
      </c>
      <c r="K44" s="47"/>
    </row>
    <row r="45" spans="1:11" x14ac:dyDescent="0.2">
      <c r="A45" s="42" t="s">
        <v>104</v>
      </c>
      <c r="B45" s="43"/>
      <c r="C45" s="26">
        <v>-0.08</v>
      </c>
      <c r="D45" s="26">
        <f>D42*C45</f>
        <v>-36.441738664632318</v>
      </c>
      <c r="E45" s="26"/>
      <c r="F45" s="26">
        <f>C45</f>
        <v>-0.08</v>
      </c>
      <c r="G45" s="26">
        <f>G42*F45</f>
        <v>-36.416138664632314</v>
      </c>
      <c r="H45" s="26">
        <f t="shared" si="1"/>
        <v>2.5600000000004286E-2</v>
      </c>
      <c r="I45" s="44">
        <f t="shared" si="2"/>
        <v>-7.0249118011621575E-4</v>
      </c>
      <c r="J45" s="44">
        <f t="shared" si="9"/>
        <v>-7.6190476190476183E-2</v>
      </c>
      <c r="K45" s="45"/>
    </row>
    <row r="46" spans="1:11" s="1" customFormat="1" ht="13.5" thickBot="1" x14ac:dyDescent="0.25">
      <c r="A46" s="48" t="s">
        <v>105</v>
      </c>
      <c r="B46" s="49"/>
      <c r="C46" s="50"/>
      <c r="D46" s="50">
        <f>SUM(D44:D45)</f>
        <v>478.29781997329917</v>
      </c>
      <c r="E46" s="50"/>
      <c r="F46" s="50"/>
      <c r="G46" s="50">
        <f>SUM(G44:G45)</f>
        <v>477.96181997329916</v>
      </c>
      <c r="H46" s="50">
        <f t="shared" si="1"/>
        <v>-0.33600000000001273</v>
      </c>
      <c r="I46" s="51">
        <f t="shared" si="2"/>
        <v>-7.0249118011612478E-4</v>
      </c>
      <c r="J46" s="51">
        <f t="shared" si="9"/>
        <v>1</v>
      </c>
      <c r="K46" s="52"/>
    </row>
    <row r="47" spans="1:11" x14ac:dyDescent="0.2">
      <c r="A47" s="53" t="s">
        <v>106</v>
      </c>
      <c r="B47" s="54"/>
      <c r="C47" s="55"/>
      <c r="D47" s="55">
        <f>SUM(D18,D25,D26,D28,D33,D40,D41)</f>
        <v>441.89791830790398</v>
      </c>
      <c r="E47" s="55"/>
      <c r="F47" s="55"/>
      <c r="G47" s="55">
        <f>SUM(G18,G25,G26,G28,G33,G40,G41)</f>
        <v>441.57791830790393</v>
      </c>
      <c r="H47" s="55">
        <f>G47-D47</f>
        <v>-0.32000000000005002</v>
      </c>
      <c r="I47" s="56">
        <f>IF(ISERROR(H47/D47),0,(H47/D47))</f>
        <v>-7.2414914563386022E-4</v>
      </c>
      <c r="J47" s="56"/>
      <c r="K47" s="57">
        <f>G47/$G$51</f>
        <v>0.95238095238095233</v>
      </c>
    </row>
    <row r="48" spans="1:11" x14ac:dyDescent="0.2">
      <c r="A48" s="58" t="s">
        <v>102</v>
      </c>
      <c r="B48" s="59"/>
      <c r="C48" s="31">
        <v>0.13</v>
      </c>
      <c r="D48" s="31">
        <f>D47*C48</f>
        <v>57.44672938002752</v>
      </c>
      <c r="E48" s="31"/>
      <c r="F48" s="31">
        <f>C48</f>
        <v>0.13</v>
      </c>
      <c r="G48" s="31">
        <f>G47*F48</f>
        <v>57.40512938002751</v>
      </c>
      <c r="H48" s="31">
        <f>G48-D48</f>
        <v>-4.1600000000009629E-2</v>
      </c>
      <c r="I48" s="32">
        <f>IF(ISERROR(H48/D48),0,(H48/D48))</f>
        <v>-7.2414914563391464E-4</v>
      </c>
      <c r="J48" s="32"/>
      <c r="K48" s="60">
        <f>G48/$G$51</f>
        <v>0.1238095238095238</v>
      </c>
    </row>
    <row r="49" spans="1:11" x14ac:dyDescent="0.2">
      <c r="A49" s="61" t="s">
        <v>107</v>
      </c>
      <c r="B49" s="29"/>
      <c r="C49" s="30"/>
      <c r="D49" s="30">
        <f>SUM(D47:D48)</f>
        <v>499.34464768793151</v>
      </c>
      <c r="E49" s="30"/>
      <c r="F49" s="30"/>
      <c r="G49" s="30">
        <f>SUM(G47:G48)</f>
        <v>498.98304768793145</v>
      </c>
      <c r="H49" s="30">
        <f>G49-D49</f>
        <v>-0.36160000000006676</v>
      </c>
      <c r="I49" s="33">
        <f>IF(ISERROR(H49/D49),0,(H49/D49))</f>
        <v>-7.2414914563388071E-4</v>
      </c>
      <c r="J49" s="33"/>
      <c r="K49" s="62">
        <f>G49/$G$51</f>
        <v>1.0761904761904761</v>
      </c>
    </row>
    <row r="50" spans="1:11" x14ac:dyDescent="0.2">
      <c r="A50" s="58" t="s">
        <v>104</v>
      </c>
      <c r="B50" s="59"/>
      <c r="C50" s="31">
        <v>-0.08</v>
      </c>
      <c r="D50" s="31">
        <f>D47*C50</f>
        <v>-35.351833464632321</v>
      </c>
      <c r="E50" s="31"/>
      <c r="F50" s="31">
        <f>C50</f>
        <v>-0.08</v>
      </c>
      <c r="G50" s="31">
        <f>G47*F50</f>
        <v>-35.326233464632317</v>
      </c>
      <c r="H50" s="31">
        <f>G50-D50</f>
        <v>2.5600000000004286E-2</v>
      </c>
      <c r="I50" s="32">
        <f>IF(ISERROR(H50/D50),0,(H50/D50))</f>
        <v>-7.2414914563386824E-4</v>
      </c>
      <c r="J50" s="32"/>
      <c r="K50" s="60">
        <f>G50/$G$51</f>
        <v>-7.6190476190476197E-2</v>
      </c>
    </row>
    <row r="51" spans="1:11" ht="13.5" thickBot="1" x14ac:dyDescent="0.25">
      <c r="A51" s="63" t="s">
        <v>116</v>
      </c>
      <c r="B51" s="64"/>
      <c r="C51" s="65"/>
      <c r="D51" s="65">
        <f>SUM(D49:D50)</f>
        <v>463.99281422329921</v>
      </c>
      <c r="E51" s="65"/>
      <c r="F51" s="65"/>
      <c r="G51" s="65">
        <f>SUM(G49:G50)</f>
        <v>463.65681422329914</v>
      </c>
      <c r="H51" s="65">
        <f>G51-D51</f>
        <v>-0.33600000000006958</v>
      </c>
      <c r="I51" s="66">
        <f>IF(ISERROR(H51/D51),0,(H51/D51))</f>
        <v>-7.2414914563389697E-4</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1" tint="0.499984740745262"/>
    <pageSetUpPr fitToPage="1"/>
  </sheetPr>
  <dimension ref="A1:K68"/>
  <sheetViews>
    <sheetView tabSelected="1" view="pageBreakPreview" zoomScaleNormal="100" zoomScaleSheetLayoutView="100" workbookViewId="0">
      <selection activeCell="E1" sqref="E1:E1048576"/>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118</v>
      </c>
      <c r="B1" s="188"/>
      <c r="C1" s="188"/>
      <c r="D1" s="188"/>
      <c r="E1" s="188"/>
      <c r="F1" s="188"/>
      <c r="G1" s="188"/>
      <c r="H1" s="188"/>
      <c r="I1" s="188"/>
      <c r="J1" s="188"/>
      <c r="K1" s="189"/>
    </row>
    <row r="3" spans="1:11" x14ac:dyDescent="0.2">
      <c r="A3" s="13" t="s">
        <v>13</v>
      </c>
      <c r="B3" s="13" t="s">
        <v>3</v>
      </c>
    </row>
    <row r="4" spans="1:11" x14ac:dyDescent="0.2">
      <c r="A4" s="15" t="s">
        <v>62</v>
      </c>
      <c r="B4" s="15">
        <v>50</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5">
        <f>B4*B6</f>
        <v>55.2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50</v>
      </c>
      <c r="C12" s="103">
        <v>0.10299999999999999</v>
      </c>
      <c r="D12" s="104">
        <f>B12*C12</f>
        <v>5.1499999999999995</v>
      </c>
      <c r="E12" s="102">
        <f>B12</f>
        <v>50</v>
      </c>
      <c r="F12" s="103">
        <f>C12</f>
        <v>0.10299999999999999</v>
      </c>
      <c r="G12" s="104">
        <f>E12*F12</f>
        <v>5.1499999999999995</v>
      </c>
      <c r="H12" s="104">
        <f>G12-D12</f>
        <v>0</v>
      </c>
      <c r="I12" s="105">
        <f>IF(ISERROR(H12/D12),0,(H12/D12))</f>
        <v>0</v>
      </c>
      <c r="J12" s="105">
        <f>G12/$G$46</f>
        <v>8.8407077116507332E-2</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5.1499999999999995</v>
      </c>
      <c r="E14" s="76"/>
      <c r="F14" s="25"/>
      <c r="G14" s="25">
        <f>SUM(G12:G13)</f>
        <v>5.1499999999999995</v>
      </c>
      <c r="H14" s="25">
        <f t="shared" si="1"/>
        <v>0</v>
      </c>
      <c r="I14" s="27">
        <f t="shared" si="2"/>
        <v>0</v>
      </c>
      <c r="J14" s="27">
        <f>G14/$G$46</f>
        <v>8.8407077116507332E-2</v>
      </c>
      <c r="K14" s="108"/>
    </row>
    <row r="15" spans="1:11" s="1" customFormat="1" x14ac:dyDescent="0.2">
      <c r="A15" s="109" t="s">
        <v>34</v>
      </c>
      <c r="B15" s="75">
        <f>B4*0.65</f>
        <v>32.5</v>
      </c>
      <c r="C15" s="28">
        <v>8.6999999999999994E-2</v>
      </c>
      <c r="D15" s="22">
        <f>B15*C15</f>
        <v>2.8274999999999997</v>
      </c>
      <c r="E15" s="73">
        <f t="shared" ref="E15:F17" si="3">B15</f>
        <v>32.5</v>
      </c>
      <c r="F15" s="28">
        <f t="shared" si="3"/>
        <v>8.6999999999999994E-2</v>
      </c>
      <c r="G15" s="22">
        <f>E15*F15</f>
        <v>2.8274999999999997</v>
      </c>
      <c r="H15" s="22">
        <f t="shared" si="1"/>
        <v>0</v>
      </c>
      <c r="I15" s="23">
        <f t="shared" si="2"/>
        <v>0</v>
      </c>
      <c r="J15" s="23"/>
      <c r="K15" s="108">
        <f t="shared" ref="K15:K26" si="4">G15/$G$51</f>
        <v>4.8136230428985939E-2</v>
      </c>
    </row>
    <row r="16" spans="1:11" s="1" customFormat="1" x14ac:dyDescent="0.2">
      <c r="A16" s="109" t="s">
        <v>35</v>
      </c>
      <c r="B16" s="75">
        <f>B4*0.17</f>
        <v>8.5</v>
      </c>
      <c r="C16" s="28">
        <v>0.13200000000000001</v>
      </c>
      <c r="D16" s="22">
        <f>B16*C16</f>
        <v>1.1220000000000001</v>
      </c>
      <c r="E16" s="73">
        <f t="shared" si="3"/>
        <v>8.5</v>
      </c>
      <c r="F16" s="28">
        <f t="shared" si="3"/>
        <v>0.13200000000000001</v>
      </c>
      <c r="G16" s="22">
        <f>E16*F16</f>
        <v>1.1220000000000001</v>
      </c>
      <c r="H16" s="22">
        <f t="shared" si="1"/>
        <v>0</v>
      </c>
      <c r="I16" s="23">
        <f t="shared" si="2"/>
        <v>0</v>
      </c>
      <c r="J16" s="23"/>
      <c r="K16" s="108">
        <f t="shared" si="4"/>
        <v>1.9101273400998139E-2</v>
      </c>
    </row>
    <row r="17" spans="1:11" s="1" customFormat="1" x14ac:dyDescent="0.2">
      <c r="A17" s="109" t="s">
        <v>36</v>
      </c>
      <c r="B17" s="75">
        <f>B4*0.18</f>
        <v>9</v>
      </c>
      <c r="C17" s="28">
        <v>0.18</v>
      </c>
      <c r="D17" s="22">
        <f>B17*C17</f>
        <v>1.6199999999999999</v>
      </c>
      <c r="E17" s="73">
        <f t="shared" si="3"/>
        <v>9</v>
      </c>
      <c r="F17" s="28">
        <f t="shared" si="3"/>
        <v>0.18</v>
      </c>
      <c r="G17" s="22">
        <f>E17*F17</f>
        <v>1.6199999999999999</v>
      </c>
      <c r="H17" s="22">
        <f t="shared" si="1"/>
        <v>0</v>
      </c>
      <c r="I17" s="23">
        <f t="shared" si="2"/>
        <v>0</v>
      </c>
      <c r="J17" s="23"/>
      <c r="K17" s="108">
        <f t="shared" si="4"/>
        <v>2.757937870732351E-2</v>
      </c>
    </row>
    <row r="18" spans="1:11" s="1" customFormat="1" x14ac:dyDescent="0.2">
      <c r="A18" s="61" t="s">
        <v>37</v>
      </c>
      <c r="B18" s="29"/>
      <c r="C18" s="30"/>
      <c r="D18" s="30">
        <f>SUM(D15:D17)</f>
        <v>5.5694999999999997</v>
      </c>
      <c r="E18" s="77"/>
      <c r="F18" s="30"/>
      <c r="G18" s="30">
        <f>SUM(G15:G17)</f>
        <v>5.5694999999999997</v>
      </c>
      <c r="H18" s="31">
        <f t="shared" si="1"/>
        <v>0</v>
      </c>
      <c r="I18" s="32">
        <f t="shared" si="2"/>
        <v>0</v>
      </c>
      <c r="J18" s="33">
        <f t="shared" ref="J18:J26" si="5">G18/$G$46</f>
        <v>9.560839145638593E-2</v>
      </c>
      <c r="K18" s="62">
        <f t="shared" si="4"/>
        <v>9.4816882537307592E-2</v>
      </c>
    </row>
    <row r="19" spans="1:11" x14ac:dyDescent="0.2">
      <c r="A19" s="107" t="s">
        <v>38</v>
      </c>
      <c r="B19" s="73">
        <v>1</v>
      </c>
      <c r="C19" s="78">
        <f>VLOOKUP($B$3,'Data for Bill Impacts'!$A$3:$Y$15,7,0)</f>
        <v>40.57</v>
      </c>
      <c r="D19" s="22">
        <f>B19*C19</f>
        <v>40.57</v>
      </c>
      <c r="E19" s="73">
        <f t="shared" ref="E19:E41" si="6">B19</f>
        <v>1</v>
      </c>
      <c r="F19" s="78">
        <f>VLOOKUP($B$3,'Data for Bill Impacts'!$A$3:$Y$15,17,0)</f>
        <v>45.14</v>
      </c>
      <c r="G19" s="22">
        <f>E19*F19</f>
        <v>45.14</v>
      </c>
      <c r="H19" s="22">
        <f t="shared" si="1"/>
        <v>4.57</v>
      </c>
      <c r="I19" s="23">
        <f t="shared" si="2"/>
        <v>0.11264481143702244</v>
      </c>
      <c r="J19" s="23">
        <f t="shared" si="5"/>
        <v>0.77489232253187212</v>
      </c>
      <c r="K19" s="108">
        <f t="shared" si="4"/>
        <v>0.76847725607937245</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50</v>
      </c>
      <c r="C23" s="78">
        <f>VLOOKUP($B$3,'Data for Bill Impacts'!$A$3:$Y$15,10,0)</f>
        <v>6.08E-2</v>
      </c>
      <c r="D23" s="22">
        <f>B23*C23</f>
        <v>3.04</v>
      </c>
      <c r="E23" s="73">
        <f t="shared" si="6"/>
        <v>50</v>
      </c>
      <c r="F23" s="126">
        <f>VLOOKUP($B$3,'Data for Bill Impacts'!$A$3:$Y$15,19,0)</f>
        <v>5.2999999999999999E-2</v>
      </c>
      <c r="G23" s="22">
        <f>E23*F23</f>
        <v>2.65</v>
      </c>
      <c r="H23" s="22">
        <f t="shared" si="1"/>
        <v>-0.39000000000000012</v>
      </c>
      <c r="I23" s="23">
        <f t="shared" si="2"/>
        <v>-0.12828947368421056</v>
      </c>
      <c r="J23" s="23">
        <f t="shared" si="5"/>
        <v>4.5491020263833871E-2</v>
      </c>
      <c r="K23" s="108">
        <f t="shared" si="4"/>
        <v>4.5114415786671178E-2</v>
      </c>
    </row>
    <row r="24" spans="1:11" x14ac:dyDescent="0.2">
      <c r="A24" s="107" t="s">
        <v>122</v>
      </c>
      <c r="B24" s="73">
        <f>IF($B$9="kWh",$B$4,$B$5)</f>
        <v>50</v>
      </c>
      <c r="C24" s="126">
        <f>VLOOKUP($B$3,'Data for Bill Impacts'!$A$3:$Y$15,14,0)</f>
        <v>2.0000000000000001E-4</v>
      </c>
      <c r="D24" s="22">
        <f>B24*C24</f>
        <v>0.01</v>
      </c>
      <c r="E24" s="73">
        <f>B24</f>
        <v>50</v>
      </c>
      <c r="F24" s="126">
        <f>VLOOKUP($B$3,'Data for Bill Impacts'!$A$3:$Y$15,23,0)</f>
        <v>2.0000000000000001E-4</v>
      </c>
      <c r="G24" s="22">
        <f>E24*F24</f>
        <v>0.01</v>
      </c>
      <c r="H24" s="22">
        <f>G24-D24</f>
        <v>0</v>
      </c>
      <c r="I24" s="23">
        <f>IF(ISERROR(H24/D24),0,(H24/D24))</f>
        <v>0</v>
      </c>
      <c r="J24" s="23">
        <f t="shared" si="5"/>
        <v>1.7166422741069385E-4</v>
      </c>
      <c r="K24" s="108">
        <f t="shared" si="4"/>
        <v>1.7024307844026859E-4</v>
      </c>
    </row>
    <row r="25" spans="1:11" s="1" customFormat="1" x14ac:dyDescent="0.2">
      <c r="A25" s="110" t="s">
        <v>72</v>
      </c>
      <c r="B25" s="74"/>
      <c r="C25" s="35"/>
      <c r="D25" s="35">
        <f>SUM(D19:D24)</f>
        <v>43.62</v>
      </c>
      <c r="E25" s="73"/>
      <c r="F25" s="35"/>
      <c r="G25" s="35">
        <f>SUM(G19:G24)</f>
        <v>47.8</v>
      </c>
      <c r="H25" s="35">
        <f t="shared" si="1"/>
        <v>4.18</v>
      </c>
      <c r="I25" s="36">
        <f t="shared" si="2"/>
        <v>9.58276020174232E-2</v>
      </c>
      <c r="J25" s="36">
        <f t="shared" si="5"/>
        <v>0.82055500702311657</v>
      </c>
      <c r="K25" s="111">
        <f t="shared" si="4"/>
        <v>0.8137619149444838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1.3561473965444815E-2</v>
      </c>
      <c r="K26" s="108">
        <f t="shared" si="4"/>
        <v>1.344920319678122E-2</v>
      </c>
    </row>
    <row r="27" spans="1:11" s="1" customFormat="1" x14ac:dyDescent="0.2">
      <c r="A27" s="119" t="s">
        <v>75</v>
      </c>
      <c r="B27" s="120">
        <f>B8-B4</f>
        <v>5.2000000000000028</v>
      </c>
      <c r="C27" s="121">
        <f>IF(B4&gt;B7,C13,C12)</f>
        <v>0.10299999999999999</v>
      </c>
      <c r="D27" s="22">
        <f>B27*C27</f>
        <v>0.5356000000000003</v>
      </c>
      <c r="E27" s="73">
        <f>B27</f>
        <v>5.2000000000000028</v>
      </c>
      <c r="F27" s="121">
        <f>C27</f>
        <v>0.10299999999999999</v>
      </c>
      <c r="G27" s="22">
        <f>E27*F27</f>
        <v>0.5356000000000003</v>
      </c>
      <c r="H27" s="22">
        <f t="shared" si="1"/>
        <v>0</v>
      </c>
      <c r="I27" s="23">
        <f>IF(ISERROR(H27/D27),0,(H27/D27))</f>
        <v>0</v>
      </c>
      <c r="J27" s="23">
        <f t="shared" ref="J27:J46" si="9">G27/$G$46</f>
        <v>9.1943360201167685E-3</v>
      </c>
      <c r="K27" s="108">
        <f t="shared" ref="K27:K41" si="10">G27/$G$51</f>
        <v>9.118219281260791E-3</v>
      </c>
    </row>
    <row r="28" spans="1:11" s="1" customFormat="1" x14ac:dyDescent="0.2">
      <c r="A28" s="119" t="s">
        <v>74</v>
      </c>
      <c r="B28" s="120">
        <f>B8-B4</f>
        <v>5.2000000000000028</v>
      </c>
      <c r="C28" s="121">
        <f>0.65*C15+0.17*C16+0.18*C17</f>
        <v>0.11139</v>
      </c>
      <c r="D28" s="22">
        <f>B28*C28</f>
        <v>0.5792280000000003</v>
      </c>
      <c r="E28" s="73">
        <f>B28</f>
        <v>5.2000000000000028</v>
      </c>
      <c r="F28" s="121">
        <f>C28</f>
        <v>0.11139</v>
      </c>
      <c r="G28" s="22">
        <f>E28*F28</f>
        <v>0.5792280000000003</v>
      </c>
      <c r="H28" s="22">
        <f t="shared" si="1"/>
        <v>0</v>
      </c>
      <c r="I28" s="23">
        <f>IF(ISERROR(H28/D28),0,(H28/D28))</f>
        <v>0</v>
      </c>
      <c r="J28" s="23">
        <f t="shared" si="9"/>
        <v>9.9432727114641423E-3</v>
      </c>
      <c r="K28" s="108">
        <f t="shared" si="10"/>
        <v>9.860955783879995E-3</v>
      </c>
    </row>
    <row r="29" spans="1:11" s="1" customFormat="1" x14ac:dyDescent="0.2">
      <c r="A29" s="110" t="s">
        <v>78</v>
      </c>
      <c r="B29" s="74"/>
      <c r="C29" s="35"/>
      <c r="D29" s="35">
        <f>SUM(D25,D26:D27)</f>
        <v>44.945599999999999</v>
      </c>
      <c r="E29" s="73"/>
      <c r="F29" s="35"/>
      <c r="G29" s="35">
        <f>SUM(G25,G26:G27)</f>
        <v>49.125599999999999</v>
      </c>
      <c r="H29" s="35">
        <f t="shared" si="1"/>
        <v>4.18</v>
      </c>
      <c r="I29" s="36">
        <f>IF(ISERROR(H29/D29),0,(H29/D29))</f>
        <v>9.3001317147840948E-2</v>
      </c>
      <c r="J29" s="36">
        <f t="shared" si="9"/>
        <v>0.84331081700867816</v>
      </c>
      <c r="K29" s="111">
        <f t="shared" si="10"/>
        <v>0.83632933742252591</v>
      </c>
    </row>
    <row r="30" spans="1:11" s="1" customFormat="1" x14ac:dyDescent="0.2">
      <c r="A30" s="110" t="s">
        <v>77</v>
      </c>
      <c r="B30" s="74"/>
      <c r="C30" s="35"/>
      <c r="D30" s="35">
        <f>SUM(D25,D26,D28)</f>
        <v>44.989227999999997</v>
      </c>
      <c r="E30" s="73"/>
      <c r="F30" s="35"/>
      <c r="G30" s="35">
        <f>SUM(G25,G26,G28)</f>
        <v>49.169227999999997</v>
      </c>
      <c r="H30" s="35">
        <f t="shared" si="1"/>
        <v>4.18</v>
      </c>
      <c r="I30" s="36">
        <f>IF(ISERROR(H30/D30),0,(H30/D30))</f>
        <v>9.2911129748658949E-2</v>
      </c>
      <c r="J30" s="36">
        <f t="shared" si="9"/>
        <v>0.84405975370002551</v>
      </c>
      <c r="K30" s="111">
        <f t="shared" si="10"/>
        <v>0.83707207392514504</v>
      </c>
    </row>
    <row r="31" spans="1:11" x14ac:dyDescent="0.2">
      <c r="A31" s="107" t="s">
        <v>40</v>
      </c>
      <c r="B31" s="73">
        <f>B8</f>
        <v>55.2</v>
      </c>
      <c r="C31" s="126">
        <f>VLOOKUP($B$3,'Data for Bill Impacts'!$A$3:$Y$15,15,0)</f>
        <v>5.6559999999999996E-3</v>
      </c>
      <c r="D31" s="22">
        <f>B31*C31</f>
        <v>0.31221119999999997</v>
      </c>
      <c r="E31" s="73">
        <f t="shared" si="6"/>
        <v>55.2</v>
      </c>
      <c r="F31" s="126">
        <f>VLOOKUP($B$3,'Data for Bill Impacts'!$A$3:$Y$15,24,0)</f>
        <v>5.6559999999999996E-3</v>
      </c>
      <c r="G31" s="22">
        <f>E31*F31</f>
        <v>0.31221119999999997</v>
      </c>
      <c r="H31" s="22">
        <f t="shared" si="1"/>
        <v>0</v>
      </c>
      <c r="I31" s="23">
        <f t="shared" si="2"/>
        <v>0</v>
      </c>
      <c r="J31" s="23">
        <f t="shared" si="9"/>
        <v>5.3595494436965612E-3</v>
      </c>
      <c r="K31" s="108">
        <f t="shared" si="10"/>
        <v>5.3151795811530378E-3</v>
      </c>
    </row>
    <row r="32" spans="1:11" x14ac:dyDescent="0.2">
      <c r="A32" s="107" t="s">
        <v>41</v>
      </c>
      <c r="B32" s="73">
        <f>B8</f>
        <v>55.2</v>
      </c>
      <c r="C32" s="126">
        <f>VLOOKUP($B$3,'Data for Bill Impacts'!$A$3:$Y$15,16,0)</f>
        <v>4.8209999999999998E-3</v>
      </c>
      <c r="D32" s="22">
        <f>B32*C32</f>
        <v>0.2661192</v>
      </c>
      <c r="E32" s="73">
        <f t="shared" si="6"/>
        <v>55.2</v>
      </c>
      <c r="F32" s="126">
        <f>VLOOKUP($B$3,'Data for Bill Impacts'!$A$3:$Y$15,25,0)</f>
        <v>4.8209999999999998E-3</v>
      </c>
      <c r="G32" s="22">
        <f>E32*F32</f>
        <v>0.2661192</v>
      </c>
      <c r="H32" s="22">
        <f t="shared" si="1"/>
        <v>0</v>
      </c>
      <c r="I32" s="23">
        <f t="shared" si="2"/>
        <v>0</v>
      </c>
      <c r="J32" s="23">
        <f t="shared" si="9"/>
        <v>4.5683146867151921E-3</v>
      </c>
      <c r="K32" s="108">
        <f t="shared" si="10"/>
        <v>4.530495184006153E-3</v>
      </c>
    </row>
    <row r="33" spans="1:11" s="1" customFormat="1" x14ac:dyDescent="0.2">
      <c r="A33" s="110" t="s">
        <v>76</v>
      </c>
      <c r="B33" s="74"/>
      <c r="C33" s="35"/>
      <c r="D33" s="35">
        <f>SUM(D31:D32)</f>
        <v>0.57833040000000002</v>
      </c>
      <c r="E33" s="73"/>
      <c r="F33" s="35"/>
      <c r="G33" s="35">
        <f>SUM(G31:G32)</f>
        <v>0.57833040000000002</v>
      </c>
      <c r="H33" s="35">
        <f t="shared" si="1"/>
        <v>0</v>
      </c>
      <c r="I33" s="36">
        <f t="shared" si="2"/>
        <v>0</v>
      </c>
      <c r="J33" s="36">
        <f t="shared" si="9"/>
        <v>9.9278641304117541E-3</v>
      </c>
      <c r="K33" s="111">
        <f t="shared" si="10"/>
        <v>9.8456747651591917E-3</v>
      </c>
    </row>
    <row r="34" spans="1:11" s="1" customFormat="1" x14ac:dyDescent="0.2">
      <c r="A34" s="110" t="s">
        <v>91</v>
      </c>
      <c r="B34" s="74"/>
      <c r="C34" s="35"/>
      <c r="D34" s="35">
        <f>D29+D33</f>
        <v>45.523930399999998</v>
      </c>
      <c r="E34" s="73"/>
      <c r="F34" s="35"/>
      <c r="G34" s="35">
        <f>G29+G33</f>
        <v>49.703930399999997</v>
      </c>
      <c r="H34" s="35">
        <f t="shared" si="1"/>
        <v>4.18</v>
      </c>
      <c r="I34" s="36">
        <f t="shared" si="2"/>
        <v>9.1819839879203405E-2</v>
      </c>
      <c r="J34" s="36">
        <f t="shared" si="9"/>
        <v>0.85323868113908996</v>
      </c>
      <c r="K34" s="111">
        <f t="shared" si="10"/>
        <v>0.84617501218768498</v>
      </c>
    </row>
    <row r="35" spans="1:11" s="1" customFormat="1" x14ac:dyDescent="0.2">
      <c r="A35" s="110" t="s">
        <v>92</v>
      </c>
      <c r="B35" s="74"/>
      <c r="C35" s="35"/>
      <c r="D35" s="35">
        <f>D30+D33</f>
        <v>45.567558399999996</v>
      </c>
      <c r="E35" s="73"/>
      <c r="F35" s="35"/>
      <c r="G35" s="35">
        <f>G30+G33</f>
        <v>49.747558399999996</v>
      </c>
      <c r="H35" s="35">
        <f t="shared" si="1"/>
        <v>4.18</v>
      </c>
      <c r="I35" s="36">
        <f t="shared" si="2"/>
        <v>9.1731928300990556E-2</v>
      </c>
      <c r="J35" s="36">
        <f t="shared" si="9"/>
        <v>0.85398761783043731</v>
      </c>
      <c r="K35" s="111">
        <f t="shared" si="10"/>
        <v>0.84691774869030423</v>
      </c>
    </row>
    <row r="36" spans="1:11" x14ac:dyDescent="0.2">
      <c r="A36" s="107" t="s">
        <v>42</v>
      </c>
      <c r="B36" s="73">
        <f>B8</f>
        <v>55.2</v>
      </c>
      <c r="C36" s="34">
        <v>3.5999999999999999E-3</v>
      </c>
      <c r="D36" s="22">
        <f>B36*C36</f>
        <v>0.19872000000000001</v>
      </c>
      <c r="E36" s="73">
        <f t="shared" si="6"/>
        <v>55.2</v>
      </c>
      <c r="F36" s="34">
        <v>3.5999999999999999E-3</v>
      </c>
      <c r="G36" s="22">
        <f>E36*F36</f>
        <v>0.19872000000000001</v>
      </c>
      <c r="H36" s="22">
        <f t="shared" si="1"/>
        <v>0</v>
      </c>
      <c r="I36" s="23">
        <f t="shared" si="2"/>
        <v>0</v>
      </c>
      <c r="J36" s="23">
        <f t="shared" si="9"/>
        <v>3.4113115271053084E-3</v>
      </c>
      <c r="K36" s="108">
        <f t="shared" si="10"/>
        <v>3.3830704547650175E-3</v>
      </c>
    </row>
    <row r="37" spans="1:11" x14ac:dyDescent="0.2">
      <c r="A37" s="107" t="s">
        <v>43</v>
      </c>
      <c r="B37" s="73">
        <f>B8</f>
        <v>55.2</v>
      </c>
      <c r="C37" s="34">
        <v>2.0999999999999999E-3</v>
      </c>
      <c r="D37" s="22">
        <f>B37*C37</f>
        <v>0.11592</v>
      </c>
      <c r="E37" s="73">
        <f t="shared" si="6"/>
        <v>55.2</v>
      </c>
      <c r="F37" s="34">
        <v>2.0999999999999999E-3</v>
      </c>
      <c r="G37" s="22">
        <f>E37*F37</f>
        <v>0.11592</v>
      </c>
      <c r="H37" s="22">
        <f>G37-D37</f>
        <v>0</v>
      </c>
      <c r="I37" s="23">
        <f t="shared" si="2"/>
        <v>0</v>
      </c>
      <c r="J37" s="23">
        <f t="shared" si="9"/>
        <v>1.9899317241447632E-3</v>
      </c>
      <c r="K37" s="108">
        <f t="shared" si="10"/>
        <v>1.9734577652795937E-3</v>
      </c>
    </row>
    <row r="38" spans="1:11" x14ac:dyDescent="0.2">
      <c r="A38" s="107" t="s">
        <v>96</v>
      </c>
      <c r="B38" s="73">
        <f>B8</f>
        <v>55.2</v>
      </c>
      <c r="C38" s="34">
        <v>1.1000000000000001E-3</v>
      </c>
      <c r="D38" s="22">
        <f>B38*C38</f>
        <v>6.072000000000001E-2</v>
      </c>
      <c r="E38" s="73">
        <f t="shared" si="6"/>
        <v>55.2</v>
      </c>
      <c r="F38" s="34">
        <v>1.1000000000000001E-3</v>
      </c>
      <c r="G38" s="22">
        <f>E38*F38</f>
        <v>6.072000000000001E-2</v>
      </c>
      <c r="H38" s="22">
        <f>G38-D38</f>
        <v>0</v>
      </c>
      <c r="I38" s="23">
        <f t="shared" ref="I38" si="11">IF(ISERROR(H38/D38),0,(H38/D38))</f>
        <v>0</v>
      </c>
      <c r="J38" s="23">
        <f t="shared" ref="J38" si="12">G38/$G$46</f>
        <v>1.0423451888377333E-3</v>
      </c>
      <c r="K38" s="108">
        <f t="shared" ref="K38" si="13">G38/$G$51</f>
        <v>1.0337159722893111E-3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4.2916056852673468E-3</v>
      </c>
      <c r="K39" s="108">
        <f t="shared" si="10"/>
        <v>4.2560769610067153E-3</v>
      </c>
    </row>
    <row r="40" spans="1:11" s="1" customFormat="1" x14ac:dyDescent="0.2">
      <c r="A40" s="110" t="s">
        <v>45</v>
      </c>
      <c r="B40" s="74"/>
      <c r="C40" s="35"/>
      <c r="D40" s="35">
        <f>SUM(D36:D39)</f>
        <v>0.62536000000000003</v>
      </c>
      <c r="E40" s="73"/>
      <c r="F40" s="35"/>
      <c r="G40" s="35">
        <f>SUM(G36:G39)</f>
        <v>0.62536000000000003</v>
      </c>
      <c r="H40" s="35">
        <f t="shared" si="1"/>
        <v>0</v>
      </c>
      <c r="I40" s="36">
        <f t="shared" si="2"/>
        <v>0</v>
      </c>
      <c r="J40" s="36">
        <f t="shared" si="9"/>
        <v>1.0735194125355152E-2</v>
      </c>
      <c r="K40" s="111">
        <f t="shared" si="10"/>
        <v>1.0646321153340637E-2</v>
      </c>
    </row>
    <row r="41" spans="1:11" s="1" customFormat="1" ht="13.5" thickBot="1" x14ac:dyDescent="0.25">
      <c r="A41" s="112" t="s">
        <v>46</v>
      </c>
      <c r="B41" s="113">
        <f>B4</f>
        <v>50</v>
      </c>
      <c r="C41" s="114">
        <v>0</v>
      </c>
      <c r="D41" s="115">
        <f>B41*C41</f>
        <v>0</v>
      </c>
      <c r="E41" s="116">
        <f t="shared" si="6"/>
        <v>50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51.299290399999997</v>
      </c>
      <c r="E42" s="38"/>
      <c r="F42" s="39"/>
      <c r="G42" s="39">
        <f>SUM(G14,G25,G26,G27,G33,G40,G41)</f>
        <v>55.479290399999996</v>
      </c>
      <c r="H42" s="39">
        <f t="shared" si="1"/>
        <v>4.18</v>
      </c>
      <c r="I42" s="40">
        <f>IF(ISERROR(H42/D42),0,(H42/D42))</f>
        <v>8.1482608578149068E-2</v>
      </c>
      <c r="J42" s="40">
        <f t="shared" si="9"/>
        <v>0.95238095238095233</v>
      </c>
      <c r="K42" s="41"/>
    </row>
    <row r="43" spans="1:11" x14ac:dyDescent="0.2">
      <c r="A43" s="155" t="s">
        <v>102</v>
      </c>
      <c r="B43" s="43"/>
      <c r="C43" s="26">
        <v>0.13</v>
      </c>
      <c r="D43" s="26">
        <f>D42*C43</f>
        <v>6.668907752</v>
      </c>
      <c r="E43" s="26"/>
      <c r="F43" s="26">
        <f>C43</f>
        <v>0.13</v>
      </c>
      <c r="G43" s="26">
        <f>G42*F43</f>
        <v>7.2123077520000001</v>
      </c>
      <c r="H43" s="26">
        <f t="shared" si="1"/>
        <v>0.54340000000000011</v>
      </c>
      <c r="I43" s="44">
        <f t="shared" si="2"/>
        <v>8.1482608578149082E-2</v>
      </c>
      <c r="J43" s="44">
        <f t="shared" si="9"/>
        <v>0.12380952380952381</v>
      </c>
      <c r="K43" s="45"/>
    </row>
    <row r="44" spans="1:11" s="1" customFormat="1" x14ac:dyDescent="0.2">
      <c r="A44" s="46" t="s">
        <v>103</v>
      </c>
      <c r="B44" s="24"/>
      <c r="C44" s="25"/>
      <c r="D44" s="25">
        <f>SUM(D42:D43)</f>
        <v>57.968198151999999</v>
      </c>
      <c r="E44" s="25"/>
      <c r="F44" s="25"/>
      <c r="G44" s="25">
        <f>SUM(G42:G43)</f>
        <v>62.691598151999997</v>
      </c>
      <c r="H44" s="25">
        <f t="shared" si="1"/>
        <v>4.723399999999998</v>
      </c>
      <c r="I44" s="27">
        <f t="shared" si="2"/>
        <v>8.1482608578149027E-2</v>
      </c>
      <c r="J44" s="27">
        <f t="shared" si="9"/>
        <v>1.0761904761904761</v>
      </c>
      <c r="K44" s="47"/>
    </row>
    <row r="45" spans="1:11" x14ac:dyDescent="0.2">
      <c r="A45" s="42" t="s">
        <v>104</v>
      </c>
      <c r="B45" s="43"/>
      <c r="C45" s="26">
        <v>-0.08</v>
      </c>
      <c r="D45" s="26">
        <f>D42*C45</f>
        <v>-4.1039432319999998</v>
      </c>
      <c r="E45" s="26"/>
      <c r="F45" s="26">
        <f>C45</f>
        <v>-0.08</v>
      </c>
      <c r="G45" s="26">
        <f>G42*F45</f>
        <v>-4.4383432320000002</v>
      </c>
      <c r="H45" s="26">
        <f t="shared" si="1"/>
        <v>-0.33440000000000047</v>
      </c>
      <c r="I45" s="44">
        <f t="shared" si="2"/>
        <v>8.1482608578149179E-2</v>
      </c>
      <c r="J45" s="44">
        <f t="shared" si="9"/>
        <v>-7.6190476190476197E-2</v>
      </c>
      <c r="K45" s="45"/>
    </row>
    <row r="46" spans="1:11" s="1" customFormat="1" ht="13.5" thickBot="1" x14ac:dyDescent="0.25">
      <c r="A46" s="48" t="s">
        <v>105</v>
      </c>
      <c r="B46" s="49"/>
      <c r="C46" s="50"/>
      <c r="D46" s="50">
        <f>SUM(D44:D45)</f>
        <v>53.86425492</v>
      </c>
      <c r="E46" s="50"/>
      <c r="F46" s="50"/>
      <c r="G46" s="50">
        <f>SUM(G44:G45)</f>
        <v>58.253254919999996</v>
      </c>
      <c r="H46" s="50">
        <f t="shared" si="1"/>
        <v>4.3889999999999958</v>
      </c>
      <c r="I46" s="51">
        <f t="shared" si="2"/>
        <v>8.1482608578148985E-2</v>
      </c>
      <c r="J46" s="51">
        <f t="shared" si="9"/>
        <v>1</v>
      </c>
      <c r="K46" s="52"/>
    </row>
    <row r="47" spans="1:11" x14ac:dyDescent="0.2">
      <c r="A47" s="53" t="s">
        <v>106</v>
      </c>
      <c r="B47" s="54"/>
      <c r="C47" s="55"/>
      <c r="D47" s="55">
        <f>SUM(D18,D25,D26,D28,D33,D40,D41)</f>
        <v>51.762418399999994</v>
      </c>
      <c r="E47" s="55"/>
      <c r="F47" s="55"/>
      <c r="G47" s="55">
        <f>SUM(G18,G25,G26,G28,G33,G40,G41)</f>
        <v>55.942418399999994</v>
      </c>
      <c r="H47" s="55">
        <f>G47-D47</f>
        <v>4.18</v>
      </c>
      <c r="I47" s="56">
        <f>IF(ISERROR(H47/D47),0,(H47/D47))</f>
        <v>8.0753568500192024E-2</v>
      </c>
      <c r="J47" s="56"/>
      <c r="K47" s="57">
        <f>G47/$G$51</f>
        <v>0.95238095238095244</v>
      </c>
    </row>
    <row r="48" spans="1:11" x14ac:dyDescent="0.2">
      <c r="A48" s="156" t="s">
        <v>102</v>
      </c>
      <c r="B48" s="59"/>
      <c r="C48" s="31">
        <v>0.13</v>
      </c>
      <c r="D48" s="31">
        <f>D47*C48</f>
        <v>6.7291143919999996</v>
      </c>
      <c r="E48" s="31"/>
      <c r="F48" s="31">
        <f>C48</f>
        <v>0.13</v>
      </c>
      <c r="G48" s="31">
        <f>G47*F48</f>
        <v>7.2725143919999997</v>
      </c>
      <c r="H48" s="31">
        <f>G48-D48</f>
        <v>0.54340000000000011</v>
      </c>
      <c r="I48" s="32">
        <f>IF(ISERROR(H48/D48),0,(H48/D48))</f>
        <v>8.0753568500192038E-2</v>
      </c>
      <c r="J48" s="32"/>
      <c r="K48" s="60">
        <f>G48/$G$51</f>
        <v>0.12380952380952383</v>
      </c>
    </row>
    <row r="49" spans="1:11" x14ac:dyDescent="0.2">
      <c r="A49" s="61" t="s">
        <v>107</v>
      </c>
      <c r="B49" s="29"/>
      <c r="C49" s="30"/>
      <c r="D49" s="30">
        <f>SUM(D47:D48)</f>
        <v>58.491532791999994</v>
      </c>
      <c r="E49" s="30"/>
      <c r="F49" s="30"/>
      <c r="G49" s="30">
        <f>SUM(G47:G48)</f>
        <v>63.214932791999992</v>
      </c>
      <c r="H49" s="30">
        <f>G49-D49</f>
        <v>4.723399999999998</v>
      </c>
      <c r="I49" s="33">
        <f>IF(ISERROR(H49/D49),0,(H49/D49))</f>
        <v>8.0753568500191997E-2</v>
      </c>
      <c r="J49" s="33"/>
      <c r="K49" s="62">
        <f>G49/$G$51</f>
        <v>1.0761904761904761</v>
      </c>
    </row>
    <row r="50" spans="1:11" x14ac:dyDescent="0.2">
      <c r="A50" s="58" t="s">
        <v>104</v>
      </c>
      <c r="B50" s="59"/>
      <c r="C50" s="31">
        <v>-0.08</v>
      </c>
      <c r="D50" s="31">
        <f>D47*C50</f>
        <v>-4.1409934719999999</v>
      </c>
      <c r="E50" s="31"/>
      <c r="F50" s="31">
        <f>C50</f>
        <v>-0.08</v>
      </c>
      <c r="G50" s="31">
        <f>G47*F50</f>
        <v>-4.4753934719999995</v>
      </c>
      <c r="H50" s="31">
        <f>G50-D50</f>
        <v>-0.33439999999999959</v>
      </c>
      <c r="I50" s="32">
        <f>IF(ISERROR(H50/D50),0,(H50/D50))</f>
        <v>8.0753568500191927E-2</v>
      </c>
      <c r="J50" s="32"/>
      <c r="K50" s="60">
        <f>G50/$G$51</f>
        <v>-7.6190476190476197E-2</v>
      </c>
    </row>
    <row r="51" spans="1:11" ht="13.5" thickBot="1" x14ac:dyDescent="0.25">
      <c r="A51" s="63" t="s">
        <v>116</v>
      </c>
      <c r="B51" s="64"/>
      <c r="C51" s="65"/>
      <c r="D51" s="65">
        <f>SUM(D49:D50)</f>
        <v>54.350539319999996</v>
      </c>
      <c r="E51" s="65"/>
      <c r="F51" s="65"/>
      <c r="G51" s="65">
        <f>SUM(G49:G50)</f>
        <v>58.739539319999992</v>
      </c>
      <c r="H51" s="65">
        <f>G51-D51</f>
        <v>4.3889999999999958</v>
      </c>
      <c r="I51" s="66">
        <f>IF(ISERROR(H51/D51),0,(H51/D51))</f>
        <v>8.0753568500191955E-2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1" tint="0.499984740745262"/>
    <pageSetUpPr fitToPage="1"/>
  </sheetPr>
  <dimension ref="A1:K68"/>
  <sheetViews>
    <sheetView tabSelected="1" view="pageBreakPreview" topLeftCell="A19" zoomScaleNormal="100" zoomScaleSheetLayoutView="100" workbookViewId="0">
      <selection activeCell="E1" sqref="E1:E1048576"/>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119</v>
      </c>
      <c r="B1" s="188"/>
      <c r="C1" s="188"/>
      <c r="D1" s="188"/>
      <c r="E1" s="188"/>
      <c r="F1" s="188"/>
      <c r="G1" s="188"/>
      <c r="H1" s="188"/>
      <c r="I1" s="188"/>
      <c r="J1" s="188"/>
      <c r="K1" s="189"/>
    </row>
    <row r="3" spans="1:11" x14ac:dyDescent="0.2">
      <c r="A3" s="13" t="s">
        <v>13</v>
      </c>
      <c r="B3" s="13" t="s">
        <v>3</v>
      </c>
    </row>
    <row r="4" spans="1:11" x14ac:dyDescent="0.2">
      <c r="A4" s="15" t="s">
        <v>62</v>
      </c>
      <c r="B4" s="15">
        <v>350</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5">
        <f>B4*B6</f>
        <v>386.40000000000003</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350</v>
      </c>
      <c r="C12" s="103">
        <v>0.10299999999999999</v>
      </c>
      <c r="D12" s="104">
        <f>B12*C12</f>
        <v>36.049999999999997</v>
      </c>
      <c r="E12" s="102">
        <f>B12</f>
        <v>350</v>
      </c>
      <c r="F12" s="103">
        <f>C12</f>
        <v>0.10299999999999999</v>
      </c>
      <c r="G12" s="104">
        <f>E12*F12</f>
        <v>36.049999999999997</v>
      </c>
      <c r="H12" s="104">
        <f>G12-D12</f>
        <v>0</v>
      </c>
      <c r="I12" s="105">
        <f>IF(ISERROR(H12/D12),0,(H12/D12))</f>
        <v>0</v>
      </c>
      <c r="J12" s="105">
        <f>G12/$G$46</f>
        <v>0.30854480532971207</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36.049999999999997</v>
      </c>
      <c r="E14" s="76"/>
      <c r="F14" s="25"/>
      <c r="G14" s="25">
        <f>SUM(G12:G13)</f>
        <v>36.049999999999997</v>
      </c>
      <c r="H14" s="25">
        <f t="shared" si="1"/>
        <v>0</v>
      </c>
      <c r="I14" s="27">
        <f t="shared" si="2"/>
        <v>0</v>
      </c>
      <c r="J14" s="27">
        <f>G14/$G$46</f>
        <v>0.30854480532971207</v>
      </c>
      <c r="K14" s="108"/>
    </row>
    <row r="15" spans="1:11" s="1" customFormat="1" x14ac:dyDescent="0.2">
      <c r="A15" s="109" t="s">
        <v>34</v>
      </c>
      <c r="B15" s="75">
        <f>B4*0.65</f>
        <v>227.5</v>
      </c>
      <c r="C15" s="28">
        <v>8.6999999999999994E-2</v>
      </c>
      <c r="D15" s="22">
        <f>B15*C15</f>
        <v>19.792499999999997</v>
      </c>
      <c r="E15" s="73">
        <f t="shared" ref="E15:F17" si="3">B15</f>
        <v>227.5</v>
      </c>
      <c r="F15" s="28">
        <f t="shared" si="3"/>
        <v>8.6999999999999994E-2</v>
      </c>
      <c r="G15" s="22">
        <f>E15*F15</f>
        <v>19.792499999999997</v>
      </c>
      <c r="H15" s="22">
        <f t="shared" si="1"/>
        <v>0</v>
      </c>
      <c r="I15" s="23">
        <f t="shared" si="2"/>
        <v>0</v>
      </c>
      <c r="J15" s="23"/>
      <c r="K15" s="108">
        <f t="shared" ref="K15:K26" si="4">G15/$G$51</f>
        <v>0.16460448422364601</v>
      </c>
    </row>
    <row r="16" spans="1:11" s="1" customFormat="1" x14ac:dyDescent="0.2">
      <c r="A16" s="109" t="s">
        <v>35</v>
      </c>
      <c r="B16" s="75">
        <f>B4*0.17</f>
        <v>59.500000000000007</v>
      </c>
      <c r="C16" s="28">
        <v>0.13200000000000001</v>
      </c>
      <c r="D16" s="22">
        <f>B16*C16</f>
        <v>7.854000000000001</v>
      </c>
      <c r="E16" s="73">
        <f t="shared" si="3"/>
        <v>59.500000000000007</v>
      </c>
      <c r="F16" s="28">
        <f t="shared" si="3"/>
        <v>0.13200000000000001</v>
      </c>
      <c r="G16" s="22">
        <f>E16*F16</f>
        <v>7.854000000000001</v>
      </c>
      <c r="H16" s="22">
        <f t="shared" si="1"/>
        <v>0</v>
      </c>
      <c r="I16" s="23">
        <f t="shared" si="2"/>
        <v>0</v>
      </c>
      <c r="J16" s="23"/>
      <c r="K16" s="108">
        <f t="shared" si="4"/>
        <v>6.531785368662453E-2</v>
      </c>
    </row>
    <row r="17" spans="1:11" s="1" customFormat="1" x14ac:dyDescent="0.2">
      <c r="A17" s="109" t="s">
        <v>36</v>
      </c>
      <c r="B17" s="75">
        <f>B4*0.18</f>
        <v>63</v>
      </c>
      <c r="C17" s="28">
        <v>0.18</v>
      </c>
      <c r="D17" s="22">
        <f>B17*C17</f>
        <v>11.34</v>
      </c>
      <c r="E17" s="73">
        <f t="shared" si="3"/>
        <v>63</v>
      </c>
      <c r="F17" s="28">
        <f t="shared" si="3"/>
        <v>0.18</v>
      </c>
      <c r="G17" s="22">
        <f>E17*F17</f>
        <v>11.34</v>
      </c>
      <c r="H17" s="22">
        <f t="shared" si="1"/>
        <v>0</v>
      </c>
      <c r="I17" s="23">
        <f t="shared" si="2"/>
        <v>0</v>
      </c>
      <c r="J17" s="23"/>
      <c r="K17" s="108">
        <f t="shared" si="4"/>
        <v>9.4309200510099583E-2</v>
      </c>
    </row>
    <row r="18" spans="1:11" s="1" customFormat="1" x14ac:dyDescent="0.2">
      <c r="A18" s="61" t="s">
        <v>37</v>
      </c>
      <c r="B18" s="29"/>
      <c r="C18" s="30"/>
      <c r="D18" s="30">
        <f>SUM(D15:D17)</f>
        <v>38.986499999999992</v>
      </c>
      <c r="E18" s="77"/>
      <c r="F18" s="30"/>
      <c r="G18" s="30">
        <f>SUM(G15:G17)</f>
        <v>38.986499999999992</v>
      </c>
      <c r="H18" s="31">
        <f t="shared" si="1"/>
        <v>0</v>
      </c>
      <c r="I18" s="32">
        <f t="shared" si="2"/>
        <v>0</v>
      </c>
      <c r="J18" s="33">
        <f t="shared" ref="J18:J26" si="5">G18/$G$46</f>
        <v>0.33367772685122937</v>
      </c>
      <c r="K18" s="62">
        <f t="shared" si="4"/>
        <v>0.32423153842037006</v>
      </c>
    </row>
    <row r="19" spans="1:11" x14ac:dyDescent="0.2">
      <c r="A19" s="107" t="s">
        <v>38</v>
      </c>
      <c r="B19" s="73">
        <v>1</v>
      </c>
      <c r="C19" s="78">
        <f>VLOOKUP($B$3,'Data for Bill Impacts'!$A$3:$Y$15,7,0)</f>
        <v>40.57</v>
      </c>
      <c r="D19" s="22">
        <f>B19*C19</f>
        <v>40.57</v>
      </c>
      <c r="E19" s="73">
        <f t="shared" ref="E19:E41" si="6">B19</f>
        <v>1</v>
      </c>
      <c r="F19" s="78">
        <f>VLOOKUP($B$3,'Data for Bill Impacts'!$A$3:$Y$15,17,0)</f>
        <v>45.14</v>
      </c>
      <c r="G19" s="22">
        <f>E19*F19</f>
        <v>45.14</v>
      </c>
      <c r="H19" s="22">
        <f t="shared" si="1"/>
        <v>4.57</v>
      </c>
      <c r="I19" s="23">
        <f t="shared" si="2"/>
        <v>0.11264481143702244</v>
      </c>
      <c r="J19" s="23">
        <f t="shared" si="5"/>
        <v>0.38634431380258544</v>
      </c>
      <c r="K19" s="108">
        <f t="shared" si="4"/>
        <v>0.37540717028447046</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350</v>
      </c>
      <c r="C23" s="78">
        <f>VLOOKUP($B$3,'Data for Bill Impacts'!$A$3:$Y$15,10,0)</f>
        <v>6.08E-2</v>
      </c>
      <c r="D23" s="22">
        <f>B23*C23</f>
        <v>21.28</v>
      </c>
      <c r="E23" s="73">
        <f t="shared" si="6"/>
        <v>350</v>
      </c>
      <c r="F23" s="126">
        <f>VLOOKUP($B$3,'Data for Bill Impacts'!$A$3:$Y$15,19,0)</f>
        <v>5.2999999999999999E-2</v>
      </c>
      <c r="G23" s="22">
        <f>E23*F23</f>
        <v>18.55</v>
      </c>
      <c r="H23" s="22">
        <f t="shared" si="1"/>
        <v>-2.7300000000000004</v>
      </c>
      <c r="I23" s="23">
        <f t="shared" si="2"/>
        <v>-0.12828947368421054</v>
      </c>
      <c r="J23" s="23">
        <f t="shared" si="5"/>
        <v>0.15876577361625963</v>
      </c>
      <c r="K23" s="108">
        <f t="shared" si="4"/>
        <v>0.15427122305664437</v>
      </c>
    </row>
    <row r="24" spans="1:11" x14ac:dyDescent="0.2">
      <c r="A24" s="107" t="s">
        <v>122</v>
      </c>
      <c r="B24" s="73">
        <f>IF($B$9="kWh",$B$4,$B$5)</f>
        <v>350</v>
      </c>
      <c r="C24" s="126">
        <f>VLOOKUP($B$3,'Data for Bill Impacts'!$A$3:$Y$15,14,0)</f>
        <v>2.0000000000000001E-4</v>
      </c>
      <c r="D24" s="22">
        <f>B24*C24</f>
        <v>7.0000000000000007E-2</v>
      </c>
      <c r="E24" s="73">
        <f>B24</f>
        <v>350</v>
      </c>
      <c r="F24" s="126">
        <f>VLOOKUP($B$3,'Data for Bill Impacts'!$A$3:$Y$15,23,0)</f>
        <v>2.0000000000000001E-4</v>
      </c>
      <c r="G24" s="22">
        <f>E24*F24</f>
        <v>7.0000000000000007E-2</v>
      </c>
      <c r="H24" s="22">
        <f>G24-D24</f>
        <v>0</v>
      </c>
      <c r="I24" s="23">
        <f>IF(ISERROR(H24/D24),0,(H24/D24))</f>
        <v>0</v>
      </c>
      <c r="J24" s="23">
        <f t="shared" si="5"/>
        <v>5.9911612685381002E-4</v>
      </c>
      <c r="K24" s="108">
        <f t="shared" si="4"/>
        <v>5.8215555870431849E-4</v>
      </c>
    </row>
    <row r="25" spans="1:11" s="1" customFormat="1" x14ac:dyDescent="0.2">
      <c r="A25" s="110" t="s">
        <v>72</v>
      </c>
      <c r="B25" s="74"/>
      <c r="C25" s="35"/>
      <c r="D25" s="35">
        <f>SUM(D19:D24)</f>
        <v>61.92</v>
      </c>
      <c r="E25" s="73"/>
      <c r="F25" s="35"/>
      <c r="G25" s="35">
        <f>SUM(G19:G24)</f>
        <v>63.76</v>
      </c>
      <c r="H25" s="35">
        <f t="shared" si="1"/>
        <v>1.8399999999999963</v>
      </c>
      <c r="I25" s="36">
        <f t="shared" si="2"/>
        <v>2.9715762273901748E-2</v>
      </c>
      <c r="J25" s="36">
        <f t="shared" si="5"/>
        <v>0.54570920354569885</v>
      </c>
      <c r="K25" s="111">
        <f t="shared" si="4"/>
        <v>0.53026054889981911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6.7614534316358553E-3</v>
      </c>
      <c r="K26" s="108">
        <f t="shared" si="4"/>
        <v>6.5700413053773081E-3</v>
      </c>
    </row>
    <row r="27" spans="1:11" s="1" customFormat="1" x14ac:dyDescent="0.2">
      <c r="A27" s="119" t="s">
        <v>75</v>
      </c>
      <c r="B27" s="120">
        <f>B8-B4</f>
        <v>36.400000000000034</v>
      </c>
      <c r="C27" s="121">
        <f>IF(B4&gt;B7,C13,C12)</f>
        <v>0.10299999999999999</v>
      </c>
      <c r="D27" s="22">
        <f>B27*C27</f>
        <v>3.7492000000000032</v>
      </c>
      <c r="E27" s="73">
        <f>B27</f>
        <v>36.400000000000034</v>
      </c>
      <c r="F27" s="121">
        <f>C27</f>
        <v>0.10299999999999999</v>
      </c>
      <c r="G27" s="22">
        <f>E27*F27</f>
        <v>3.7492000000000032</v>
      </c>
      <c r="H27" s="22">
        <f t="shared" si="1"/>
        <v>0</v>
      </c>
      <c r="I27" s="23">
        <f>IF(ISERROR(H27/D27),0,(H27/D27))</f>
        <v>0</v>
      </c>
      <c r="J27" s="23">
        <f t="shared" ref="J27:J46" si="9">G27/$G$46</f>
        <v>3.2088659754290087E-2</v>
      </c>
      <c r="K27" s="108">
        <f t="shared" ref="K27:K41" si="10">G27/$G$51</f>
        <v>3.1180251724203321E-2</v>
      </c>
    </row>
    <row r="28" spans="1:11" s="1" customFormat="1" x14ac:dyDescent="0.2">
      <c r="A28" s="119" t="s">
        <v>74</v>
      </c>
      <c r="B28" s="120">
        <f>B8-B4</f>
        <v>36.400000000000034</v>
      </c>
      <c r="C28" s="121">
        <f>0.65*C15+0.17*C16+0.18*C17</f>
        <v>0.11139</v>
      </c>
      <c r="D28" s="22">
        <f>B28*C28</f>
        <v>4.0545960000000036</v>
      </c>
      <c r="E28" s="73">
        <f>B28</f>
        <v>36.400000000000034</v>
      </c>
      <c r="F28" s="121">
        <f>C28</f>
        <v>0.11139</v>
      </c>
      <c r="G28" s="22">
        <f>E28*F28</f>
        <v>4.0545960000000036</v>
      </c>
      <c r="H28" s="22">
        <f t="shared" si="1"/>
        <v>0</v>
      </c>
      <c r="I28" s="23">
        <f>IF(ISERROR(H28/D28),0,(H28/D28))</f>
        <v>0</v>
      </c>
      <c r="J28" s="23">
        <f t="shared" si="9"/>
        <v>3.4702483592527894E-2</v>
      </c>
      <c r="K28" s="108">
        <f t="shared" si="10"/>
        <v>3.3720079995718522E-2</v>
      </c>
    </row>
    <row r="29" spans="1:11" s="1" customFormat="1" x14ac:dyDescent="0.2">
      <c r="A29" s="110" t="s">
        <v>78</v>
      </c>
      <c r="B29" s="74"/>
      <c r="C29" s="35"/>
      <c r="D29" s="35">
        <f>SUM(D25,D26:D27)</f>
        <v>66.45920000000001</v>
      </c>
      <c r="E29" s="73"/>
      <c r="F29" s="35"/>
      <c r="G29" s="35">
        <f>SUM(G25,G26:G27)</f>
        <v>68.299199999999999</v>
      </c>
      <c r="H29" s="35">
        <f t="shared" si="1"/>
        <v>1.8399999999999892</v>
      </c>
      <c r="I29" s="36">
        <f>IF(ISERROR(H29/D29),0,(H29/D29))</f>
        <v>2.7686159327828034E-2</v>
      </c>
      <c r="J29" s="36">
        <f t="shared" si="9"/>
        <v>0.58455931673162476</v>
      </c>
      <c r="K29" s="111">
        <f t="shared" si="10"/>
        <v>0.56801084192939977</v>
      </c>
    </row>
    <row r="30" spans="1:11" s="1" customFormat="1" x14ac:dyDescent="0.2">
      <c r="A30" s="110" t="s">
        <v>77</v>
      </c>
      <c r="B30" s="74"/>
      <c r="C30" s="35"/>
      <c r="D30" s="35">
        <f>SUM(D25,D26,D28)</f>
        <v>66.764596000000012</v>
      </c>
      <c r="E30" s="73"/>
      <c r="F30" s="35"/>
      <c r="G30" s="35">
        <f>SUM(G25,G26,G28)</f>
        <v>68.604596000000001</v>
      </c>
      <c r="H30" s="35">
        <f t="shared" si="1"/>
        <v>1.8399999999999892</v>
      </c>
      <c r="I30" s="36">
        <f>IF(ISERROR(H30/D30),0,(H30/D30))</f>
        <v>2.7559516723504009E-2</v>
      </c>
      <c r="J30" s="36">
        <f t="shared" si="9"/>
        <v>0.58717314056986258</v>
      </c>
      <c r="K30" s="111">
        <f t="shared" si="10"/>
        <v>0.57055067020091499</v>
      </c>
    </row>
    <row r="31" spans="1:11" x14ac:dyDescent="0.2">
      <c r="A31" s="107" t="s">
        <v>40</v>
      </c>
      <c r="B31" s="73">
        <f>B8</f>
        <v>386.40000000000003</v>
      </c>
      <c r="C31" s="126">
        <f>VLOOKUP($B$3,'Data for Bill Impacts'!$A$3:$Y$15,15,0)</f>
        <v>5.6559999999999996E-3</v>
      </c>
      <c r="D31" s="22">
        <f>B31*C31</f>
        <v>2.1854784</v>
      </c>
      <c r="E31" s="73">
        <f t="shared" si="6"/>
        <v>386.40000000000003</v>
      </c>
      <c r="F31" s="126">
        <f>VLOOKUP($B$3,'Data for Bill Impacts'!$A$3:$Y$15,24,0)</f>
        <v>5.6559999999999996E-3</v>
      </c>
      <c r="G31" s="22">
        <f>E31*F31</f>
        <v>2.1854784</v>
      </c>
      <c r="H31" s="22">
        <f t="shared" si="1"/>
        <v>0</v>
      </c>
      <c r="I31" s="23">
        <f t="shared" si="2"/>
        <v>0</v>
      </c>
      <c r="J31" s="23">
        <f t="shared" si="9"/>
        <v>1.8705076490438021E-2</v>
      </c>
      <c r="K31" s="108">
        <f t="shared" si="10"/>
        <v>1.817554855697457E-2</v>
      </c>
    </row>
    <row r="32" spans="1:11" x14ac:dyDescent="0.2">
      <c r="A32" s="107" t="s">
        <v>41</v>
      </c>
      <c r="B32" s="73">
        <f>B8</f>
        <v>386.40000000000003</v>
      </c>
      <c r="C32" s="126">
        <f>VLOOKUP($B$3,'Data for Bill Impacts'!$A$3:$Y$15,16,0)</f>
        <v>4.8209999999999998E-3</v>
      </c>
      <c r="D32" s="22">
        <f>B32*C32</f>
        <v>1.8628344000000001</v>
      </c>
      <c r="E32" s="73">
        <f t="shared" si="6"/>
        <v>386.40000000000003</v>
      </c>
      <c r="F32" s="126">
        <f>VLOOKUP($B$3,'Data for Bill Impacts'!$A$3:$Y$15,25,0)</f>
        <v>4.8209999999999998E-3</v>
      </c>
      <c r="G32" s="22">
        <f>E32*F32</f>
        <v>1.8628344000000001</v>
      </c>
      <c r="H32" s="22">
        <f t="shared" si="1"/>
        <v>0</v>
      </c>
      <c r="I32" s="23">
        <f t="shared" si="2"/>
        <v>0</v>
      </c>
      <c r="J32" s="23">
        <f t="shared" si="9"/>
        <v>1.5943630438543441E-2</v>
      </c>
      <c r="K32" s="108">
        <f t="shared" si="10"/>
        <v>1.5492277155794626E-2</v>
      </c>
    </row>
    <row r="33" spans="1:11" s="1" customFormat="1" x14ac:dyDescent="0.2">
      <c r="A33" s="110" t="s">
        <v>76</v>
      </c>
      <c r="B33" s="74"/>
      <c r="C33" s="35"/>
      <c r="D33" s="35">
        <f>SUM(D31:D32)</f>
        <v>4.0483127999999997</v>
      </c>
      <c r="E33" s="73"/>
      <c r="F33" s="35"/>
      <c r="G33" s="35">
        <f>SUM(G31:G32)</f>
        <v>4.0483127999999997</v>
      </c>
      <c r="H33" s="35">
        <f t="shared" si="1"/>
        <v>0</v>
      </c>
      <c r="I33" s="36">
        <f t="shared" si="2"/>
        <v>0</v>
      </c>
      <c r="J33" s="36">
        <f t="shared" si="9"/>
        <v>3.4648706928981463E-2</v>
      </c>
      <c r="K33" s="111">
        <f t="shared" si="10"/>
        <v>3.3667825712769189E-2</v>
      </c>
    </row>
    <row r="34" spans="1:11" s="1" customFormat="1" x14ac:dyDescent="0.2">
      <c r="A34" s="110" t="s">
        <v>91</v>
      </c>
      <c r="B34" s="74"/>
      <c r="C34" s="35"/>
      <c r="D34" s="35">
        <f>D29+D33</f>
        <v>70.507512800000015</v>
      </c>
      <c r="E34" s="73"/>
      <c r="F34" s="35"/>
      <c r="G34" s="35">
        <f>G29+G33</f>
        <v>72.347512800000004</v>
      </c>
      <c r="H34" s="35">
        <f t="shared" si="1"/>
        <v>1.8399999999999892</v>
      </c>
      <c r="I34" s="36">
        <f t="shared" si="2"/>
        <v>2.6096509817603277E-2</v>
      </c>
      <c r="J34" s="36">
        <f t="shared" si="9"/>
        <v>0.61920802366060623</v>
      </c>
      <c r="K34" s="111">
        <f t="shared" si="10"/>
        <v>0.60167866764216904</v>
      </c>
    </row>
    <row r="35" spans="1:11" s="1" customFormat="1" x14ac:dyDescent="0.2">
      <c r="A35" s="110" t="s">
        <v>92</v>
      </c>
      <c r="B35" s="74"/>
      <c r="C35" s="35"/>
      <c r="D35" s="35">
        <f>D30+D33</f>
        <v>70.812908800000017</v>
      </c>
      <c r="E35" s="73"/>
      <c r="F35" s="35"/>
      <c r="G35" s="35">
        <f>G30+G33</f>
        <v>72.652908800000006</v>
      </c>
      <c r="H35" s="35">
        <f t="shared" si="1"/>
        <v>1.8399999999999892</v>
      </c>
      <c r="I35" s="36">
        <f t="shared" si="2"/>
        <v>2.5983962969192261E-2</v>
      </c>
      <c r="J35" s="36">
        <f t="shared" si="9"/>
        <v>0.62182184749884406</v>
      </c>
      <c r="K35" s="111">
        <f t="shared" si="10"/>
        <v>0.60421849591368426</v>
      </c>
    </row>
    <row r="36" spans="1:11" x14ac:dyDescent="0.2">
      <c r="A36" s="107" t="s">
        <v>42</v>
      </c>
      <c r="B36" s="73">
        <f>B8</f>
        <v>386.40000000000003</v>
      </c>
      <c r="C36" s="34">
        <v>3.5999999999999999E-3</v>
      </c>
      <c r="D36" s="22">
        <f>B36*C36</f>
        <v>1.3910400000000001</v>
      </c>
      <c r="E36" s="73">
        <f t="shared" si="6"/>
        <v>386.40000000000003</v>
      </c>
      <c r="F36" s="34">
        <v>3.5999999999999999E-3</v>
      </c>
      <c r="G36" s="22">
        <f>E36*F36</f>
        <v>1.3910400000000001</v>
      </c>
      <c r="H36" s="22">
        <f t="shared" si="1"/>
        <v>0</v>
      </c>
      <c r="I36" s="23">
        <f t="shared" si="2"/>
        <v>0</v>
      </c>
      <c r="J36" s="23">
        <f t="shared" si="9"/>
        <v>1.1905635672838911E-2</v>
      </c>
      <c r="K36" s="108">
        <f t="shared" si="10"/>
        <v>1.1568595262572215E-2</v>
      </c>
    </row>
    <row r="37" spans="1:11" x14ac:dyDescent="0.2">
      <c r="A37" s="107" t="s">
        <v>43</v>
      </c>
      <c r="B37" s="73">
        <f>B8</f>
        <v>386.40000000000003</v>
      </c>
      <c r="C37" s="34">
        <v>2.0999999999999999E-3</v>
      </c>
      <c r="D37" s="22">
        <f>B37*C37</f>
        <v>0.81144000000000005</v>
      </c>
      <c r="E37" s="73">
        <f t="shared" si="6"/>
        <v>386.40000000000003</v>
      </c>
      <c r="F37" s="34">
        <v>2.0999999999999999E-3</v>
      </c>
      <c r="G37" s="22">
        <f>E37*F37</f>
        <v>0.81144000000000005</v>
      </c>
      <c r="H37" s="22">
        <f>G37-D37</f>
        <v>0</v>
      </c>
      <c r="I37" s="23">
        <f t="shared" si="2"/>
        <v>0</v>
      </c>
      <c r="J37" s="23">
        <f t="shared" si="9"/>
        <v>6.9449541424893646E-3</v>
      </c>
      <c r="K37" s="108">
        <f t="shared" si="10"/>
        <v>6.748347236500459E-3</v>
      </c>
    </row>
    <row r="38" spans="1:11" x14ac:dyDescent="0.2">
      <c r="A38" s="107" t="s">
        <v>96</v>
      </c>
      <c r="B38" s="73">
        <f>B8</f>
        <v>386.40000000000003</v>
      </c>
      <c r="C38" s="34">
        <v>1.1000000000000001E-3</v>
      </c>
      <c r="D38" s="22">
        <f>B38*C38</f>
        <v>0.42504000000000008</v>
      </c>
      <c r="E38" s="73">
        <f t="shared" si="6"/>
        <v>386.40000000000003</v>
      </c>
      <c r="F38" s="34">
        <v>1.1000000000000001E-3</v>
      </c>
      <c r="G38" s="22">
        <f>E38*F38</f>
        <v>0.42504000000000008</v>
      </c>
      <c r="H38" s="22">
        <f>G38-D38</f>
        <v>0</v>
      </c>
      <c r="I38" s="23">
        <f t="shared" ref="I38" si="11">IF(ISERROR(H38/D38),0,(H38/D38))</f>
        <v>0</v>
      </c>
      <c r="J38" s="23">
        <f t="shared" ref="J38" si="12">G38/$G$46</f>
        <v>3.6378331222563344E-3</v>
      </c>
      <c r="K38" s="108">
        <f t="shared" ref="K38" si="13">G38/$G$51</f>
        <v>3.534848552452622E-3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2.1397004530493212E-3</v>
      </c>
      <c r="K39" s="108">
        <f t="shared" si="10"/>
        <v>2.0791269953725658E-3</v>
      </c>
    </row>
    <row r="40" spans="1:11" s="1" customFormat="1" x14ac:dyDescent="0.2">
      <c r="A40" s="110" t="s">
        <v>45</v>
      </c>
      <c r="B40" s="74"/>
      <c r="C40" s="35"/>
      <c r="D40" s="35">
        <f>SUM(D36:D39)</f>
        <v>2.8775200000000001</v>
      </c>
      <c r="E40" s="73"/>
      <c r="F40" s="35"/>
      <c r="G40" s="35">
        <f>SUM(G36:G39)</f>
        <v>2.8775200000000001</v>
      </c>
      <c r="H40" s="35">
        <f t="shared" si="1"/>
        <v>0</v>
      </c>
      <c r="I40" s="36">
        <f t="shared" si="2"/>
        <v>0</v>
      </c>
      <c r="J40" s="36">
        <f t="shared" si="9"/>
        <v>2.462812339063393E-2</v>
      </c>
      <c r="K40" s="111">
        <f t="shared" si="10"/>
        <v>2.3930918046897863E-2</v>
      </c>
    </row>
    <row r="41" spans="1:11" s="1" customFormat="1" ht="13.5" thickBot="1" x14ac:dyDescent="0.25">
      <c r="A41" s="112" t="s">
        <v>46</v>
      </c>
      <c r="B41" s="113">
        <f>B4</f>
        <v>350</v>
      </c>
      <c r="C41" s="114">
        <v>0</v>
      </c>
      <c r="D41" s="115">
        <f>B41*C41</f>
        <v>0</v>
      </c>
      <c r="E41" s="116">
        <f t="shared" si="6"/>
        <v>350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109.43503280000002</v>
      </c>
      <c r="E42" s="38"/>
      <c r="F42" s="39"/>
      <c r="G42" s="39">
        <f>SUM(G14,G25,G26,G27,G33,G40,G41)</f>
        <v>111.27503280000002</v>
      </c>
      <c r="H42" s="39">
        <f t="shared" si="1"/>
        <v>1.8400000000000034</v>
      </c>
      <c r="I42" s="40">
        <f>IF(ISERROR(H42/D42),0,(H42/D42))</f>
        <v>1.6813628624416176E-2</v>
      </c>
      <c r="J42" s="40">
        <f t="shared" si="9"/>
        <v>0.95238095238095244</v>
      </c>
      <c r="K42" s="41"/>
    </row>
    <row r="43" spans="1:11" x14ac:dyDescent="0.2">
      <c r="A43" s="155" t="s">
        <v>102</v>
      </c>
      <c r="B43" s="43"/>
      <c r="C43" s="26">
        <v>0.13</v>
      </c>
      <c r="D43" s="26">
        <f>D42*C43</f>
        <v>14.226554264000002</v>
      </c>
      <c r="E43" s="26"/>
      <c r="F43" s="26">
        <f>C43</f>
        <v>0.13</v>
      </c>
      <c r="G43" s="26">
        <f>G42*F43</f>
        <v>14.465754264000003</v>
      </c>
      <c r="H43" s="26">
        <f t="shared" si="1"/>
        <v>0.2392000000000003</v>
      </c>
      <c r="I43" s="44">
        <f t="shared" si="2"/>
        <v>1.6813628624416165E-2</v>
      </c>
      <c r="J43" s="44">
        <f t="shared" si="9"/>
        <v>0.12380952380952381</v>
      </c>
      <c r="K43" s="45"/>
    </row>
    <row r="44" spans="1:11" s="1" customFormat="1" x14ac:dyDescent="0.2">
      <c r="A44" s="46" t="s">
        <v>103</v>
      </c>
      <c r="B44" s="24"/>
      <c r="C44" s="25"/>
      <c r="D44" s="25">
        <f>SUM(D42:D43)</f>
        <v>123.66158706400002</v>
      </c>
      <c r="E44" s="25"/>
      <c r="F44" s="25"/>
      <c r="G44" s="25">
        <f>SUM(G42:G43)</f>
        <v>125.74078706400002</v>
      </c>
      <c r="H44" s="25">
        <f t="shared" si="1"/>
        <v>2.0792000000000002</v>
      </c>
      <c r="I44" s="27">
        <f t="shared" si="2"/>
        <v>1.6813628624416148E-2</v>
      </c>
      <c r="J44" s="27">
        <f t="shared" si="9"/>
        <v>1.0761904761904761</v>
      </c>
      <c r="K44" s="47"/>
    </row>
    <row r="45" spans="1:11" x14ac:dyDescent="0.2">
      <c r="A45" s="42" t="s">
        <v>104</v>
      </c>
      <c r="B45" s="43"/>
      <c r="C45" s="26">
        <v>-0.08</v>
      </c>
      <c r="D45" s="26">
        <f>D42*C45</f>
        <v>-8.7548026240000016</v>
      </c>
      <c r="E45" s="26"/>
      <c r="F45" s="26">
        <f>C45</f>
        <v>-0.08</v>
      </c>
      <c r="G45" s="26">
        <f>G42*F45</f>
        <v>-8.9020026240000014</v>
      </c>
      <c r="H45" s="26">
        <f t="shared" si="1"/>
        <v>-0.14719999999999978</v>
      </c>
      <c r="I45" s="44">
        <f t="shared" si="2"/>
        <v>1.681362862441612E-2</v>
      </c>
      <c r="J45" s="44">
        <f t="shared" si="9"/>
        <v>-7.6190476190476197E-2</v>
      </c>
      <c r="K45" s="45"/>
    </row>
    <row r="46" spans="1:11" s="1" customFormat="1" ht="13.5" thickBot="1" x14ac:dyDescent="0.25">
      <c r="A46" s="48" t="s">
        <v>105</v>
      </c>
      <c r="B46" s="49"/>
      <c r="C46" s="50"/>
      <c r="D46" s="50">
        <f>SUM(D44:D45)</f>
        <v>114.90678444000001</v>
      </c>
      <c r="E46" s="50"/>
      <c r="F46" s="50"/>
      <c r="G46" s="50">
        <f>SUM(G44:G45)</f>
        <v>116.83878444000001</v>
      </c>
      <c r="H46" s="50">
        <f t="shared" si="1"/>
        <v>1.9320000000000022</v>
      </c>
      <c r="I46" s="51">
        <f t="shared" si="2"/>
        <v>1.6813628624416165E-2</v>
      </c>
      <c r="J46" s="51">
        <f t="shared" si="9"/>
        <v>1</v>
      </c>
      <c r="K46" s="52"/>
    </row>
    <row r="47" spans="1:11" x14ac:dyDescent="0.2">
      <c r="A47" s="53" t="s">
        <v>106</v>
      </c>
      <c r="B47" s="54"/>
      <c r="C47" s="55"/>
      <c r="D47" s="55">
        <f>SUM(D18,D25,D26,D28,D33,D40,D41)</f>
        <v>112.67692880000001</v>
      </c>
      <c r="E47" s="55"/>
      <c r="F47" s="55"/>
      <c r="G47" s="55">
        <f>SUM(G18,G25,G26,G28,G33,G40,G41)</f>
        <v>114.51692880000002</v>
      </c>
      <c r="H47" s="55">
        <f>G47-D47</f>
        <v>1.8400000000000034</v>
      </c>
      <c r="I47" s="56">
        <f>IF(ISERROR(H47/D47),0,(H47/D47))</f>
        <v>1.6329873556156095E-2</v>
      </c>
      <c r="J47" s="56"/>
      <c r="K47" s="57">
        <f>G47/$G$51</f>
        <v>0.95238095238095233</v>
      </c>
    </row>
    <row r="48" spans="1:11" x14ac:dyDescent="0.2">
      <c r="A48" s="58" t="s">
        <v>102</v>
      </c>
      <c r="B48" s="59"/>
      <c r="C48" s="31">
        <v>0.13</v>
      </c>
      <c r="D48" s="31">
        <f>D47*C48</f>
        <v>14.648000744000003</v>
      </c>
      <c r="E48" s="31"/>
      <c r="F48" s="31">
        <f>C48</f>
        <v>0.13</v>
      </c>
      <c r="G48" s="31">
        <f>G47*F48</f>
        <v>14.887200744000003</v>
      </c>
      <c r="H48" s="31">
        <f>G48-D48</f>
        <v>0.2392000000000003</v>
      </c>
      <c r="I48" s="32">
        <f>IF(ISERROR(H48/D48),0,(H48/D48))</f>
        <v>1.6329873556156085E-2</v>
      </c>
      <c r="J48" s="32"/>
      <c r="K48" s="60">
        <f>G48/$G$51</f>
        <v>0.1238095238095238</v>
      </c>
    </row>
    <row r="49" spans="1:11" x14ac:dyDescent="0.2">
      <c r="A49" s="61" t="s">
        <v>107</v>
      </c>
      <c r="B49" s="29"/>
      <c r="C49" s="30"/>
      <c r="D49" s="30">
        <f>SUM(D47:D48)</f>
        <v>127.32492954400001</v>
      </c>
      <c r="E49" s="30"/>
      <c r="F49" s="30"/>
      <c r="G49" s="30">
        <f>SUM(G47:G48)</f>
        <v>129.40412954400003</v>
      </c>
      <c r="H49" s="30">
        <f>G49-D49</f>
        <v>2.0792000000000144</v>
      </c>
      <c r="I49" s="33">
        <f>IF(ISERROR(H49/D49),0,(H49/D49))</f>
        <v>1.6329873556156178E-2</v>
      </c>
      <c r="J49" s="33"/>
      <c r="K49" s="62">
        <f>G49/$G$51</f>
        <v>1.0761904761904761</v>
      </c>
    </row>
    <row r="50" spans="1:11" x14ac:dyDescent="0.2">
      <c r="A50" s="58" t="s">
        <v>104</v>
      </c>
      <c r="B50" s="59"/>
      <c r="C50" s="31">
        <v>-0.08</v>
      </c>
      <c r="D50" s="31">
        <f>D47*C50</f>
        <v>-9.0141543040000016</v>
      </c>
      <c r="E50" s="31"/>
      <c r="F50" s="31">
        <f>C50</f>
        <v>-0.08</v>
      </c>
      <c r="G50" s="31">
        <f>G47*F50</f>
        <v>-9.1613543040000014</v>
      </c>
      <c r="H50" s="31">
        <f>G50-D50</f>
        <v>-0.14719999999999978</v>
      </c>
      <c r="I50" s="32">
        <f>IF(ISERROR(H50/D50),0,(H50/D50))</f>
        <v>1.632987355615604E-2</v>
      </c>
      <c r="J50" s="32"/>
      <c r="K50" s="60">
        <f>G50/$G$51</f>
        <v>-7.6190476190476183E-2</v>
      </c>
    </row>
    <row r="51" spans="1:11" ht="13.5" thickBot="1" x14ac:dyDescent="0.25">
      <c r="A51" s="63" t="s">
        <v>116</v>
      </c>
      <c r="B51" s="64"/>
      <c r="C51" s="65"/>
      <c r="D51" s="65">
        <f>SUM(D49:D50)</f>
        <v>118.31077524000001</v>
      </c>
      <c r="E51" s="65"/>
      <c r="F51" s="65"/>
      <c r="G51" s="65">
        <f>SUM(G49:G50)</f>
        <v>120.24277524000003</v>
      </c>
      <c r="H51" s="65">
        <f>G51-D51</f>
        <v>1.9320000000000164</v>
      </c>
      <c r="I51" s="66">
        <f>IF(ISERROR(H51/D51),0,(H51/D51))</f>
        <v>1.6329873556156203E-2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1" tint="0.499984740745262"/>
    <pageSetUpPr fitToPage="1"/>
  </sheetPr>
  <dimension ref="A1:K68"/>
  <sheetViews>
    <sheetView tabSelected="1" view="pageBreakPreview" zoomScaleNormal="100" zoomScaleSheetLayoutView="100" workbookViewId="0">
      <selection activeCell="E1" sqref="E1:E1048576"/>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120</v>
      </c>
      <c r="B1" s="188"/>
      <c r="C1" s="188"/>
      <c r="D1" s="188"/>
      <c r="E1" s="188"/>
      <c r="F1" s="188"/>
      <c r="G1" s="188"/>
      <c r="H1" s="188"/>
      <c r="I1" s="188"/>
      <c r="J1" s="188"/>
      <c r="K1" s="189"/>
    </row>
    <row r="3" spans="1:11" x14ac:dyDescent="0.2">
      <c r="A3" s="13" t="s">
        <v>13</v>
      </c>
      <c r="B3" s="13" t="s">
        <v>3</v>
      </c>
    </row>
    <row r="4" spans="1:11" x14ac:dyDescent="0.2">
      <c r="A4" s="15" t="s">
        <v>62</v>
      </c>
      <c r="B4" s="15">
        <f>VLOOKUP(B3,'Data for Bill Impacts'!A19:D31,3,FALSE)</f>
        <v>352</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5">
        <f>B4*B6</f>
        <v>388.60800000000006</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352</v>
      </c>
      <c r="C12" s="103">
        <v>0.10299999999999999</v>
      </c>
      <c r="D12" s="104">
        <f>B12*C12</f>
        <v>36.256</v>
      </c>
      <c r="E12" s="102">
        <f>B12</f>
        <v>352</v>
      </c>
      <c r="F12" s="103">
        <f>C12</f>
        <v>0.10299999999999999</v>
      </c>
      <c r="G12" s="104">
        <f>E12*F12</f>
        <v>36.256</v>
      </c>
      <c r="H12" s="104">
        <f>G12-D12</f>
        <v>0</v>
      </c>
      <c r="I12" s="105">
        <f>IF(ISERROR(H12/D12),0,(H12/D12))</f>
        <v>0</v>
      </c>
      <c r="J12" s="105">
        <f>G12/$G$46</f>
        <v>0.30927407313917521</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36.256</v>
      </c>
      <c r="E14" s="76"/>
      <c r="F14" s="25"/>
      <c r="G14" s="25">
        <f>SUM(G12:G13)</f>
        <v>36.256</v>
      </c>
      <c r="H14" s="25">
        <f t="shared" si="1"/>
        <v>0</v>
      </c>
      <c r="I14" s="27">
        <f t="shared" si="2"/>
        <v>0</v>
      </c>
      <c r="J14" s="27">
        <f>G14/$G$46</f>
        <v>0.30927407313917521</v>
      </c>
      <c r="K14" s="108"/>
    </row>
    <row r="15" spans="1:11" s="1" customFormat="1" x14ac:dyDescent="0.2">
      <c r="A15" s="109" t="s">
        <v>34</v>
      </c>
      <c r="B15" s="75">
        <f>B4*0.65</f>
        <v>228.8</v>
      </c>
      <c r="C15" s="28">
        <v>8.6999999999999994E-2</v>
      </c>
      <c r="D15" s="22">
        <f>B15*C15</f>
        <v>19.9056</v>
      </c>
      <c r="E15" s="73">
        <f t="shared" ref="E15:F17" si="3">B15</f>
        <v>228.8</v>
      </c>
      <c r="F15" s="28">
        <f t="shared" si="3"/>
        <v>8.6999999999999994E-2</v>
      </c>
      <c r="G15" s="22">
        <f>E15*F15</f>
        <v>19.9056</v>
      </c>
      <c r="H15" s="22">
        <f t="shared" si="1"/>
        <v>0</v>
      </c>
      <c r="I15" s="23">
        <f t="shared" si="2"/>
        <v>0</v>
      </c>
      <c r="J15" s="23"/>
      <c r="K15" s="108">
        <f t="shared" ref="K15:K26" si="4">G15/$G$51</f>
        <v>0.16498249958419714</v>
      </c>
    </row>
    <row r="16" spans="1:11" s="1" customFormat="1" x14ac:dyDescent="0.2">
      <c r="A16" s="109" t="s">
        <v>35</v>
      </c>
      <c r="B16" s="75">
        <f>B4*0.17</f>
        <v>59.84</v>
      </c>
      <c r="C16" s="28">
        <v>0.13200000000000001</v>
      </c>
      <c r="D16" s="22">
        <f>B16*C16</f>
        <v>7.898880000000001</v>
      </c>
      <c r="E16" s="73">
        <f t="shared" si="3"/>
        <v>59.84</v>
      </c>
      <c r="F16" s="28">
        <f t="shared" si="3"/>
        <v>0.13200000000000001</v>
      </c>
      <c r="G16" s="22">
        <f>E16*F16</f>
        <v>7.898880000000001</v>
      </c>
      <c r="H16" s="22">
        <f t="shared" si="1"/>
        <v>0</v>
      </c>
      <c r="I16" s="23">
        <f t="shared" si="2"/>
        <v>0</v>
      </c>
      <c r="J16" s="23"/>
      <c r="K16" s="108">
        <f t="shared" si="4"/>
        <v>6.5467856598928106E-2</v>
      </c>
    </row>
    <row r="17" spans="1:11" s="1" customFormat="1" x14ac:dyDescent="0.2">
      <c r="A17" s="109" t="s">
        <v>36</v>
      </c>
      <c r="B17" s="75">
        <f>B4*0.18</f>
        <v>63.36</v>
      </c>
      <c r="C17" s="28">
        <v>0.18</v>
      </c>
      <c r="D17" s="22">
        <f>B17*C17</f>
        <v>11.4048</v>
      </c>
      <c r="E17" s="73">
        <f t="shared" si="3"/>
        <v>63.36</v>
      </c>
      <c r="F17" s="28">
        <f t="shared" si="3"/>
        <v>0.18</v>
      </c>
      <c r="G17" s="22">
        <f>E17*F17</f>
        <v>11.4048</v>
      </c>
      <c r="H17" s="22">
        <f t="shared" si="1"/>
        <v>0</v>
      </c>
      <c r="I17" s="23">
        <f t="shared" si="2"/>
        <v>0</v>
      </c>
      <c r="J17" s="23"/>
      <c r="K17" s="108">
        <f t="shared" si="4"/>
        <v>9.4525782255136817E-2</v>
      </c>
    </row>
    <row r="18" spans="1:11" s="1" customFormat="1" x14ac:dyDescent="0.2">
      <c r="A18" s="61" t="s">
        <v>37</v>
      </c>
      <c r="B18" s="29"/>
      <c r="C18" s="30"/>
      <c r="D18" s="30">
        <f>SUM(D15:D17)</f>
        <v>39.20928</v>
      </c>
      <c r="E18" s="77"/>
      <c r="F18" s="30"/>
      <c r="G18" s="30">
        <f>SUM(G15:G17)</f>
        <v>39.20928</v>
      </c>
      <c r="H18" s="31">
        <f t="shared" si="1"/>
        <v>0</v>
      </c>
      <c r="I18" s="32">
        <f t="shared" si="2"/>
        <v>0</v>
      </c>
      <c r="J18" s="33">
        <f t="shared" ref="J18:J26" si="5">G18/$G$46</f>
        <v>0.33446639812594881</v>
      </c>
      <c r="K18" s="62">
        <f t="shared" si="4"/>
        <v>0.32497613843826206</v>
      </c>
    </row>
    <row r="19" spans="1:11" x14ac:dyDescent="0.2">
      <c r="A19" s="107" t="s">
        <v>38</v>
      </c>
      <c r="B19" s="73">
        <v>1</v>
      </c>
      <c r="C19" s="78">
        <f>VLOOKUP($B$3,'Data for Bill Impacts'!$A$3:$Y$15,7,0)</f>
        <v>40.57</v>
      </c>
      <c r="D19" s="22">
        <f>B19*C19</f>
        <v>40.57</v>
      </c>
      <c r="E19" s="73">
        <f t="shared" ref="E19:E41" si="6">B19</f>
        <v>1</v>
      </c>
      <c r="F19" s="78">
        <f>VLOOKUP($B$3,'Data for Bill Impacts'!$A$3:$Y$15,17,0)</f>
        <v>45.14</v>
      </c>
      <c r="G19" s="22">
        <f>E19*F19</f>
        <v>45.14</v>
      </c>
      <c r="H19" s="22">
        <f t="shared" si="1"/>
        <v>4.57</v>
      </c>
      <c r="I19" s="23">
        <f t="shared" si="2"/>
        <v>0.11264481143702244</v>
      </c>
      <c r="J19" s="23">
        <f t="shared" si="5"/>
        <v>0.38505713982519774</v>
      </c>
      <c r="K19" s="108">
        <f t="shared" si="4"/>
        <v>0.37413140177792475</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352</v>
      </c>
      <c r="C23" s="78">
        <f>VLOOKUP($B$3,'Data for Bill Impacts'!$A$3:$Y$15,10,0)</f>
        <v>6.08E-2</v>
      </c>
      <c r="D23" s="22">
        <f>B23*C23</f>
        <v>21.401599999999998</v>
      </c>
      <c r="E23" s="73">
        <f t="shared" si="6"/>
        <v>352</v>
      </c>
      <c r="F23" s="126">
        <f>VLOOKUP($B$3,'Data for Bill Impacts'!$A$3:$Y$15,19,0)</f>
        <v>5.2999999999999999E-2</v>
      </c>
      <c r="G23" s="22">
        <f>E23*F23</f>
        <v>18.655999999999999</v>
      </c>
      <c r="H23" s="22">
        <f t="shared" si="1"/>
        <v>-2.7455999999999996</v>
      </c>
      <c r="I23" s="23">
        <f t="shared" si="2"/>
        <v>-0.12828947368421051</v>
      </c>
      <c r="J23" s="23">
        <f t="shared" si="5"/>
        <v>0.15914102792598336</v>
      </c>
      <c r="K23" s="108">
        <f t="shared" si="4"/>
        <v>0.15462550800994601</v>
      </c>
    </row>
    <row r="24" spans="1:11" x14ac:dyDescent="0.2">
      <c r="A24" s="107" t="s">
        <v>122</v>
      </c>
      <c r="B24" s="73">
        <f>IF($B$9="kWh",$B$4,$B$5)</f>
        <v>352</v>
      </c>
      <c r="C24" s="126">
        <f>VLOOKUP($B$3,'Data for Bill Impacts'!$A$3:$Y$15,14,0)</f>
        <v>2.0000000000000001E-4</v>
      </c>
      <c r="D24" s="22">
        <f>B24*C24</f>
        <v>7.0400000000000004E-2</v>
      </c>
      <c r="E24" s="73">
        <f>B24</f>
        <v>352</v>
      </c>
      <c r="F24" s="126">
        <f>VLOOKUP($B$3,'Data for Bill Impacts'!$A$3:$Y$15,23,0)</f>
        <v>2.0000000000000001E-4</v>
      </c>
      <c r="G24" s="22">
        <f>E24*F24</f>
        <v>7.0400000000000004E-2</v>
      </c>
      <c r="H24" s="22">
        <f>G24-D24</f>
        <v>0</v>
      </c>
      <c r="I24" s="23">
        <f>IF(ISERROR(H24/D24),0,(H24/D24))</f>
        <v>0</v>
      </c>
      <c r="J24" s="23">
        <f t="shared" si="5"/>
        <v>6.0053218085276742E-4</v>
      </c>
      <c r="K24" s="108">
        <f t="shared" si="4"/>
        <v>5.8349248305640013E-4</v>
      </c>
    </row>
    <row r="25" spans="1:11" s="1" customFormat="1" x14ac:dyDescent="0.2">
      <c r="A25" s="110" t="s">
        <v>72</v>
      </c>
      <c r="B25" s="74"/>
      <c r="C25" s="35"/>
      <c r="D25" s="35">
        <f>SUM(D19:D24)</f>
        <v>62.041999999999994</v>
      </c>
      <c r="E25" s="73"/>
      <c r="F25" s="35"/>
      <c r="G25" s="35">
        <f>SUM(G19:G24)</f>
        <v>63.866399999999999</v>
      </c>
      <c r="H25" s="35">
        <f t="shared" si="1"/>
        <v>1.8244000000000042</v>
      </c>
      <c r="I25" s="36">
        <f t="shared" si="2"/>
        <v>2.9405886335063414E-2</v>
      </c>
      <c r="J25" s="36">
        <f t="shared" si="5"/>
        <v>0.54479869993203389</v>
      </c>
      <c r="K25" s="111">
        <f t="shared" si="4"/>
        <v>0.52934040227092716</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6.7389264612739523E-3</v>
      </c>
      <c r="K26" s="108">
        <f t="shared" si="4"/>
        <v>6.5477139433885809E-3</v>
      </c>
    </row>
    <row r="27" spans="1:11" s="1" customFormat="1" x14ac:dyDescent="0.2">
      <c r="A27" s="119" t="s">
        <v>75</v>
      </c>
      <c r="B27" s="120">
        <f>B8-B4</f>
        <v>36.608000000000061</v>
      </c>
      <c r="C27" s="121">
        <f>IF(B4&gt;B7,C13,C12)</f>
        <v>0.10299999999999999</v>
      </c>
      <c r="D27" s="22">
        <f>B27*C27</f>
        <v>3.770624000000006</v>
      </c>
      <c r="E27" s="73">
        <f>B27</f>
        <v>36.608000000000061</v>
      </c>
      <c r="F27" s="121">
        <f>C27</f>
        <v>0.10299999999999999</v>
      </c>
      <c r="G27" s="22">
        <f>E27*F27</f>
        <v>3.770624000000006</v>
      </c>
      <c r="H27" s="22">
        <f t="shared" si="1"/>
        <v>0</v>
      </c>
      <c r="I27" s="23">
        <f>IF(ISERROR(H27/D27),0,(H27/D27))</f>
        <v>0</v>
      </c>
      <c r="J27" s="23">
        <f t="shared" ref="J27:J46" si="9">G27/$G$46</f>
        <v>3.2164503606474271E-2</v>
      </c>
      <c r="K27" s="108">
        <f t="shared" ref="K27:K41" si="10">G27/$G$51</f>
        <v>3.1251857392500838E-2</v>
      </c>
    </row>
    <row r="28" spans="1:11" s="1" customFormat="1" x14ac:dyDescent="0.2">
      <c r="A28" s="119" t="s">
        <v>74</v>
      </c>
      <c r="B28" s="120">
        <f>B8-B4</f>
        <v>36.608000000000061</v>
      </c>
      <c r="C28" s="121">
        <f>0.65*C15+0.17*C16+0.18*C17</f>
        <v>0.11139</v>
      </c>
      <c r="D28" s="22">
        <f>B28*C28</f>
        <v>4.0777651200000067</v>
      </c>
      <c r="E28" s="73">
        <f>B28</f>
        <v>36.608000000000061</v>
      </c>
      <c r="F28" s="121">
        <f>C28</f>
        <v>0.11139</v>
      </c>
      <c r="G28" s="22">
        <f>E28*F28</f>
        <v>4.0777651200000067</v>
      </c>
      <c r="H28" s="22">
        <f t="shared" si="1"/>
        <v>0</v>
      </c>
      <c r="I28" s="23">
        <f>IF(ISERROR(H28/D28),0,(H28/D28))</f>
        <v>0</v>
      </c>
      <c r="J28" s="23">
        <f t="shared" si="9"/>
        <v>3.4784505405098733E-2</v>
      </c>
      <c r="K28" s="108">
        <f t="shared" si="10"/>
        <v>3.3797518397579308E-2</v>
      </c>
    </row>
    <row r="29" spans="1:11" s="1" customFormat="1" x14ac:dyDescent="0.2">
      <c r="A29" s="110" t="s">
        <v>78</v>
      </c>
      <c r="B29" s="74"/>
      <c r="C29" s="35"/>
      <c r="D29" s="35">
        <f>SUM(D25,D26:D27)</f>
        <v>66.602624000000006</v>
      </c>
      <c r="E29" s="73"/>
      <c r="F29" s="35"/>
      <c r="G29" s="35">
        <f>SUM(G25,G26:G27)</f>
        <v>68.427024000000017</v>
      </c>
      <c r="H29" s="35">
        <f t="shared" si="1"/>
        <v>1.8244000000000113</v>
      </c>
      <c r="I29" s="36">
        <f>IF(ISERROR(H29/D29),0,(H29/D29))</f>
        <v>2.7392314152667786E-2</v>
      </c>
      <c r="J29" s="36">
        <f t="shared" si="9"/>
        <v>0.58370212999978222</v>
      </c>
      <c r="K29" s="111">
        <f t="shared" si="10"/>
        <v>0.56713997360681667</v>
      </c>
    </row>
    <row r="30" spans="1:11" s="1" customFormat="1" x14ac:dyDescent="0.2">
      <c r="A30" s="110" t="s">
        <v>77</v>
      </c>
      <c r="B30" s="74"/>
      <c r="C30" s="35"/>
      <c r="D30" s="35">
        <f>SUM(D25,D26,D28)</f>
        <v>66.909765120000003</v>
      </c>
      <c r="E30" s="73"/>
      <c r="F30" s="35"/>
      <c r="G30" s="35">
        <f>SUM(G25,G26,G28)</f>
        <v>68.734165120000014</v>
      </c>
      <c r="H30" s="35">
        <f t="shared" si="1"/>
        <v>1.8244000000000113</v>
      </c>
      <c r="I30" s="36">
        <f>IF(ISERROR(H30/D30),0,(H30/D30))</f>
        <v>2.7266573073870794E-2</v>
      </c>
      <c r="J30" s="36">
        <f t="shared" si="9"/>
        <v>0.58632213179840664</v>
      </c>
      <c r="K30" s="111">
        <f t="shared" si="10"/>
        <v>0.56968563461189514</v>
      </c>
    </row>
    <row r="31" spans="1:11" x14ac:dyDescent="0.2">
      <c r="A31" s="107" t="s">
        <v>40</v>
      </c>
      <c r="B31" s="73">
        <f>B8</f>
        <v>388.60800000000006</v>
      </c>
      <c r="C31" s="126">
        <f>VLOOKUP($B$3,'Data for Bill Impacts'!$A$3:$Y$15,15,0)</f>
        <v>5.6559999999999996E-3</v>
      </c>
      <c r="D31" s="22">
        <f>B31*C31</f>
        <v>2.1979668480000001</v>
      </c>
      <c r="E31" s="73">
        <f t="shared" si="6"/>
        <v>388.60800000000006</v>
      </c>
      <c r="F31" s="126">
        <f>VLOOKUP($B$3,'Data for Bill Impacts'!$A$3:$Y$15,24,0)</f>
        <v>5.6559999999999996E-3</v>
      </c>
      <c r="G31" s="22">
        <f>E31*F31</f>
        <v>2.1979668480000001</v>
      </c>
      <c r="H31" s="22">
        <f t="shared" si="1"/>
        <v>0</v>
      </c>
      <c r="I31" s="23">
        <f t="shared" si="2"/>
        <v>0</v>
      </c>
      <c r="J31" s="23">
        <f t="shared" si="9"/>
        <v>1.8749287282265954E-2</v>
      </c>
      <c r="K31" s="108">
        <f t="shared" si="10"/>
        <v>1.8217288832601836E-2</v>
      </c>
    </row>
    <row r="32" spans="1:11" x14ac:dyDescent="0.2">
      <c r="A32" s="107" t="s">
        <v>41</v>
      </c>
      <c r="B32" s="73">
        <f>B8</f>
        <v>388.60800000000006</v>
      </c>
      <c r="C32" s="126">
        <f>VLOOKUP($B$3,'Data for Bill Impacts'!$A$3:$Y$15,16,0)</f>
        <v>4.8209999999999998E-3</v>
      </c>
      <c r="D32" s="22">
        <f>B32*C32</f>
        <v>1.8734791680000003</v>
      </c>
      <c r="E32" s="73">
        <f t="shared" si="6"/>
        <v>388.60800000000006</v>
      </c>
      <c r="F32" s="126">
        <f>VLOOKUP($B$3,'Data for Bill Impacts'!$A$3:$Y$15,25,0)</f>
        <v>4.8209999999999998E-3</v>
      </c>
      <c r="G32" s="22">
        <f>E32*F32</f>
        <v>1.8734791680000003</v>
      </c>
      <c r="H32" s="22">
        <f t="shared" si="1"/>
        <v>0</v>
      </c>
      <c r="I32" s="23">
        <f t="shared" si="2"/>
        <v>0</v>
      </c>
      <c r="J32" s="23">
        <f t="shared" si="9"/>
        <v>1.598131435427938E-2</v>
      </c>
      <c r="K32" s="108">
        <f t="shared" si="10"/>
        <v>1.5527855279698277E-2</v>
      </c>
    </row>
    <row r="33" spans="1:11" s="1" customFormat="1" x14ac:dyDescent="0.2">
      <c r="A33" s="110" t="s">
        <v>76</v>
      </c>
      <c r="B33" s="74"/>
      <c r="C33" s="35"/>
      <c r="D33" s="35">
        <f>SUM(D31:D32)</f>
        <v>4.0714460160000003</v>
      </c>
      <c r="E33" s="73"/>
      <c r="F33" s="35"/>
      <c r="G33" s="35">
        <f>SUM(G31:G32)</f>
        <v>4.0714460160000003</v>
      </c>
      <c r="H33" s="35">
        <f t="shared" si="1"/>
        <v>0</v>
      </c>
      <c r="I33" s="36">
        <f t="shared" si="2"/>
        <v>0</v>
      </c>
      <c r="J33" s="36">
        <f t="shared" si="9"/>
        <v>3.4730601636545337E-2</v>
      </c>
      <c r="K33" s="111">
        <f t="shared" si="10"/>
        <v>3.3745144112300111E-2</v>
      </c>
    </row>
    <row r="34" spans="1:11" s="1" customFormat="1" x14ac:dyDescent="0.2">
      <c r="A34" s="110" t="s">
        <v>91</v>
      </c>
      <c r="B34" s="74"/>
      <c r="C34" s="35"/>
      <c r="D34" s="35">
        <f>D29+D33</f>
        <v>70.674070016000002</v>
      </c>
      <c r="E34" s="73"/>
      <c r="F34" s="35"/>
      <c r="G34" s="35">
        <f>G29+G33</f>
        <v>72.498470016000013</v>
      </c>
      <c r="H34" s="35">
        <f t="shared" si="1"/>
        <v>1.8244000000000113</v>
      </c>
      <c r="I34" s="36">
        <f t="shared" si="2"/>
        <v>2.5814276715448579E-2</v>
      </c>
      <c r="J34" s="36">
        <f t="shared" si="9"/>
        <v>0.6184327316363275</v>
      </c>
      <c r="K34" s="111">
        <f t="shared" si="10"/>
        <v>0.60088511771911679</v>
      </c>
    </row>
    <row r="35" spans="1:11" s="1" customFormat="1" x14ac:dyDescent="0.2">
      <c r="A35" s="110" t="s">
        <v>92</v>
      </c>
      <c r="B35" s="74"/>
      <c r="C35" s="35"/>
      <c r="D35" s="35">
        <f>D30+D33</f>
        <v>70.981211135999999</v>
      </c>
      <c r="E35" s="73"/>
      <c r="F35" s="35"/>
      <c r="G35" s="35">
        <f>G30+G33</f>
        <v>72.80561113600001</v>
      </c>
      <c r="H35" s="35">
        <f t="shared" si="1"/>
        <v>1.8244000000000113</v>
      </c>
      <c r="I35" s="36">
        <f t="shared" si="2"/>
        <v>2.5702576369181149E-2</v>
      </c>
      <c r="J35" s="36">
        <f t="shared" si="9"/>
        <v>0.62105273343495193</v>
      </c>
      <c r="K35" s="111">
        <f t="shared" si="10"/>
        <v>0.60343077872419515</v>
      </c>
    </row>
    <row r="36" spans="1:11" x14ac:dyDescent="0.2">
      <c r="A36" s="107" t="s">
        <v>42</v>
      </c>
      <c r="B36" s="73">
        <f>B8</f>
        <v>388.60800000000006</v>
      </c>
      <c r="C36" s="34">
        <v>3.5999999999999999E-3</v>
      </c>
      <c r="D36" s="22">
        <f>B36*C36</f>
        <v>1.3989888000000001</v>
      </c>
      <c r="E36" s="73">
        <f t="shared" si="6"/>
        <v>388.60800000000006</v>
      </c>
      <c r="F36" s="34">
        <v>3.5999999999999999E-3</v>
      </c>
      <c r="G36" s="22">
        <f>E36*F36</f>
        <v>1.3989888000000001</v>
      </c>
      <c r="H36" s="22">
        <f t="shared" si="1"/>
        <v>0</v>
      </c>
      <c r="I36" s="23">
        <f t="shared" si="2"/>
        <v>0</v>
      </c>
      <c r="J36" s="23">
        <f t="shared" si="9"/>
        <v>1.1933775497906194E-2</v>
      </c>
      <c r="K36" s="108">
        <f t="shared" si="10"/>
        <v>1.1595162623296785E-2</v>
      </c>
    </row>
    <row r="37" spans="1:11" x14ac:dyDescent="0.2">
      <c r="A37" s="107" t="s">
        <v>43</v>
      </c>
      <c r="B37" s="73">
        <f>B8</f>
        <v>388.60800000000006</v>
      </c>
      <c r="C37" s="34">
        <v>2.0999999999999999E-3</v>
      </c>
      <c r="D37" s="22">
        <f>B37*C37</f>
        <v>0.81607680000000005</v>
      </c>
      <c r="E37" s="73">
        <f t="shared" si="6"/>
        <v>388.60800000000006</v>
      </c>
      <c r="F37" s="34">
        <v>2.0999999999999999E-3</v>
      </c>
      <c r="G37" s="22">
        <f>E37*F37</f>
        <v>0.81607680000000005</v>
      </c>
      <c r="H37" s="22">
        <f>G37-D37</f>
        <v>0</v>
      </c>
      <c r="I37" s="23">
        <f t="shared" si="2"/>
        <v>0</v>
      </c>
      <c r="J37" s="23">
        <f t="shared" si="9"/>
        <v>6.9613690404452802E-3</v>
      </c>
      <c r="K37" s="108">
        <f t="shared" si="10"/>
        <v>6.7638448635897906E-3</v>
      </c>
    </row>
    <row r="38" spans="1:11" x14ac:dyDescent="0.2">
      <c r="A38" s="107" t="s">
        <v>96</v>
      </c>
      <c r="B38" s="73">
        <f>B8</f>
        <v>388.60800000000006</v>
      </c>
      <c r="C38" s="34">
        <v>1.1000000000000001E-3</v>
      </c>
      <c r="D38" s="22">
        <f>B38*C38</f>
        <v>0.42746880000000009</v>
      </c>
      <c r="E38" s="73">
        <f t="shared" si="6"/>
        <v>388.60800000000006</v>
      </c>
      <c r="F38" s="34">
        <v>1.1000000000000001E-3</v>
      </c>
      <c r="G38" s="22">
        <f>E38*F38</f>
        <v>0.42746880000000009</v>
      </c>
      <c r="H38" s="22">
        <f>G38-D38</f>
        <v>0</v>
      </c>
      <c r="I38" s="23">
        <f t="shared" si="2"/>
        <v>0</v>
      </c>
      <c r="J38" s="23">
        <f t="shared" si="9"/>
        <v>3.6464314021380046E-3</v>
      </c>
      <c r="K38" s="108">
        <f t="shared" si="10"/>
        <v>3.5429663571184622E-3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2.1325716649601115E-3</v>
      </c>
      <c r="K39" s="108">
        <f t="shared" si="10"/>
        <v>2.0720613744900571E-3</v>
      </c>
    </row>
    <row r="40" spans="1:11" s="1" customFormat="1" x14ac:dyDescent="0.2">
      <c r="A40" s="110" t="s">
        <v>45</v>
      </c>
      <c r="B40" s="74"/>
      <c r="C40" s="35"/>
      <c r="D40" s="35">
        <f>SUM(D36:D39)</f>
        <v>2.8925344000000002</v>
      </c>
      <c r="E40" s="73"/>
      <c r="F40" s="35"/>
      <c r="G40" s="35">
        <f>SUM(G36:G39)</f>
        <v>2.8925344000000002</v>
      </c>
      <c r="H40" s="35">
        <f t="shared" si="1"/>
        <v>0</v>
      </c>
      <c r="I40" s="36">
        <f t="shared" si="2"/>
        <v>0</v>
      </c>
      <c r="J40" s="36">
        <f t="shared" si="9"/>
        <v>2.467414760544959E-2</v>
      </c>
      <c r="K40" s="111">
        <f t="shared" si="10"/>
        <v>2.3974035218495091E-2</v>
      </c>
    </row>
    <row r="41" spans="1:11" s="1" customFormat="1" ht="13.5" thickBot="1" x14ac:dyDescent="0.25">
      <c r="A41" s="112" t="s">
        <v>46</v>
      </c>
      <c r="B41" s="113">
        <f>B4</f>
        <v>352</v>
      </c>
      <c r="C41" s="114">
        <v>0</v>
      </c>
      <c r="D41" s="115">
        <f>B41*C41</f>
        <v>0</v>
      </c>
      <c r="E41" s="116">
        <f t="shared" si="6"/>
        <v>352</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109.82260441600002</v>
      </c>
      <c r="E42" s="38"/>
      <c r="F42" s="39"/>
      <c r="G42" s="39">
        <f>SUM(G14,G25,G26,G27,G33,G40,G41)</f>
        <v>111.64700441600002</v>
      </c>
      <c r="H42" s="39">
        <f t="shared" si="1"/>
        <v>1.8243999999999971</v>
      </c>
      <c r="I42" s="40">
        <f>IF(ISERROR(H42/D42),0,(H42/D42))</f>
        <v>1.661224489895817E-2</v>
      </c>
      <c r="J42" s="40">
        <f t="shared" si="9"/>
        <v>0.95238095238095233</v>
      </c>
      <c r="K42" s="41"/>
    </row>
    <row r="43" spans="1:11" x14ac:dyDescent="0.2">
      <c r="A43" s="155" t="s">
        <v>102</v>
      </c>
      <c r="B43" s="43"/>
      <c r="C43" s="26">
        <v>0.13</v>
      </c>
      <c r="D43" s="26">
        <f>D42*C43</f>
        <v>14.276938574080003</v>
      </c>
      <c r="E43" s="26"/>
      <c r="F43" s="26">
        <f>C43</f>
        <v>0.13</v>
      </c>
      <c r="G43" s="26">
        <f>G42*F43</f>
        <v>14.514110574080002</v>
      </c>
      <c r="H43" s="26">
        <f t="shared" si="1"/>
        <v>0.23717199999999927</v>
      </c>
      <c r="I43" s="44">
        <f t="shared" si="2"/>
        <v>1.6612244898958142E-2</v>
      </c>
      <c r="J43" s="44">
        <f t="shared" si="9"/>
        <v>0.1238095238095238</v>
      </c>
      <c r="K43" s="45"/>
    </row>
    <row r="44" spans="1:11" s="1" customFormat="1" x14ac:dyDescent="0.2">
      <c r="A44" s="46" t="s">
        <v>103</v>
      </c>
      <c r="B44" s="24"/>
      <c r="C44" s="25"/>
      <c r="D44" s="25">
        <f>SUM(D42:D43)</f>
        <v>124.09954299008002</v>
      </c>
      <c r="E44" s="25"/>
      <c r="F44" s="25"/>
      <c r="G44" s="25">
        <f>SUM(G42:G43)</f>
        <v>126.16111499008002</v>
      </c>
      <c r="H44" s="25">
        <f t="shared" si="1"/>
        <v>2.0615719999999982</v>
      </c>
      <c r="I44" s="27">
        <f t="shared" si="2"/>
        <v>1.661224489895818E-2</v>
      </c>
      <c r="J44" s="27">
        <f t="shared" si="9"/>
        <v>1.0761904761904761</v>
      </c>
      <c r="K44" s="47"/>
    </row>
    <row r="45" spans="1:11" x14ac:dyDescent="0.2">
      <c r="A45" s="42" t="s">
        <v>104</v>
      </c>
      <c r="B45" s="43"/>
      <c r="C45" s="26">
        <v>-0.08</v>
      </c>
      <c r="D45" s="26">
        <f>D42*C45</f>
        <v>-8.785808353280002</v>
      </c>
      <c r="E45" s="26"/>
      <c r="F45" s="26">
        <f>C45</f>
        <v>-0.08</v>
      </c>
      <c r="G45" s="26">
        <f>G42*F45</f>
        <v>-8.9317603532800014</v>
      </c>
      <c r="H45" s="26">
        <f t="shared" si="1"/>
        <v>-0.14595199999999942</v>
      </c>
      <c r="I45" s="44">
        <f t="shared" si="2"/>
        <v>1.6612244898958128E-2</v>
      </c>
      <c r="J45" s="44">
        <f t="shared" si="9"/>
        <v>-7.6190476190476183E-2</v>
      </c>
      <c r="K45" s="45"/>
    </row>
    <row r="46" spans="1:11" s="1" customFormat="1" ht="13.5" thickBot="1" x14ac:dyDescent="0.25">
      <c r="A46" s="48" t="s">
        <v>105</v>
      </c>
      <c r="B46" s="49"/>
      <c r="C46" s="50"/>
      <c r="D46" s="50">
        <f>SUM(D44:D45)</f>
        <v>115.31373463680002</v>
      </c>
      <c r="E46" s="50"/>
      <c r="F46" s="50"/>
      <c r="G46" s="50">
        <f>SUM(G44:G45)</f>
        <v>117.22935463680002</v>
      </c>
      <c r="H46" s="50">
        <f t="shared" si="1"/>
        <v>1.9156200000000041</v>
      </c>
      <c r="I46" s="51">
        <f t="shared" si="2"/>
        <v>1.6612244898958229E-2</v>
      </c>
      <c r="J46" s="51">
        <f t="shared" si="9"/>
        <v>1</v>
      </c>
      <c r="K46" s="52"/>
    </row>
    <row r="47" spans="1:11" x14ac:dyDescent="0.2">
      <c r="A47" s="53" t="s">
        <v>106</v>
      </c>
      <c r="B47" s="54"/>
      <c r="C47" s="55"/>
      <c r="D47" s="55">
        <f>SUM(D18,D25,D26,D28,D33,D40,D41)</f>
        <v>113.08302553600001</v>
      </c>
      <c r="E47" s="55"/>
      <c r="F47" s="55"/>
      <c r="G47" s="55">
        <f>SUM(G18,G25,G26,G28,G33,G40,G41)</f>
        <v>114.90742553600002</v>
      </c>
      <c r="H47" s="55">
        <f>G47-D47</f>
        <v>1.8244000000000113</v>
      </c>
      <c r="I47" s="56">
        <f>IF(ISERROR(H47/D47),0,(H47/D47))</f>
        <v>1.6133278989950733E-2</v>
      </c>
      <c r="J47" s="56"/>
      <c r="K47" s="57">
        <f>G47/$G$51</f>
        <v>0.95238095238095244</v>
      </c>
    </row>
    <row r="48" spans="1:11" x14ac:dyDescent="0.2">
      <c r="A48" s="58" t="s">
        <v>102</v>
      </c>
      <c r="B48" s="59"/>
      <c r="C48" s="31">
        <v>0.13</v>
      </c>
      <c r="D48" s="31">
        <f>D47*C48</f>
        <v>14.700793319680001</v>
      </c>
      <c r="E48" s="31"/>
      <c r="F48" s="31">
        <f>C48</f>
        <v>0.13</v>
      </c>
      <c r="G48" s="31">
        <f>G47*F48</f>
        <v>14.937965319680004</v>
      </c>
      <c r="H48" s="31">
        <f>G48-D48</f>
        <v>0.23717200000000283</v>
      </c>
      <c r="I48" s="32">
        <f>IF(ISERROR(H48/D48),0,(H48/D48))</f>
        <v>1.6133278989950827E-2</v>
      </c>
      <c r="J48" s="32"/>
      <c r="K48" s="60">
        <f>G48/$G$51</f>
        <v>0.12380952380952381</v>
      </c>
    </row>
    <row r="49" spans="1:11" x14ac:dyDescent="0.2">
      <c r="A49" s="61" t="s">
        <v>107</v>
      </c>
      <c r="B49" s="29"/>
      <c r="C49" s="30"/>
      <c r="D49" s="30">
        <f>SUM(D47:D48)</f>
        <v>127.78381885568001</v>
      </c>
      <c r="E49" s="30"/>
      <c r="F49" s="30"/>
      <c r="G49" s="30">
        <f>SUM(G47:G48)</f>
        <v>129.84539085568002</v>
      </c>
      <c r="H49" s="30">
        <f>G49-D49</f>
        <v>2.0615720000000124</v>
      </c>
      <c r="I49" s="33">
        <f>IF(ISERROR(H49/D49),0,(H49/D49))</f>
        <v>1.613327898995073E-2</v>
      </c>
      <c r="J49" s="33"/>
      <c r="K49" s="62">
        <f>G49/$G$51</f>
        <v>1.0761904761904761</v>
      </c>
    </row>
    <row r="50" spans="1:11" x14ac:dyDescent="0.2">
      <c r="A50" s="58" t="s">
        <v>104</v>
      </c>
      <c r="B50" s="59"/>
      <c r="C50" s="31">
        <v>-0.08</v>
      </c>
      <c r="D50" s="31">
        <f>D47*C50</f>
        <v>-9.0466420428800003</v>
      </c>
      <c r="E50" s="31"/>
      <c r="F50" s="31">
        <f>C50</f>
        <v>-0.08</v>
      </c>
      <c r="G50" s="31">
        <f>G47*F50</f>
        <v>-9.1925940428800015</v>
      </c>
      <c r="H50" s="31">
        <f>G50-D50</f>
        <v>-0.14595200000000119</v>
      </c>
      <c r="I50" s="32">
        <f>IF(ISERROR(H50/D50),0,(H50/D50))</f>
        <v>1.6133278989950768E-2</v>
      </c>
      <c r="J50" s="32"/>
      <c r="K50" s="60">
        <f>G50/$G$51</f>
        <v>-7.6190476190476183E-2</v>
      </c>
    </row>
    <row r="51" spans="1:11" ht="13.5" thickBot="1" x14ac:dyDescent="0.25">
      <c r="A51" s="63" t="s">
        <v>116</v>
      </c>
      <c r="B51" s="64"/>
      <c r="C51" s="65"/>
      <c r="D51" s="65">
        <f>SUM(D49:D50)</f>
        <v>118.73717681280002</v>
      </c>
      <c r="E51" s="65"/>
      <c r="F51" s="65"/>
      <c r="G51" s="65">
        <f>SUM(G49:G50)</f>
        <v>120.65279681280002</v>
      </c>
      <c r="H51" s="65">
        <f>G51-D51</f>
        <v>1.9156200000000041</v>
      </c>
      <c r="I51" s="66">
        <f>IF(ISERROR(H51/D51),0,(H51/D51))</f>
        <v>1.6133278989950667E-2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1" tint="0.499984740745262"/>
    <pageSetUpPr fitToPage="1"/>
  </sheetPr>
  <dimension ref="A1:K68"/>
  <sheetViews>
    <sheetView tabSelected="1" view="pageBreakPreview" zoomScaleNormal="100" zoomScaleSheetLayoutView="100" workbookViewId="0">
      <selection activeCell="E1" sqref="E1:E1048576"/>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121</v>
      </c>
      <c r="B1" s="188"/>
      <c r="C1" s="188"/>
      <c r="D1" s="188"/>
      <c r="E1" s="188"/>
      <c r="F1" s="188"/>
      <c r="G1" s="188"/>
      <c r="H1" s="188"/>
      <c r="I1" s="188"/>
      <c r="J1" s="188"/>
      <c r="K1" s="189"/>
    </row>
    <row r="3" spans="1:11" x14ac:dyDescent="0.2">
      <c r="A3" s="13" t="s">
        <v>13</v>
      </c>
      <c r="B3" s="13" t="s">
        <v>3</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1.1040000000000001</v>
      </c>
    </row>
    <row r="7" spans="1:11" x14ac:dyDescent="0.2">
      <c r="A7" s="15" t="s">
        <v>15</v>
      </c>
      <c r="B7" s="15">
        <f>VLOOKUP($B$3,'Data for Bill Impacts'!$A$3:$Y$15,4,0)</f>
        <v>600</v>
      </c>
    </row>
    <row r="8" spans="1:11" x14ac:dyDescent="0.2">
      <c r="A8" s="15" t="s">
        <v>82</v>
      </c>
      <c r="B8" s="15">
        <f>B4*B6</f>
        <v>1104</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0.24397976148557468</v>
      </c>
      <c r="K12" s="106"/>
    </row>
    <row r="13" spans="1:11" x14ac:dyDescent="0.2">
      <c r="A13" s="107" t="s">
        <v>32</v>
      </c>
      <c r="B13" s="73">
        <f>IF(B4&gt;B7,(B4)-B7,0)</f>
        <v>400</v>
      </c>
      <c r="C13" s="21">
        <v>0.121</v>
      </c>
      <c r="D13" s="22">
        <f>B13*C13</f>
        <v>48.4</v>
      </c>
      <c r="E13" s="73">
        <f t="shared" ref="E13" si="0">B13</f>
        <v>400</v>
      </c>
      <c r="F13" s="21">
        <f>C13</f>
        <v>0.121</v>
      </c>
      <c r="G13" s="22">
        <f>E13*F13</f>
        <v>48.4</v>
      </c>
      <c r="H13" s="22">
        <f t="shared" ref="H13:H46" si="1">G13-D13</f>
        <v>0</v>
      </c>
      <c r="I13" s="23">
        <f t="shared" ref="I13:I46" si="2">IF(ISERROR(H13/D13),0,(H13/D13))</f>
        <v>0</v>
      </c>
      <c r="J13" s="23">
        <f>G13/$G$46</f>
        <v>0.19107800090456012</v>
      </c>
      <c r="K13" s="108"/>
    </row>
    <row r="14" spans="1:11" s="1" customFormat="1" x14ac:dyDescent="0.2">
      <c r="A14" s="46" t="s">
        <v>33</v>
      </c>
      <c r="B14" s="24"/>
      <c r="C14" s="25"/>
      <c r="D14" s="25">
        <f>SUM(D12:D13)</f>
        <v>110.19999999999999</v>
      </c>
      <c r="E14" s="76"/>
      <c r="F14" s="25"/>
      <c r="G14" s="25">
        <f>SUM(G12:G13)</f>
        <v>110.19999999999999</v>
      </c>
      <c r="H14" s="25">
        <f t="shared" si="1"/>
        <v>0</v>
      </c>
      <c r="I14" s="27">
        <f t="shared" si="2"/>
        <v>0</v>
      </c>
      <c r="J14" s="27">
        <f>G14/$G$46</f>
        <v>0.43505776239013477</v>
      </c>
      <c r="K14" s="108"/>
    </row>
    <row r="15" spans="1:11" s="1" customFormat="1" x14ac:dyDescent="0.2">
      <c r="A15" s="109" t="s">
        <v>34</v>
      </c>
      <c r="B15" s="75">
        <f>B4*0.65</f>
        <v>650</v>
      </c>
      <c r="C15" s="28">
        <v>8.6999999999999994E-2</v>
      </c>
      <c r="D15" s="22">
        <f>B15*C15</f>
        <v>56.55</v>
      </c>
      <c r="E15" s="73">
        <f t="shared" ref="E15:F17" si="3">B15</f>
        <v>650</v>
      </c>
      <c r="F15" s="28">
        <f t="shared" si="3"/>
        <v>8.6999999999999994E-2</v>
      </c>
      <c r="G15" s="22">
        <f>E15*F15</f>
        <v>56.55</v>
      </c>
      <c r="H15" s="22">
        <f t="shared" si="1"/>
        <v>0</v>
      </c>
      <c r="I15" s="23">
        <f t="shared" si="2"/>
        <v>0</v>
      </c>
      <c r="J15" s="23"/>
      <c r="K15" s="108">
        <f t="shared" ref="K15:K26" si="4">G15/$G$51</f>
        <v>0.22307711104248878</v>
      </c>
    </row>
    <row r="16" spans="1:11" s="1" customFormat="1" x14ac:dyDescent="0.2">
      <c r="A16" s="109" t="s">
        <v>35</v>
      </c>
      <c r="B16" s="75">
        <f>B4*0.17</f>
        <v>170</v>
      </c>
      <c r="C16" s="28">
        <v>0.13200000000000001</v>
      </c>
      <c r="D16" s="22">
        <f>B16*C16</f>
        <v>22.44</v>
      </c>
      <c r="E16" s="73">
        <f t="shared" si="3"/>
        <v>170</v>
      </c>
      <c r="F16" s="28">
        <f t="shared" si="3"/>
        <v>0.13200000000000001</v>
      </c>
      <c r="G16" s="22">
        <f>E16*F16</f>
        <v>22.44</v>
      </c>
      <c r="H16" s="22">
        <f t="shared" si="1"/>
        <v>0</v>
      </c>
      <c r="I16" s="23">
        <f t="shared" si="2"/>
        <v>0</v>
      </c>
      <c r="J16" s="23"/>
      <c r="K16" s="108">
        <f t="shared" si="4"/>
        <v>8.8520784647099005E-2</v>
      </c>
    </row>
    <row r="17" spans="1:11" s="1" customFormat="1" x14ac:dyDescent="0.2">
      <c r="A17" s="109" t="s">
        <v>36</v>
      </c>
      <c r="B17" s="75">
        <f>B4*0.18</f>
        <v>180</v>
      </c>
      <c r="C17" s="28">
        <v>0.18</v>
      </c>
      <c r="D17" s="22">
        <f>B17*C17</f>
        <v>32.4</v>
      </c>
      <c r="E17" s="73">
        <f t="shared" si="3"/>
        <v>180</v>
      </c>
      <c r="F17" s="28">
        <f t="shared" si="3"/>
        <v>0.18</v>
      </c>
      <c r="G17" s="22">
        <f>E17*F17</f>
        <v>32.4</v>
      </c>
      <c r="H17" s="22">
        <f t="shared" si="1"/>
        <v>0</v>
      </c>
      <c r="I17" s="23">
        <f t="shared" si="2"/>
        <v>0</v>
      </c>
      <c r="J17" s="23"/>
      <c r="K17" s="108">
        <f t="shared" si="4"/>
        <v>0.12781075858137289</v>
      </c>
    </row>
    <row r="18" spans="1:11" s="1" customFormat="1" x14ac:dyDescent="0.2">
      <c r="A18" s="61" t="s">
        <v>37</v>
      </c>
      <c r="B18" s="29"/>
      <c r="C18" s="30"/>
      <c r="D18" s="30">
        <f>SUM(D15:D17)</f>
        <v>111.38999999999999</v>
      </c>
      <c r="E18" s="77"/>
      <c r="F18" s="30"/>
      <c r="G18" s="30">
        <f>SUM(G15:G17)</f>
        <v>111.38999999999999</v>
      </c>
      <c r="H18" s="31">
        <f t="shared" si="1"/>
        <v>0</v>
      </c>
      <c r="I18" s="32">
        <f t="shared" si="2"/>
        <v>0</v>
      </c>
      <c r="J18" s="33">
        <f t="shared" ref="J18:J26" si="5">G18/$G$46</f>
        <v>0.4397557545611353</v>
      </c>
      <c r="K18" s="62">
        <f t="shared" si="4"/>
        <v>0.43940865427096065</v>
      </c>
    </row>
    <row r="19" spans="1:11" x14ac:dyDescent="0.2">
      <c r="A19" s="107" t="s">
        <v>38</v>
      </c>
      <c r="B19" s="73">
        <v>1</v>
      </c>
      <c r="C19" s="78">
        <f>VLOOKUP($B$3,'Data for Bill Impacts'!$A$3:$Y$15,7,0)</f>
        <v>40.57</v>
      </c>
      <c r="D19" s="22">
        <f>B19*C19</f>
        <v>40.57</v>
      </c>
      <c r="E19" s="73">
        <f t="shared" ref="E19:E41" si="6">B19</f>
        <v>1</v>
      </c>
      <c r="F19" s="78">
        <f>VLOOKUP($B$3,'Data for Bill Impacts'!$A$3:$Y$15,17,0)</f>
        <v>45.14</v>
      </c>
      <c r="G19" s="22">
        <f>E19*F19</f>
        <v>45.14</v>
      </c>
      <c r="H19" s="22">
        <f t="shared" si="1"/>
        <v>4.57</v>
      </c>
      <c r="I19" s="23">
        <f t="shared" si="2"/>
        <v>0.11264481143702244</v>
      </c>
      <c r="J19" s="23">
        <f t="shared" si="5"/>
        <v>0.17820787109156702</v>
      </c>
      <c r="K19" s="108">
        <f t="shared" si="4"/>
        <v>0.17806721118404853</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1000</v>
      </c>
      <c r="C23" s="78">
        <f>VLOOKUP($B$3,'Data for Bill Impacts'!$A$3:$Y$15,10,0)</f>
        <v>6.08E-2</v>
      </c>
      <c r="D23" s="22">
        <f>B23*C23</f>
        <v>60.8</v>
      </c>
      <c r="E23" s="73">
        <f t="shared" si="6"/>
        <v>1000</v>
      </c>
      <c r="F23" s="126">
        <f>VLOOKUP($B$3,'Data for Bill Impacts'!$A$3:$Y$15,19,0)</f>
        <v>5.2999999999999999E-2</v>
      </c>
      <c r="G23" s="22">
        <f>E23*F23</f>
        <v>53</v>
      </c>
      <c r="H23" s="22">
        <f t="shared" si="1"/>
        <v>-7.7999999999999972</v>
      </c>
      <c r="I23" s="23">
        <f t="shared" si="2"/>
        <v>-0.12828947368421048</v>
      </c>
      <c r="J23" s="23">
        <f t="shared" si="5"/>
        <v>0.20923830677565466</v>
      </c>
      <c r="K23" s="108">
        <f t="shared" si="4"/>
        <v>0.20907315446952973</v>
      </c>
    </row>
    <row r="24" spans="1:11" x14ac:dyDescent="0.2">
      <c r="A24" s="107" t="s">
        <v>122</v>
      </c>
      <c r="B24" s="73">
        <f>IF($B$9="kWh",$B$4,$B$5)</f>
        <v>1000</v>
      </c>
      <c r="C24" s="126">
        <f>VLOOKUP($B$3,'Data for Bill Impacts'!$A$3:$Y$15,14,0)</f>
        <v>2.0000000000000001E-4</v>
      </c>
      <c r="D24" s="22">
        <f>B24*C24</f>
        <v>0.2</v>
      </c>
      <c r="E24" s="73">
        <f>B24</f>
        <v>1000</v>
      </c>
      <c r="F24" s="126">
        <f>VLOOKUP($B$3,'Data for Bill Impacts'!$A$3:$Y$15,23,0)</f>
        <v>2.0000000000000001E-4</v>
      </c>
      <c r="G24" s="22">
        <f>E24*F24</f>
        <v>0.2</v>
      </c>
      <c r="H24" s="22">
        <f>G24-D24</f>
        <v>0</v>
      </c>
      <c r="I24" s="23">
        <f>IF(ISERROR(H24/D24),0,(H24/D24))</f>
        <v>0</v>
      </c>
      <c r="J24" s="23">
        <f t="shared" si="5"/>
        <v>7.89578516134546E-4</v>
      </c>
      <c r="K24" s="108">
        <f t="shared" si="4"/>
        <v>7.889552998850179E-4</v>
      </c>
    </row>
    <row r="25" spans="1:11" s="1" customFormat="1" x14ac:dyDescent="0.2">
      <c r="A25" s="110" t="s">
        <v>72</v>
      </c>
      <c r="B25" s="74"/>
      <c r="C25" s="35"/>
      <c r="D25" s="35">
        <f>SUM(D19:D24)</f>
        <v>101.57000000000001</v>
      </c>
      <c r="E25" s="73"/>
      <c r="F25" s="35"/>
      <c r="G25" s="35">
        <f>SUM(G19:G24)</f>
        <v>98.34</v>
      </c>
      <c r="H25" s="35">
        <f t="shared" si="1"/>
        <v>-3.230000000000004</v>
      </c>
      <c r="I25" s="36">
        <f t="shared" si="2"/>
        <v>-3.1800728561583183E-2</v>
      </c>
      <c r="J25" s="36">
        <f t="shared" si="5"/>
        <v>0.38823575638335622</v>
      </c>
      <c r="K25" s="111">
        <f t="shared" si="4"/>
        <v>0.38792932095346327</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3.1188351387314564E-3</v>
      </c>
      <c r="K26" s="108">
        <f t="shared" si="4"/>
        <v>3.1163734345458207E-3</v>
      </c>
    </row>
    <row r="27" spans="1:11" s="1" customFormat="1" x14ac:dyDescent="0.2">
      <c r="A27" s="119" t="s">
        <v>75</v>
      </c>
      <c r="B27" s="120">
        <f>B8-B4</f>
        <v>104</v>
      </c>
      <c r="C27" s="121">
        <f>IF(B4&gt;B7,C13,C12)</f>
        <v>0.121</v>
      </c>
      <c r="D27" s="22">
        <f>B27*C27</f>
        <v>12.584</v>
      </c>
      <c r="E27" s="73">
        <f>B27</f>
        <v>104</v>
      </c>
      <c r="F27" s="121">
        <f>C27</f>
        <v>0.121</v>
      </c>
      <c r="G27" s="22">
        <f>E27*F27</f>
        <v>12.584</v>
      </c>
      <c r="H27" s="22">
        <f t="shared" si="1"/>
        <v>0</v>
      </c>
      <c r="I27" s="23">
        <f>IF(ISERROR(H27/D27),0,(H27/D27))</f>
        <v>0</v>
      </c>
      <c r="J27" s="23">
        <f t="shared" ref="J27:J46" si="9">G27/$G$46</f>
        <v>4.9680280235185628E-2</v>
      </c>
      <c r="K27" s="108">
        <f t="shared" ref="K27:K41" si="10">G27/$G$51</f>
        <v>4.9641067468765322E-2</v>
      </c>
    </row>
    <row r="28" spans="1:11" s="1" customFormat="1" x14ac:dyDescent="0.2">
      <c r="A28" s="119" t="s">
        <v>74</v>
      </c>
      <c r="B28" s="120">
        <f>B8-B4</f>
        <v>104</v>
      </c>
      <c r="C28" s="121">
        <f>0.65*C15+0.17*C16+0.18*C17</f>
        <v>0.11139</v>
      </c>
      <c r="D28" s="22">
        <f>B28*C28</f>
        <v>11.58456</v>
      </c>
      <c r="E28" s="73">
        <f>B28</f>
        <v>104</v>
      </c>
      <c r="F28" s="121">
        <f>C28</f>
        <v>0.11139</v>
      </c>
      <c r="G28" s="22">
        <f>E28*F28</f>
        <v>11.58456</v>
      </c>
      <c r="H28" s="22">
        <f t="shared" si="1"/>
        <v>0</v>
      </c>
      <c r="I28" s="23">
        <f>IF(ISERROR(H28/D28),0,(H28/D28))</f>
        <v>0</v>
      </c>
      <c r="J28" s="23">
        <f t="shared" si="9"/>
        <v>4.5734598474358075E-2</v>
      </c>
      <c r="K28" s="108">
        <f t="shared" si="10"/>
        <v>4.5698500044179913E-2</v>
      </c>
    </row>
    <row r="29" spans="1:11" s="1" customFormat="1" x14ac:dyDescent="0.2">
      <c r="A29" s="110" t="s">
        <v>78</v>
      </c>
      <c r="B29" s="74"/>
      <c r="C29" s="35"/>
      <c r="D29" s="35">
        <f>SUM(D25,D26:D27)</f>
        <v>114.94400000000002</v>
      </c>
      <c r="E29" s="73"/>
      <c r="F29" s="35"/>
      <c r="G29" s="35">
        <f>SUM(G25,G26:G27)</f>
        <v>111.71400000000001</v>
      </c>
      <c r="H29" s="35">
        <f t="shared" si="1"/>
        <v>-3.230000000000004</v>
      </c>
      <c r="I29" s="36">
        <f>IF(ISERROR(H29/D29),0,(H29/D29))</f>
        <v>-2.8100640311804041E-2</v>
      </c>
      <c r="J29" s="36">
        <f t="shared" si="9"/>
        <v>0.44103487175727335</v>
      </c>
      <c r="K29" s="111">
        <f t="shared" si="10"/>
        <v>0.44068676185677447</v>
      </c>
    </row>
    <row r="30" spans="1:11" s="1" customFormat="1" x14ac:dyDescent="0.2">
      <c r="A30" s="110" t="s">
        <v>77</v>
      </c>
      <c r="B30" s="74"/>
      <c r="C30" s="35"/>
      <c r="D30" s="35">
        <f>SUM(D25,D26,D28)</f>
        <v>113.94456000000001</v>
      </c>
      <c r="E30" s="73"/>
      <c r="F30" s="35"/>
      <c r="G30" s="35">
        <f>SUM(G25,G26,G28)</f>
        <v>110.71456000000001</v>
      </c>
      <c r="H30" s="35">
        <f t="shared" si="1"/>
        <v>-3.230000000000004</v>
      </c>
      <c r="I30" s="36">
        <f>IF(ISERROR(H30/D30),0,(H30/D30))</f>
        <v>-2.8347118984881802E-2</v>
      </c>
      <c r="J30" s="36">
        <f t="shared" si="9"/>
        <v>0.4370891899964458</v>
      </c>
      <c r="K30" s="111">
        <f t="shared" si="10"/>
        <v>0.43674419443218904</v>
      </c>
    </row>
    <row r="31" spans="1:11" x14ac:dyDescent="0.2">
      <c r="A31" s="107" t="s">
        <v>40</v>
      </c>
      <c r="B31" s="73">
        <f>B8</f>
        <v>1104</v>
      </c>
      <c r="C31" s="126">
        <f>VLOOKUP($B$3,'Data for Bill Impacts'!$A$3:$Y$15,15,0)</f>
        <v>5.6559999999999996E-3</v>
      </c>
      <c r="D31" s="22">
        <f>B31*C31</f>
        <v>6.2442239999999991</v>
      </c>
      <c r="E31" s="73">
        <f t="shared" si="6"/>
        <v>1104</v>
      </c>
      <c r="F31" s="126">
        <f>VLOOKUP($B$3,'Data for Bill Impacts'!$A$3:$Y$15,24,0)</f>
        <v>5.6559999999999996E-3</v>
      </c>
      <c r="G31" s="22">
        <f>E31*F31</f>
        <v>6.2442239999999991</v>
      </c>
      <c r="H31" s="22">
        <f t="shared" si="1"/>
        <v>0</v>
      </c>
      <c r="I31" s="23">
        <f t="shared" si="2"/>
        <v>0</v>
      </c>
      <c r="J31" s="23">
        <f t="shared" si="9"/>
        <v>2.4651525601658592E-2</v>
      </c>
      <c r="K31" s="108">
        <f t="shared" si="10"/>
        <v>2.4632068092346124E-2</v>
      </c>
    </row>
    <row r="32" spans="1:11" x14ac:dyDescent="0.2">
      <c r="A32" s="107" t="s">
        <v>41</v>
      </c>
      <c r="B32" s="73">
        <f>B8</f>
        <v>1104</v>
      </c>
      <c r="C32" s="126">
        <f>VLOOKUP($B$3,'Data for Bill Impacts'!$A$3:$Y$15,16,0)</f>
        <v>4.8209999999999998E-3</v>
      </c>
      <c r="D32" s="22">
        <f>B32*C32</f>
        <v>5.3223839999999996</v>
      </c>
      <c r="E32" s="73">
        <f t="shared" si="6"/>
        <v>1104</v>
      </c>
      <c r="F32" s="126">
        <f>VLOOKUP($B$3,'Data for Bill Impacts'!$A$3:$Y$15,25,0)</f>
        <v>4.8209999999999998E-3</v>
      </c>
      <c r="G32" s="22">
        <f>E32*F32</f>
        <v>5.3223839999999996</v>
      </c>
      <c r="H32" s="22">
        <f t="shared" si="1"/>
        <v>0</v>
      </c>
      <c r="I32" s="23">
        <f t="shared" si="2"/>
        <v>0</v>
      </c>
      <c r="J32" s="23">
        <f t="shared" si="9"/>
        <v>2.1012200305091242E-2</v>
      </c>
      <c r="K32" s="108">
        <f t="shared" si="10"/>
        <v>2.0995615324116104E-2</v>
      </c>
    </row>
    <row r="33" spans="1:11" s="1" customFormat="1" x14ac:dyDescent="0.2">
      <c r="A33" s="110" t="s">
        <v>76</v>
      </c>
      <c r="B33" s="74"/>
      <c r="C33" s="35"/>
      <c r="D33" s="35">
        <f>SUM(D31:D32)</f>
        <v>11.566607999999999</v>
      </c>
      <c r="E33" s="73"/>
      <c r="F33" s="35"/>
      <c r="G33" s="35">
        <f>SUM(G31:G32)</f>
        <v>11.566607999999999</v>
      </c>
      <c r="H33" s="35">
        <f t="shared" si="1"/>
        <v>0</v>
      </c>
      <c r="I33" s="36">
        <f t="shared" si="2"/>
        <v>0</v>
      </c>
      <c r="J33" s="36">
        <f t="shared" si="9"/>
        <v>4.5663725906749837E-2</v>
      </c>
      <c r="K33" s="111">
        <f t="shared" si="10"/>
        <v>4.5627683416462228E-2</v>
      </c>
    </row>
    <row r="34" spans="1:11" s="1" customFormat="1" x14ac:dyDescent="0.2">
      <c r="A34" s="110" t="s">
        <v>91</v>
      </c>
      <c r="B34" s="74"/>
      <c r="C34" s="35"/>
      <c r="D34" s="35">
        <f>D29+D33</f>
        <v>126.51060800000002</v>
      </c>
      <c r="E34" s="73"/>
      <c r="F34" s="35"/>
      <c r="G34" s="35">
        <f>G29+G33</f>
        <v>123.28060800000002</v>
      </c>
      <c r="H34" s="35">
        <f t="shared" si="1"/>
        <v>-3.230000000000004</v>
      </c>
      <c r="I34" s="36">
        <f t="shared" si="2"/>
        <v>-2.5531455828589518E-2</v>
      </c>
      <c r="J34" s="36">
        <f t="shared" si="9"/>
        <v>0.48669859766402324</v>
      </c>
      <c r="K34" s="111">
        <f t="shared" si="10"/>
        <v>0.4863144452732367</v>
      </c>
    </row>
    <row r="35" spans="1:11" s="1" customFormat="1" x14ac:dyDescent="0.2">
      <c r="A35" s="110" t="s">
        <v>92</v>
      </c>
      <c r="B35" s="74"/>
      <c r="C35" s="35"/>
      <c r="D35" s="35">
        <f>D30+D33</f>
        <v>125.51116800000001</v>
      </c>
      <c r="E35" s="73"/>
      <c r="F35" s="35"/>
      <c r="G35" s="35">
        <f>G30+G33</f>
        <v>122.28116800000001</v>
      </c>
      <c r="H35" s="35">
        <f t="shared" si="1"/>
        <v>-3.230000000000004</v>
      </c>
      <c r="I35" s="36">
        <f t="shared" si="2"/>
        <v>-2.5734761706623619E-2</v>
      </c>
      <c r="J35" s="36">
        <f t="shared" si="9"/>
        <v>0.48275291590319563</v>
      </c>
      <c r="K35" s="111">
        <f t="shared" si="10"/>
        <v>0.48237187784865126</v>
      </c>
    </row>
    <row r="36" spans="1:11" x14ac:dyDescent="0.2">
      <c r="A36" s="107" t="s">
        <v>42</v>
      </c>
      <c r="B36" s="73">
        <f>B8</f>
        <v>1104</v>
      </c>
      <c r="C36" s="34">
        <v>3.5999999999999999E-3</v>
      </c>
      <c r="D36" s="22">
        <f>B36*C36</f>
        <v>3.9743999999999997</v>
      </c>
      <c r="E36" s="73">
        <f t="shared" si="6"/>
        <v>1104</v>
      </c>
      <c r="F36" s="34">
        <v>3.5999999999999999E-3</v>
      </c>
      <c r="G36" s="22">
        <f>E36*F36</f>
        <v>3.9743999999999997</v>
      </c>
      <c r="H36" s="22">
        <f t="shared" si="1"/>
        <v>0</v>
      </c>
      <c r="I36" s="23">
        <f t="shared" si="2"/>
        <v>0</v>
      </c>
      <c r="J36" s="23">
        <f t="shared" si="9"/>
        <v>1.5690504272625694E-2</v>
      </c>
      <c r="K36" s="108">
        <f t="shared" si="10"/>
        <v>1.5678119719315074E-2</v>
      </c>
    </row>
    <row r="37" spans="1:11" x14ac:dyDescent="0.2">
      <c r="A37" s="107" t="s">
        <v>43</v>
      </c>
      <c r="B37" s="73">
        <f>B8</f>
        <v>1104</v>
      </c>
      <c r="C37" s="34">
        <v>2.0999999999999999E-3</v>
      </c>
      <c r="D37" s="22">
        <f>B37*C37</f>
        <v>2.3184</v>
      </c>
      <c r="E37" s="73">
        <f t="shared" si="6"/>
        <v>1104</v>
      </c>
      <c r="F37" s="34">
        <v>2.0999999999999999E-3</v>
      </c>
      <c r="G37" s="22">
        <f>E37*F37</f>
        <v>2.3184</v>
      </c>
      <c r="H37" s="22">
        <f>G37-D37</f>
        <v>0</v>
      </c>
      <c r="I37" s="23">
        <f t="shared" si="2"/>
        <v>0</v>
      </c>
      <c r="J37" s="23">
        <f t="shared" si="9"/>
        <v>9.1527941590316565E-3</v>
      </c>
      <c r="K37" s="108">
        <f t="shared" si="10"/>
        <v>9.1455698362671277E-3</v>
      </c>
    </row>
    <row r="38" spans="1:11" x14ac:dyDescent="0.2">
      <c r="A38" s="107" t="s">
        <v>96</v>
      </c>
      <c r="B38" s="73">
        <f>B8</f>
        <v>1104</v>
      </c>
      <c r="C38" s="34">
        <v>1.1000000000000001E-3</v>
      </c>
      <c r="D38" s="22">
        <f>B38*C38</f>
        <v>1.2144000000000001</v>
      </c>
      <c r="E38" s="73">
        <f t="shared" si="6"/>
        <v>1104</v>
      </c>
      <c r="F38" s="34">
        <v>1.1000000000000001E-3</v>
      </c>
      <c r="G38" s="22">
        <f>E38*F38</f>
        <v>1.2144000000000001</v>
      </c>
      <c r="H38" s="22">
        <f>G38-D38</f>
        <v>0</v>
      </c>
      <c r="I38" s="23">
        <f t="shared" ref="I38" si="11">IF(ISERROR(H38/D38),0,(H38/D38))</f>
        <v>0</v>
      </c>
      <c r="J38" s="23">
        <f t="shared" ref="J38" si="12">G38/$G$46</f>
        <v>4.7943207499689632E-3</v>
      </c>
      <c r="K38" s="108">
        <f t="shared" ref="K38" si="13">G38/$G$51</f>
        <v>4.790536580901829E-3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9.8697314516818231E-4</v>
      </c>
      <c r="K39" s="108">
        <f t="shared" si="10"/>
        <v>9.8619412485627237E-4</v>
      </c>
    </row>
    <row r="40" spans="1:11" s="1" customFormat="1" x14ac:dyDescent="0.2">
      <c r="A40" s="110" t="s">
        <v>45</v>
      </c>
      <c r="B40" s="74"/>
      <c r="C40" s="35"/>
      <c r="D40" s="35">
        <f>SUM(D36:D39)</f>
        <v>7.7572000000000001</v>
      </c>
      <c r="E40" s="73"/>
      <c r="F40" s="35"/>
      <c r="G40" s="35">
        <f>SUM(G36:G39)</f>
        <v>7.7572000000000001</v>
      </c>
      <c r="H40" s="35">
        <f t="shared" si="1"/>
        <v>0</v>
      </c>
      <c r="I40" s="36">
        <f t="shared" si="2"/>
        <v>0</v>
      </c>
      <c r="J40" s="36">
        <f t="shared" si="9"/>
        <v>3.0624592326794497E-2</v>
      </c>
      <c r="K40" s="111">
        <f t="shared" si="10"/>
        <v>3.0600420261340303E-2</v>
      </c>
    </row>
    <row r="41" spans="1:11" s="1" customFormat="1" ht="13.5" thickBot="1" x14ac:dyDescent="0.25">
      <c r="A41" s="112" t="s">
        <v>46</v>
      </c>
      <c r="B41" s="113">
        <f>B4</f>
        <v>1000</v>
      </c>
      <c r="C41" s="114">
        <v>0</v>
      </c>
      <c r="D41" s="115">
        <f>B41*C41</f>
        <v>0</v>
      </c>
      <c r="E41" s="116">
        <f t="shared" si="6"/>
        <v>1000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244.46780799999999</v>
      </c>
      <c r="E42" s="38"/>
      <c r="F42" s="39"/>
      <c r="G42" s="39">
        <f>SUM(G14,G25,G26,G27,G33,G40,G41)</f>
        <v>241.237808</v>
      </c>
      <c r="H42" s="39">
        <f t="shared" si="1"/>
        <v>-3.2299999999999898</v>
      </c>
      <c r="I42" s="40">
        <f>IF(ISERROR(H42/D42),0,(H42/D42))</f>
        <v>-1.3212373548995007E-2</v>
      </c>
      <c r="J42" s="40">
        <f t="shared" si="9"/>
        <v>0.95238095238095244</v>
      </c>
      <c r="K42" s="41"/>
    </row>
    <row r="43" spans="1:11" x14ac:dyDescent="0.2">
      <c r="A43" s="155" t="s">
        <v>102</v>
      </c>
      <c r="B43" s="43"/>
      <c r="C43" s="26">
        <v>0.13</v>
      </c>
      <c r="D43" s="26">
        <f>D42*C43</f>
        <v>31.78081504</v>
      </c>
      <c r="E43" s="26"/>
      <c r="F43" s="26">
        <f>C43</f>
        <v>0.13</v>
      </c>
      <c r="G43" s="26">
        <f>G42*F43</f>
        <v>31.360915040000002</v>
      </c>
      <c r="H43" s="26">
        <f t="shared" si="1"/>
        <v>-0.41989999999999839</v>
      </c>
      <c r="I43" s="44">
        <f t="shared" si="2"/>
        <v>-1.3212373548994997E-2</v>
      </c>
      <c r="J43" s="44">
        <f t="shared" si="9"/>
        <v>0.12380952380952383</v>
      </c>
      <c r="K43" s="45"/>
    </row>
    <row r="44" spans="1:11" s="1" customFormat="1" x14ac:dyDescent="0.2">
      <c r="A44" s="46" t="s">
        <v>103</v>
      </c>
      <c r="B44" s="24"/>
      <c r="C44" s="25"/>
      <c r="D44" s="25">
        <f>SUM(D42:D43)</f>
        <v>276.24862303999998</v>
      </c>
      <c r="E44" s="25"/>
      <c r="F44" s="25"/>
      <c r="G44" s="25">
        <f>SUM(G42:G43)</f>
        <v>272.59872303999998</v>
      </c>
      <c r="H44" s="25">
        <f t="shared" si="1"/>
        <v>-3.6499000000000024</v>
      </c>
      <c r="I44" s="27">
        <f t="shared" si="2"/>
        <v>-1.3212373548995057E-2</v>
      </c>
      <c r="J44" s="27">
        <f t="shared" si="9"/>
        <v>1.0761904761904761</v>
      </c>
      <c r="K44" s="47"/>
    </row>
    <row r="45" spans="1:11" x14ac:dyDescent="0.2">
      <c r="A45" s="42" t="s">
        <v>104</v>
      </c>
      <c r="B45" s="43"/>
      <c r="C45" s="26">
        <v>-0.08</v>
      </c>
      <c r="D45" s="26">
        <f>D42*C45</f>
        <v>-19.557424640000001</v>
      </c>
      <c r="E45" s="26"/>
      <c r="F45" s="26">
        <f>C45</f>
        <v>-0.08</v>
      </c>
      <c r="G45" s="26">
        <f>G42*F45</f>
        <v>-19.299024639999999</v>
      </c>
      <c r="H45" s="26">
        <f t="shared" si="1"/>
        <v>0.25840000000000174</v>
      </c>
      <c r="I45" s="44">
        <f t="shared" si="2"/>
        <v>-1.3212373548995137E-2</v>
      </c>
      <c r="J45" s="44">
        <f t="shared" si="9"/>
        <v>-7.6190476190476197E-2</v>
      </c>
      <c r="K45" s="45"/>
    </row>
    <row r="46" spans="1:11" s="1" customFormat="1" ht="13.5" thickBot="1" x14ac:dyDescent="0.25">
      <c r="A46" s="48" t="s">
        <v>105</v>
      </c>
      <c r="B46" s="49"/>
      <c r="C46" s="50"/>
      <c r="D46" s="50">
        <f>SUM(D44:D45)</f>
        <v>256.69119839999996</v>
      </c>
      <c r="E46" s="50"/>
      <c r="F46" s="50"/>
      <c r="G46" s="50">
        <f>SUM(G44:G45)</f>
        <v>253.29969839999998</v>
      </c>
      <c r="H46" s="50">
        <f t="shared" si="1"/>
        <v>-3.3914999999999793</v>
      </c>
      <c r="I46" s="51">
        <f t="shared" si="2"/>
        <v>-1.3212373548994969E-2</v>
      </c>
      <c r="J46" s="51">
        <f t="shared" si="9"/>
        <v>1</v>
      </c>
      <c r="K46" s="52"/>
    </row>
    <row r="47" spans="1:11" x14ac:dyDescent="0.2">
      <c r="A47" s="53" t="s">
        <v>106</v>
      </c>
      <c r="B47" s="54"/>
      <c r="C47" s="55"/>
      <c r="D47" s="55">
        <f>SUM(D18,D25,D26,D28,D33,D40,D41)</f>
        <v>244.658368</v>
      </c>
      <c r="E47" s="55"/>
      <c r="F47" s="55"/>
      <c r="G47" s="55">
        <f>SUM(G18,G25,G26,G28,G33,G40,G41)</f>
        <v>241.42836800000001</v>
      </c>
      <c r="H47" s="55">
        <f>G47-D47</f>
        <v>-3.2299999999999898</v>
      </c>
      <c r="I47" s="56">
        <f>IF(ISERROR(H47/D47),0,(H47/D47))</f>
        <v>-1.3202082669005582E-2</v>
      </c>
      <c r="J47" s="56"/>
      <c r="K47" s="57">
        <f>G47/$G$51</f>
        <v>0.95238095238095233</v>
      </c>
    </row>
    <row r="48" spans="1:11" x14ac:dyDescent="0.2">
      <c r="A48" s="58" t="s">
        <v>102</v>
      </c>
      <c r="B48" s="59"/>
      <c r="C48" s="31">
        <v>0.13</v>
      </c>
      <c r="D48" s="31">
        <f>D47*C48</f>
        <v>31.805587840000001</v>
      </c>
      <c r="E48" s="31"/>
      <c r="F48" s="31">
        <f>C48</f>
        <v>0.13</v>
      </c>
      <c r="G48" s="31">
        <f>G47*F48</f>
        <v>31.385687840000003</v>
      </c>
      <c r="H48" s="31">
        <f>G48-D48</f>
        <v>-0.41989999999999839</v>
      </c>
      <c r="I48" s="32">
        <f>IF(ISERROR(H48/D48),0,(H48/D48))</f>
        <v>-1.3202082669005572E-2</v>
      </c>
      <c r="J48" s="32"/>
      <c r="K48" s="60">
        <f>G48/$G$51</f>
        <v>0.1238095238095238</v>
      </c>
    </row>
    <row r="49" spans="1:11" x14ac:dyDescent="0.2">
      <c r="A49" s="151" t="s">
        <v>107</v>
      </c>
      <c r="B49" s="29"/>
      <c r="C49" s="30"/>
      <c r="D49" s="30">
        <f>SUM(D47:D48)</f>
        <v>276.46395583999998</v>
      </c>
      <c r="E49" s="30"/>
      <c r="F49" s="30"/>
      <c r="G49" s="30">
        <f>SUM(G47:G48)</f>
        <v>272.81405584000004</v>
      </c>
      <c r="H49" s="30">
        <f>G49-D49</f>
        <v>-3.6498999999999455</v>
      </c>
      <c r="I49" s="33">
        <f>IF(ISERROR(H49/D49),0,(H49/D49))</f>
        <v>-1.3202082669005428E-2</v>
      </c>
      <c r="J49" s="33"/>
      <c r="K49" s="62">
        <f>G49/$G$51</f>
        <v>1.0761904761904761</v>
      </c>
    </row>
    <row r="50" spans="1:11" x14ac:dyDescent="0.2">
      <c r="A50" s="58" t="s">
        <v>104</v>
      </c>
      <c r="B50" s="59"/>
      <c r="C50" s="31">
        <v>-0.08</v>
      </c>
      <c r="D50" s="31">
        <f>D47*C50</f>
        <v>-19.572669439999999</v>
      </c>
      <c r="E50" s="31"/>
      <c r="F50" s="31">
        <f>C50</f>
        <v>-0.08</v>
      </c>
      <c r="G50" s="31">
        <f>G47*F50</f>
        <v>-19.31426944</v>
      </c>
      <c r="H50" s="31">
        <f>G50-D50</f>
        <v>0.25839999999999819</v>
      </c>
      <c r="I50" s="32">
        <f>IF(ISERROR(H50/D50),0,(H50/D50))</f>
        <v>-1.3202082669005532E-2</v>
      </c>
      <c r="J50" s="32"/>
      <c r="K50" s="60">
        <f>G50/$G$51</f>
        <v>-7.6190476190476183E-2</v>
      </c>
    </row>
    <row r="51" spans="1:11" ht="13.5" thickBot="1" x14ac:dyDescent="0.25">
      <c r="A51" s="63" t="s">
        <v>116</v>
      </c>
      <c r="B51" s="64"/>
      <c r="C51" s="65"/>
      <c r="D51" s="65">
        <f>SUM(D49:D50)</f>
        <v>256.89128640000001</v>
      </c>
      <c r="E51" s="65"/>
      <c r="F51" s="65"/>
      <c r="G51" s="65">
        <f>SUM(G49:G50)</f>
        <v>253.49978640000003</v>
      </c>
      <c r="H51" s="65">
        <f>G51-D51</f>
        <v>-3.3914999999999793</v>
      </c>
      <c r="I51" s="66">
        <f>IF(ISERROR(H51/D51),0,(H51/D51))</f>
        <v>-1.3202082669005542E-2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1" tint="0.499984740745262"/>
    <pageSetUpPr fitToPage="1"/>
  </sheetPr>
  <dimension ref="A1:K68"/>
  <sheetViews>
    <sheetView tabSelected="1" view="pageBreakPreview" topLeftCell="A16"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118</v>
      </c>
      <c r="B1" s="188"/>
      <c r="C1" s="188"/>
      <c r="D1" s="188"/>
      <c r="E1" s="188"/>
      <c r="F1" s="188"/>
      <c r="G1" s="188"/>
      <c r="H1" s="188"/>
      <c r="I1" s="188"/>
      <c r="J1" s="188"/>
      <c r="K1" s="189"/>
    </row>
    <row r="3" spans="1:11" x14ac:dyDescent="0.2">
      <c r="A3" s="13" t="s">
        <v>13</v>
      </c>
      <c r="B3" s="13" t="s">
        <v>6</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1067</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0.37515123457150301</v>
      </c>
      <c r="K12" s="106"/>
    </row>
    <row r="13" spans="1:11" x14ac:dyDescent="0.2">
      <c r="A13" s="107" t="s">
        <v>32</v>
      </c>
      <c r="B13" s="73">
        <f>IF(B4&gt;B7,(B4)-B7,0)</f>
        <v>250</v>
      </c>
      <c r="C13" s="21">
        <v>0.121</v>
      </c>
      <c r="D13" s="22">
        <f>B13*C13</f>
        <v>30.25</v>
      </c>
      <c r="E13" s="73">
        <f t="shared" ref="E13" si="0">B13</f>
        <v>250</v>
      </c>
      <c r="F13" s="21">
        <f>C13</f>
        <v>0.121</v>
      </c>
      <c r="G13" s="22">
        <f>E13*F13</f>
        <v>30.25</v>
      </c>
      <c r="H13" s="22">
        <f t="shared" ref="H13:H46" si="1">G13-D13</f>
        <v>0</v>
      </c>
      <c r="I13" s="23">
        <f t="shared" ref="I13:I46" si="2">IF(ISERROR(H13/D13),0,(H13/D13))</f>
        <v>0</v>
      </c>
      <c r="J13" s="23">
        <f>G13/$G$46</f>
        <v>0.14690388149887335</v>
      </c>
      <c r="K13" s="108"/>
    </row>
    <row r="14" spans="1:11" s="1" customFormat="1" x14ac:dyDescent="0.2">
      <c r="A14" s="46" t="s">
        <v>33</v>
      </c>
      <c r="B14" s="24"/>
      <c r="C14" s="25"/>
      <c r="D14" s="25">
        <f>SUM(D12:D13)</f>
        <v>107.5</v>
      </c>
      <c r="E14" s="76"/>
      <c r="F14" s="25"/>
      <c r="G14" s="25">
        <f>SUM(G12:G13)</f>
        <v>107.5</v>
      </c>
      <c r="H14" s="25">
        <f t="shared" si="1"/>
        <v>0</v>
      </c>
      <c r="I14" s="27">
        <f t="shared" si="2"/>
        <v>0</v>
      </c>
      <c r="J14" s="27">
        <f>G14/$G$46</f>
        <v>0.52205511607037636</v>
      </c>
      <c r="K14" s="108"/>
    </row>
    <row r="15" spans="1:11" s="1" customFormat="1" x14ac:dyDescent="0.2">
      <c r="A15" s="109" t="s">
        <v>34</v>
      </c>
      <c r="B15" s="75">
        <f>B4*0.65</f>
        <v>650</v>
      </c>
      <c r="C15" s="28">
        <v>8.6999999999999994E-2</v>
      </c>
      <c r="D15" s="22">
        <f>B15*C15</f>
        <v>56.55</v>
      </c>
      <c r="E15" s="73">
        <f t="shared" ref="E15:F17" si="3">B15</f>
        <v>650</v>
      </c>
      <c r="F15" s="28">
        <f t="shared" si="3"/>
        <v>8.6999999999999994E-2</v>
      </c>
      <c r="G15" s="22">
        <f>E15*F15</f>
        <v>56.55</v>
      </c>
      <c r="H15" s="22">
        <f t="shared" si="1"/>
        <v>0</v>
      </c>
      <c r="I15" s="23">
        <f t="shared" si="2"/>
        <v>0</v>
      </c>
      <c r="J15" s="23"/>
      <c r="K15" s="108">
        <f t="shared" ref="K15:K26" si="4">G15/$G$51</f>
        <v>0.27015356098810367</v>
      </c>
    </row>
    <row r="16" spans="1:11" s="1" customFormat="1" x14ac:dyDescent="0.2">
      <c r="A16" s="109" t="s">
        <v>35</v>
      </c>
      <c r="B16" s="75">
        <f>B4*0.17</f>
        <v>170</v>
      </c>
      <c r="C16" s="28">
        <v>0.13200000000000001</v>
      </c>
      <c r="D16" s="22">
        <f>B16*C16</f>
        <v>22.44</v>
      </c>
      <c r="E16" s="73">
        <f t="shared" si="3"/>
        <v>170</v>
      </c>
      <c r="F16" s="28">
        <f t="shared" si="3"/>
        <v>0.13200000000000001</v>
      </c>
      <c r="G16" s="22">
        <f>E16*F16</f>
        <v>22.44</v>
      </c>
      <c r="H16" s="22">
        <f t="shared" si="1"/>
        <v>0</v>
      </c>
      <c r="I16" s="23">
        <f t="shared" si="2"/>
        <v>0</v>
      </c>
      <c r="J16" s="23"/>
      <c r="K16" s="108">
        <f t="shared" si="4"/>
        <v>0.10720151916132709</v>
      </c>
    </row>
    <row r="17" spans="1:11" s="1" customFormat="1" x14ac:dyDescent="0.2">
      <c r="A17" s="109" t="s">
        <v>36</v>
      </c>
      <c r="B17" s="75">
        <f>B4*0.18</f>
        <v>180</v>
      </c>
      <c r="C17" s="28">
        <v>0.18</v>
      </c>
      <c r="D17" s="22">
        <f>B17*C17</f>
        <v>32.4</v>
      </c>
      <c r="E17" s="73">
        <f t="shared" si="3"/>
        <v>180</v>
      </c>
      <c r="F17" s="28">
        <f t="shared" si="3"/>
        <v>0.18</v>
      </c>
      <c r="G17" s="22">
        <f>E17*F17</f>
        <v>32.4</v>
      </c>
      <c r="H17" s="22">
        <f t="shared" si="1"/>
        <v>0</v>
      </c>
      <c r="I17" s="23">
        <f t="shared" si="2"/>
        <v>0</v>
      </c>
      <c r="J17" s="23"/>
      <c r="K17" s="108">
        <f t="shared" si="4"/>
        <v>0.1547829421045899</v>
      </c>
    </row>
    <row r="18" spans="1:11" s="1" customFormat="1" x14ac:dyDescent="0.2">
      <c r="A18" s="61" t="s">
        <v>37</v>
      </c>
      <c r="B18" s="29"/>
      <c r="C18" s="30"/>
      <c r="D18" s="30">
        <f>SUM(D15:D17)</f>
        <v>111.38999999999999</v>
      </c>
      <c r="E18" s="77"/>
      <c r="F18" s="30"/>
      <c r="G18" s="30">
        <f>SUM(G15:G17)</f>
        <v>111.38999999999999</v>
      </c>
      <c r="H18" s="31">
        <f t="shared" si="1"/>
        <v>0</v>
      </c>
      <c r="I18" s="32">
        <f t="shared" si="2"/>
        <v>0</v>
      </c>
      <c r="J18" s="33">
        <f t="shared" ref="J18:J23" si="5">G18/$G$46</f>
        <v>0.54094622678213222</v>
      </c>
      <c r="K18" s="62">
        <f t="shared" si="4"/>
        <v>0.53213802225402063</v>
      </c>
    </row>
    <row r="19" spans="1:11" x14ac:dyDescent="0.2">
      <c r="A19" s="107" t="s">
        <v>38</v>
      </c>
      <c r="B19" s="73">
        <v>1</v>
      </c>
      <c r="C19" s="78">
        <f>VLOOKUP($B$3,'Data for Bill Impacts'!$A$3:$Y$15,7,0)</f>
        <v>23.97</v>
      </c>
      <c r="D19" s="22">
        <f>B19*C19</f>
        <v>23.97</v>
      </c>
      <c r="E19" s="73">
        <f t="shared" ref="E19:E41" si="6">B19</f>
        <v>1</v>
      </c>
      <c r="F19" s="78">
        <f>VLOOKUP($B$3,'Data for Bill Impacts'!$A$3:$Y$15,17,0)</f>
        <v>24.52</v>
      </c>
      <c r="G19" s="22">
        <f>E19*F19</f>
        <v>24.52</v>
      </c>
      <c r="H19" s="22">
        <f t="shared" si="1"/>
        <v>0.55000000000000071</v>
      </c>
      <c r="I19" s="23">
        <f t="shared" si="2"/>
        <v>2.2945348352106831E-2</v>
      </c>
      <c r="J19" s="23">
        <f t="shared" si="5"/>
        <v>0.119077129730657</v>
      </c>
      <c r="K19" s="108">
        <f t="shared" si="4"/>
        <v>0.11713820186433779</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110</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4.8563266611197796E-5</v>
      </c>
      <c r="K22" s="108">
        <f t="shared" si="4"/>
        <v>4.7772512995243801E-5</v>
      </c>
    </row>
    <row r="23" spans="1:11" x14ac:dyDescent="0.2">
      <c r="A23" s="107" t="s">
        <v>39</v>
      </c>
      <c r="B23" s="73">
        <f>IF($B$9="kWh",$B$4,$B$5)</f>
        <v>1000</v>
      </c>
      <c r="C23" s="126">
        <f>VLOOKUP($B$3,'Data for Bill Impacts'!$A$3:$Y$15,10,0)</f>
        <v>2.8000000000000001E-2</v>
      </c>
      <c r="D23" s="22">
        <f>B23*C23</f>
        <v>28</v>
      </c>
      <c r="E23" s="73">
        <f t="shared" si="6"/>
        <v>1000</v>
      </c>
      <c r="F23" s="78">
        <f>VLOOKUP($B$3,'Data for Bill Impacts'!$A$3:$Y$15,19,0)</f>
        <v>2.9000000000000001E-2</v>
      </c>
      <c r="G23" s="22">
        <f>E23*F23</f>
        <v>29</v>
      </c>
      <c r="H23" s="22">
        <f t="shared" si="1"/>
        <v>1</v>
      </c>
      <c r="I23" s="23">
        <f t="shared" si="2"/>
        <v>3.5714285714285712E-2</v>
      </c>
      <c r="J23" s="23">
        <f t="shared" si="5"/>
        <v>0.14083347317247361</v>
      </c>
      <c r="K23" s="108">
        <f t="shared" si="4"/>
        <v>0.13854028768620702</v>
      </c>
    </row>
    <row r="24" spans="1:11" x14ac:dyDescent="0.2">
      <c r="A24" s="107" t="s">
        <v>122</v>
      </c>
      <c r="B24" s="73">
        <f>IF($B$9="kWh",$B$4,$B$5)</f>
        <v>1000</v>
      </c>
      <c r="C24" s="126">
        <f>VLOOKUP($B$3,'Data for Bill Impacts'!$A$3:$Y$15,14,0)</f>
        <v>2.0000000000000001E-4</v>
      </c>
      <c r="D24" s="22">
        <f>B24*C24</f>
        <v>0.2</v>
      </c>
      <c r="E24" s="73">
        <f t="shared" si="6"/>
        <v>1000</v>
      </c>
      <c r="F24" s="126">
        <f>VLOOKUP($B$3,'Data for Bill Impacts'!$A$3:$Y$15,23,0)</f>
        <v>2.0000000000000001E-4</v>
      </c>
      <c r="G24" s="22">
        <f>E24*F24</f>
        <v>0.2</v>
      </c>
      <c r="H24" s="22">
        <f t="shared" si="1"/>
        <v>0</v>
      </c>
      <c r="I24" s="23">
        <f>IF(ISERROR(H24/D24),0,(H24/D24))</f>
        <v>0</v>
      </c>
      <c r="J24" s="23">
        <f t="shared" ref="J24" si="9">G24/$G$46</f>
        <v>9.7126533222395605E-4</v>
      </c>
      <c r="K24" s="108">
        <f t="shared" si="4"/>
        <v>9.5545025990487599E-4</v>
      </c>
    </row>
    <row r="25" spans="1:11" s="1" customFormat="1" x14ac:dyDescent="0.2">
      <c r="A25" s="110" t="s">
        <v>72</v>
      </c>
      <c r="B25" s="74"/>
      <c r="C25" s="35"/>
      <c r="D25" s="35">
        <f>SUM(D19:D24)</f>
        <v>52.180000000000007</v>
      </c>
      <c r="E25" s="73"/>
      <c r="F25" s="35"/>
      <c r="G25" s="35">
        <f>SUM(G19:G24)</f>
        <v>53.730000000000004</v>
      </c>
      <c r="H25" s="35">
        <f t="shared" si="1"/>
        <v>1.5499999999999972</v>
      </c>
      <c r="I25" s="36">
        <f t="shared" si="2"/>
        <v>2.9704867765427308E-2</v>
      </c>
      <c r="J25" s="36">
        <f>G25/$G$46</f>
        <v>0.26093043150196576</v>
      </c>
      <c r="K25" s="111">
        <f t="shared" si="4"/>
        <v>0.25668171232344494</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3.8364980622846261E-3</v>
      </c>
      <c r="K26" s="108">
        <f t="shared" si="4"/>
        <v>3.7740285266242603E-3</v>
      </c>
    </row>
    <row r="27" spans="1:11" s="1" customFormat="1" x14ac:dyDescent="0.2">
      <c r="A27" s="119" t="s">
        <v>75</v>
      </c>
      <c r="B27" s="120">
        <f>B8-B4</f>
        <v>67</v>
      </c>
      <c r="C27" s="121">
        <f>IF(B4&gt;B7,C13,C12)</f>
        <v>0.121</v>
      </c>
      <c r="D27" s="22">
        <f>B27*C27</f>
        <v>8.1069999999999993</v>
      </c>
      <c r="E27" s="73">
        <f>B27</f>
        <v>67</v>
      </c>
      <c r="F27" s="121">
        <f>C27</f>
        <v>0.121</v>
      </c>
      <c r="G27" s="22">
        <f>E27*F27</f>
        <v>8.1069999999999993</v>
      </c>
      <c r="H27" s="22">
        <f t="shared" si="1"/>
        <v>0</v>
      </c>
      <c r="I27" s="23">
        <f>IF(ISERROR(H27/D27),0,(H27/D27))</f>
        <v>0</v>
      </c>
      <c r="J27" s="23">
        <f t="shared" ref="J27:J46" si="10">G27/$G$46</f>
        <v>3.9370240241698051E-2</v>
      </c>
      <c r="K27" s="108">
        <f t="shared" ref="K27:K41" si="11">G27/$G$51</f>
        <v>3.8729176285244145E-2</v>
      </c>
    </row>
    <row r="28" spans="1:11" s="1" customFormat="1" x14ac:dyDescent="0.2">
      <c r="A28" s="119" t="s">
        <v>74</v>
      </c>
      <c r="B28" s="120">
        <f>B8-B4</f>
        <v>67</v>
      </c>
      <c r="C28" s="121">
        <f>0.65*C15+0.17*C16+0.18*C17</f>
        <v>0.11139</v>
      </c>
      <c r="D28" s="22">
        <f>B28*C28</f>
        <v>7.4631300000000005</v>
      </c>
      <c r="E28" s="73">
        <f>B28</f>
        <v>67</v>
      </c>
      <c r="F28" s="121">
        <f>C28</f>
        <v>0.11139</v>
      </c>
      <c r="G28" s="22">
        <f>E28*F28</f>
        <v>7.4631300000000005</v>
      </c>
      <c r="H28" s="22">
        <f t="shared" si="1"/>
        <v>0</v>
      </c>
      <c r="I28" s="23">
        <f>IF(ISERROR(H28/D28),0,(H28/D28))</f>
        <v>0</v>
      </c>
      <c r="J28" s="23">
        <f t="shared" si="10"/>
        <v>3.6243397194402865E-2</v>
      </c>
      <c r="K28" s="108">
        <f t="shared" si="11"/>
        <v>3.5653247491019391E-2</v>
      </c>
    </row>
    <row r="29" spans="1:11" s="1" customFormat="1" x14ac:dyDescent="0.2">
      <c r="A29" s="110" t="s">
        <v>78</v>
      </c>
      <c r="B29" s="74"/>
      <c r="C29" s="35"/>
      <c r="D29" s="35">
        <f>SUM(D25,D26:D27)</f>
        <v>61.077000000000005</v>
      </c>
      <c r="E29" s="73"/>
      <c r="F29" s="35"/>
      <c r="G29" s="35">
        <f>SUM(G25,G26:G27)</f>
        <v>62.627000000000002</v>
      </c>
      <c r="H29" s="35">
        <f t="shared" si="1"/>
        <v>1.5499999999999972</v>
      </c>
      <c r="I29" s="36">
        <f>IF(ISERROR(H29/D29),0,(H29/D29))</f>
        <v>2.5377801791181574E-2</v>
      </c>
      <c r="J29" s="36">
        <f t="shared" si="10"/>
        <v>0.30413716980594846</v>
      </c>
      <c r="K29" s="111">
        <f t="shared" si="11"/>
        <v>0.29918491713531337</v>
      </c>
    </row>
    <row r="30" spans="1:11" s="1" customFormat="1" x14ac:dyDescent="0.2">
      <c r="A30" s="110" t="s">
        <v>77</v>
      </c>
      <c r="B30" s="74"/>
      <c r="C30" s="35"/>
      <c r="D30" s="35">
        <f>SUM(D25,D26,D28)</f>
        <v>60.433130000000006</v>
      </c>
      <c r="E30" s="73"/>
      <c r="F30" s="35"/>
      <c r="G30" s="35">
        <f>SUM(G25,G26,G28)</f>
        <v>61.983130000000003</v>
      </c>
      <c r="H30" s="35">
        <f t="shared" si="1"/>
        <v>1.5499999999999972</v>
      </c>
      <c r="I30" s="36">
        <f>IF(ISERROR(H30/D30),0,(H30/D30))</f>
        <v>2.5648183372266122E-2</v>
      </c>
      <c r="J30" s="36">
        <f t="shared" si="10"/>
        <v>0.30101032675865325</v>
      </c>
      <c r="K30" s="111">
        <f t="shared" si="11"/>
        <v>0.29610898834108856</v>
      </c>
    </row>
    <row r="31" spans="1:11" x14ac:dyDescent="0.2">
      <c r="A31" s="107" t="s">
        <v>40</v>
      </c>
      <c r="B31" s="73">
        <f>B8</f>
        <v>1067</v>
      </c>
      <c r="C31" s="126">
        <f>VLOOKUP($B$3,'Data for Bill Impacts'!$A$3:$Y$15,15,0)</f>
        <v>6.1060000000000003E-3</v>
      </c>
      <c r="D31" s="22">
        <f>B31*C31</f>
        <v>6.5151020000000006</v>
      </c>
      <c r="E31" s="73">
        <f t="shared" si="6"/>
        <v>1067</v>
      </c>
      <c r="F31" s="126">
        <f>VLOOKUP($B$3,'Data for Bill Impacts'!$A$3:$Y$15,24,0)</f>
        <v>6.1060000000000003E-3</v>
      </c>
      <c r="G31" s="22">
        <f>E31*F31</f>
        <v>6.5151020000000006</v>
      </c>
      <c r="H31" s="22">
        <f t="shared" si="1"/>
        <v>0</v>
      </c>
      <c r="I31" s="23">
        <f t="shared" si="2"/>
        <v>0</v>
      </c>
      <c r="J31" s="23">
        <f t="shared" si="10"/>
        <v>3.1639463542514804E-2</v>
      </c>
      <c r="K31" s="108">
        <f t="shared" si="11"/>
        <v>3.1124279496033889E-2</v>
      </c>
    </row>
    <row r="32" spans="1:11" x14ac:dyDescent="0.2">
      <c r="A32" s="107" t="s">
        <v>41</v>
      </c>
      <c r="B32" s="73">
        <f>B8</f>
        <v>1067</v>
      </c>
      <c r="C32" s="126">
        <f>VLOOKUP($B$3,'Data for Bill Impacts'!$A$3:$Y$15,16,0)</f>
        <v>4.6519999999999999E-3</v>
      </c>
      <c r="D32" s="22">
        <f>B32*C32</f>
        <v>4.9636839999999998</v>
      </c>
      <c r="E32" s="73">
        <f t="shared" si="6"/>
        <v>1067</v>
      </c>
      <c r="F32" s="126">
        <f>VLOOKUP($B$3,'Data for Bill Impacts'!$A$3:$Y$15,25,0)</f>
        <v>4.6519999999999999E-3</v>
      </c>
      <c r="G32" s="22">
        <f>E32*F32</f>
        <v>4.9636839999999998</v>
      </c>
      <c r="H32" s="22">
        <f t="shared" si="1"/>
        <v>0</v>
      </c>
      <c r="I32" s="23">
        <f t="shared" si="2"/>
        <v>0</v>
      </c>
      <c r="J32" s="23">
        <f t="shared" si="10"/>
        <v>2.4105270946573672E-2</v>
      </c>
      <c r="K32" s="108">
        <f t="shared" si="11"/>
        <v>2.3712765839428371E-2</v>
      </c>
    </row>
    <row r="33" spans="1:11" s="1" customFormat="1" x14ac:dyDescent="0.2">
      <c r="A33" s="110" t="s">
        <v>76</v>
      </c>
      <c r="B33" s="74"/>
      <c r="C33" s="35"/>
      <c r="D33" s="35">
        <f>SUM(D31:D32)</f>
        <v>11.478785999999999</v>
      </c>
      <c r="E33" s="73"/>
      <c r="F33" s="35"/>
      <c r="G33" s="35">
        <f>SUM(G31:G32)</f>
        <v>11.478785999999999</v>
      </c>
      <c r="H33" s="35">
        <f t="shared" si="1"/>
        <v>0</v>
      </c>
      <c r="I33" s="36">
        <f t="shared" si="2"/>
        <v>0</v>
      </c>
      <c r="J33" s="36">
        <f t="shared" si="10"/>
        <v>5.5744734489088468E-2</v>
      </c>
      <c r="K33" s="111">
        <f t="shared" si="11"/>
        <v>5.4837045335462256E-2</v>
      </c>
    </row>
    <row r="34" spans="1:11" s="1" customFormat="1" x14ac:dyDescent="0.2">
      <c r="A34" s="110" t="s">
        <v>91</v>
      </c>
      <c r="B34" s="74"/>
      <c r="C34" s="35"/>
      <c r="D34" s="35">
        <f>D29+D33</f>
        <v>72.555786000000012</v>
      </c>
      <c r="E34" s="73"/>
      <c r="F34" s="35"/>
      <c r="G34" s="35">
        <f>G29+G33</f>
        <v>74.105785999999995</v>
      </c>
      <c r="H34" s="35">
        <f t="shared" si="1"/>
        <v>1.5499999999999829</v>
      </c>
      <c r="I34" s="36">
        <f t="shared" si="2"/>
        <v>2.1362872424812305E-2</v>
      </c>
      <c r="J34" s="36">
        <f t="shared" si="10"/>
        <v>0.35988190429503691</v>
      </c>
      <c r="K34" s="111">
        <f t="shared" si="11"/>
        <v>0.35402196247077555</v>
      </c>
    </row>
    <row r="35" spans="1:11" s="1" customFormat="1" x14ac:dyDescent="0.2">
      <c r="A35" s="110" t="s">
        <v>92</v>
      </c>
      <c r="B35" s="74"/>
      <c r="C35" s="35"/>
      <c r="D35" s="35">
        <f>D30+D33</f>
        <v>71.911916000000005</v>
      </c>
      <c r="E35" s="73"/>
      <c r="F35" s="35"/>
      <c r="G35" s="35">
        <f>G30+G33</f>
        <v>73.461916000000002</v>
      </c>
      <c r="H35" s="35">
        <f t="shared" si="1"/>
        <v>1.5499999999999972</v>
      </c>
      <c r="I35" s="36">
        <f t="shared" si="2"/>
        <v>2.1554146881582144E-2</v>
      </c>
      <c r="J35" s="36">
        <f t="shared" si="10"/>
        <v>0.35675506124774176</v>
      </c>
      <c r="K35" s="111">
        <f t="shared" si="11"/>
        <v>0.35094603367655086</v>
      </c>
    </row>
    <row r="36" spans="1:11" x14ac:dyDescent="0.2">
      <c r="A36" s="107" t="s">
        <v>42</v>
      </c>
      <c r="B36" s="73">
        <f>B8</f>
        <v>1067</v>
      </c>
      <c r="C36" s="34">
        <v>3.5999999999999999E-3</v>
      </c>
      <c r="D36" s="22">
        <f>B36*C36</f>
        <v>3.8411999999999997</v>
      </c>
      <c r="E36" s="73">
        <f t="shared" si="6"/>
        <v>1067</v>
      </c>
      <c r="F36" s="34">
        <v>3.5999999999999999E-3</v>
      </c>
      <c r="G36" s="22">
        <f>E36*F36</f>
        <v>3.8411999999999997</v>
      </c>
      <c r="H36" s="22">
        <f t="shared" si="1"/>
        <v>0</v>
      </c>
      <c r="I36" s="23">
        <f t="shared" si="2"/>
        <v>0</v>
      </c>
      <c r="J36" s="23">
        <f t="shared" si="10"/>
        <v>1.8654121970693296E-2</v>
      </c>
      <c r="K36" s="108">
        <f t="shared" si="11"/>
        <v>1.8350377691733047E-2</v>
      </c>
    </row>
    <row r="37" spans="1:11" x14ac:dyDescent="0.2">
      <c r="A37" s="107" t="s">
        <v>43</v>
      </c>
      <c r="B37" s="73">
        <f>B8</f>
        <v>1067</v>
      </c>
      <c r="C37" s="34">
        <v>2.0999999999999999E-3</v>
      </c>
      <c r="D37" s="22">
        <f>B37*C37</f>
        <v>2.2406999999999999</v>
      </c>
      <c r="E37" s="73">
        <f t="shared" si="6"/>
        <v>1067</v>
      </c>
      <c r="F37" s="34">
        <v>2.0999999999999999E-3</v>
      </c>
      <c r="G37" s="22">
        <f>E37*F37</f>
        <v>2.2406999999999999</v>
      </c>
      <c r="H37" s="22">
        <f>G37-D37</f>
        <v>0</v>
      </c>
      <c r="I37" s="23">
        <f t="shared" si="2"/>
        <v>0</v>
      </c>
      <c r="J37" s="23">
        <f t="shared" si="10"/>
        <v>1.0881571149571089E-2</v>
      </c>
      <c r="K37" s="108">
        <f t="shared" si="11"/>
        <v>1.0704386986844278E-2</v>
      </c>
    </row>
    <row r="38" spans="1:11" x14ac:dyDescent="0.2">
      <c r="A38" s="107" t="s">
        <v>96</v>
      </c>
      <c r="B38" s="73">
        <f>B8</f>
        <v>1067</v>
      </c>
      <c r="C38" s="34">
        <v>1.1000000000000001E-3</v>
      </c>
      <c r="D38" s="22">
        <f>B38*C38</f>
        <v>1.1737</v>
      </c>
      <c r="E38" s="73">
        <f t="shared" si="6"/>
        <v>1067</v>
      </c>
      <c r="F38" s="34">
        <v>1.1000000000000001E-3</v>
      </c>
      <c r="G38" s="22">
        <f>E38*F38</f>
        <v>1.1737</v>
      </c>
      <c r="H38" s="22">
        <f>G38-D38</f>
        <v>0</v>
      </c>
      <c r="I38" s="23">
        <f t="shared" ref="I38" si="12">IF(ISERROR(H38/D38),0,(H38/D38))</f>
        <v>0</v>
      </c>
      <c r="J38" s="23">
        <f t="shared" ref="J38" si="13">G38/$G$46</f>
        <v>5.699870602156285E-3</v>
      </c>
      <c r="K38" s="108">
        <f t="shared" ref="K38" si="14">G38/$G$51</f>
        <v>5.6070598502517641E-3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1.214081665279945E-3</v>
      </c>
      <c r="K39" s="108">
        <f t="shared" si="11"/>
        <v>1.194312824881095E-3</v>
      </c>
    </row>
    <row r="40" spans="1:11" s="1" customFormat="1" x14ac:dyDescent="0.2">
      <c r="A40" s="110" t="s">
        <v>45</v>
      </c>
      <c r="B40" s="74"/>
      <c r="C40" s="35"/>
      <c r="D40" s="35">
        <f>SUM(D36:D39)</f>
        <v>7.5055999999999994</v>
      </c>
      <c r="E40" s="73"/>
      <c r="F40" s="35"/>
      <c r="G40" s="35">
        <f>SUM(G36:G39)</f>
        <v>7.5055999999999994</v>
      </c>
      <c r="H40" s="35">
        <f t="shared" si="1"/>
        <v>0</v>
      </c>
      <c r="I40" s="36">
        <f t="shared" si="2"/>
        <v>0</v>
      </c>
      <c r="J40" s="36">
        <f t="shared" si="10"/>
        <v>3.6449645387700617E-2</v>
      </c>
      <c r="K40" s="111">
        <f t="shared" si="11"/>
        <v>3.5856137353710182E-2</v>
      </c>
    </row>
    <row r="41" spans="1:11" s="1" customFormat="1" ht="13.5" thickBot="1" x14ac:dyDescent="0.25">
      <c r="A41" s="112" t="s">
        <v>46</v>
      </c>
      <c r="B41" s="113">
        <f>B4</f>
        <v>1000</v>
      </c>
      <c r="C41" s="114">
        <v>7.0000000000000001E-3</v>
      </c>
      <c r="D41" s="115">
        <f>B41*C41</f>
        <v>7</v>
      </c>
      <c r="E41" s="116">
        <f t="shared" si="6"/>
        <v>1000</v>
      </c>
      <c r="F41" s="114">
        <f>C41</f>
        <v>7.0000000000000001E-3</v>
      </c>
      <c r="G41" s="115">
        <f>E41*F41</f>
        <v>7</v>
      </c>
      <c r="H41" s="115">
        <f t="shared" si="1"/>
        <v>0</v>
      </c>
      <c r="I41" s="117">
        <f t="shared" si="2"/>
        <v>0</v>
      </c>
      <c r="J41" s="117">
        <f t="shared" si="10"/>
        <v>3.399428662783846E-2</v>
      </c>
      <c r="K41" s="118">
        <f t="shared" si="11"/>
        <v>3.3440759096670658E-2</v>
      </c>
    </row>
    <row r="42" spans="1:11" s="1" customFormat="1" x14ac:dyDescent="0.2">
      <c r="A42" s="37" t="s">
        <v>101</v>
      </c>
      <c r="B42" s="38"/>
      <c r="C42" s="39"/>
      <c r="D42" s="39">
        <f>SUM(D14,D25,D26,D27,D33,D40,D41)</f>
        <v>194.561386</v>
      </c>
      <c r="E42" s="38"/>
      <c r="F42" s="39"/>
      <c r="G42" s="39">
        <f>SUM(G14,G25,G26,G27,G33,G40,G41)</f>
        <v>196.11138600000001</v>
      </c>
      <c r="H42" s="39">
        <f t="shared" si="1"/>
        <v>1.5500000000000114</v>
      </c>
      <c r="I42" s="40">
        <f>IF(ISERROR(H42/D42),0,(H42/D42))</f>
        <v>7.9666373264837415E-3</v>
      </c>
      <c r="J42" s="40">
        <f t="shared" si="10"/>
        <v>0.95238095238095233</v>
      </c>
      <c r="K42" s="41"/>
    </row>
    <row r="43" spans="1:11" x14ac:dyDescent="0.2">
      <c r="A43" s="155" t="s">
        <v>102</v>
      </c>
      <c r="B43" s="43"/>
      <c r="C43" s="26">
        <v>0.13</v>
      </c>
      <c r="D43" s="26">
        <f>D42*C43</f>
        <v>25.292980180000001</v>
      </c>
      <c r="E43" s="26"/>
      <c r="F43" s="26">
        <f>C43</f>
        <v>0.13</v>
      </c>
      <c r="G43" s="26">
        <f>G42*F43</f>
        <v>25.494480180000004</v>
      </c>
      <c r="H43" s="26">
        <f t="shared" si="1"/>
        <v>0.2015000000000029</v>
      </c>
      <c r="I43" s="44">
        <f t="shared" si="2"/>
        <v>7.9666373264837987E-3</v>
      </c>
      <c r="J43" s="44">
        <f t="shared" si="10"/>
        <v>0.12380952380952381</v>
      </c>
      <c r="K43" s="45"/>
    </row>
    <row r="44" spans="1:11" s="1" customFormat="1" x14ac:dyDescent="0.2">
      <c r="A44" s="46" t="s">
        <v>103</v>
      </c>
      <c r="B44" s="24"/>
      <c r="C44" s="25"/>
      <c r="D44" s="25">
        <f>SUM(D42:D43)</f>
        <v>219.85436618</v>
      </c>
      <c r="E44" s="25"/>
      <c r="F44" s="25"/>
      <c r="G44" s="25">
        <f>SUM(G42:G43)</f>
        <v>221.60586618000002</v>
      </c>
      <c r="H44" s="25">
        <f t="shared" si="1"/>
        <v>1.7515000000000214</v>
      </c>
      <c r="I44" s="27">
        <f t="shared" si="2"/>
        <v>7.9666373264837814E-3</v>
      </c>
      <c r="J44" s="27">
        <f t="shared" si="10"/>
        <v>1.0761904761904761</v>
      </c>
      <c r="K44" s="47"/>
    </row>
    <row r="45" spans="1:11" x14ac:dyDescent="0.2">
      <c r="A45" s="42" t="s">
        <v>104</v>
      </c>
      <c r="B45" s="43"/>
      <c r="C45" s="26">
        <v>-0.08</v>
      </c>
      <c r="D45" s="26">
        <f>D42*C45</f>
        <v>-15.564910880000001</v>
      </c>
      <c r="E45" s="26"/>
      <c r="F45" s="26">
        <f>C45</f>
        <v>-0.08</v>
      </c>
      <c r="G45" s="26">
        <f>G42*F45</f>
        <v>-15.688910880000002</v>
      </c>
      <c r="H45" s="26">
        <f t="shared" si="1"/>
        <v>-0.12400000000000055</v>
      </c>
      <c r="I45" s="44">
        <f t="shared" si="2"/>
        <v>7.9666373264837189E-3</v>
      </c>
      <c r="J45" s="44">
        <f t="shared" si="10"/>
        <v>-7.6190476190476197E-2</v>
      </c>
      <c r="K45" s="45"/>
    </row>
    <row r="46" spans="1:11" s="1" customFormat="1" ht="13.5" thickBot="1" x14ac:dyDescent="0.25">
      <c r="A46" s="48" t="s">
        <v>105</v>
      </c>
      <c r="B46" s="49"/>
      <c r="C46" s="50"/>
      <c r="D46" s="50">
        <f>SUM(D44:D45)</f>
        <v>204.28945529999999</v>
      </c>
      <c r="E46" s="50"/>
      <c r="F46" s="50"/>
      <c r="G46" s="50">
        <f>SUM(G44:G45)</f>
        <v>205.91695530000001</v>
      </c>
      <c r="H46" s="50">
        <f t="shared" si="1"/>
        <v>1.6275000000000261</v>
      </c>
      <c r="I46" s="51">
        <f t="shared" si="2"/>
        <v>7.9666373264838126E-3</v>
      </c>
      <c r="J46" s="51">
        <f t="shared" si="10"/>
        <v>1</v>
      </c>
      <c r="K46" s="52"/>
    </row>
    <row r="47" spans="1:11" x14ac:dyDescent="0.2">
      <c r="A47" s="53" t="s">
        <v>106</v>
      </c>
      <c r="B47" s="54"/>
      <c r="C47" s="55"/>
      <c r="D47" s="55">
        <f>SUM(D18,D25,D26,D28,D33,D40,D41)</f>
        <v>197.80751599999999</v>
      </c>
      <c r="E47" s="55"/>
      <c r="F47" s="55"/>
      <c r="G47" s="55">
        <f>SUM(G18,G25,G26,G28,G33,G40,G41)</f>
        <v>199.357516</v>
      </c>
      <c r="H47" s="55">
        <f>G47-D47</f>
        <v>1.5500000000000114</v>
      </c>
      <c r="I47" s="56">
        <f>IF(ISERROR(H47/D47),0,(H47/D47))</f>
        <v>7.8359004316095431E-3</v>
      </c>
      <c r="J47" s="56"/>
      <c r="K47" s="57">
        <f>G47/$G$51</f>
        <v>0.95238095238095233</v>
      </c>
    </row>
    <row r="48" spans="1:11" x14ac:dyDescent="0.2">
      <c r="A48" s="156" t="s">
        <v>102</v>
      </c>
      <c r="B48" s="59"/>
      <c r="C48" s="31">
        <v>0.13</v>
      </c>
      <c r="D48" s="31">
        <f>D47*C48</f>
        <v>25.714977080000001</v>
      </c>
      <c r="E48" s="31"/>
      <c r="F48" s="31">
        <f>C48</f>
        <v>0.13</v>
      </c>
      <c r="G48" s="31">
        <f>G47*F48</f>
        <v>25.91647708</v>
      </c>
      <c r="H48" s="31">
        <f>G48-D48</f>
        <v>0.20149999999999935</v>
      </c>
      <c r="I48" s="32">
        <f>IF(ISERROR(H48/D48),0,(H48/D48))</f>
        <v>7.8359004316094581E-3</v>
      </c>
      <c r="J48" s="32"/>
      <c r="K48" s="60">
        <f>G48/$G$51</f>
        <v>0.1238095238095238</v>
      </c>
    </row>
    <row r="49" spans="1:11" x14ac:dyDescent="0.2">
      <c r="A49" s="151" t="s">
        <v>107</v>
      </c>
      <c r="B49" s="29"/>
      <c r="C49" s="30"/>
      <c r="D49" s="30">
        <f>SUM(D47:D48)</f>
        <v>223.52249308</v>
      </c>
      <c r="E49" s="30"/>
      <c r="F49" s="30"/>
      <c r="G49" s="30">
        <f>SUM(G47:G48)</f>
        <v>225.27399308</v>
      </c>
      <c r="H49" s="30">
        <f>G49-D49</f>
        <v>1.751499999999993</v>
      </c>
      <c r="I49" s="33">
        <f>IF(ISERROR(H49/D49),0,(H49/D49))</f>
        <v>7.8359004316094528E-3</v>
      </c>
      <c r="J49" s="33"/>
      <c r="K49" s="62">
        <f>G49/$G$51</f>
        <v>1.0761904761904761</v>
      </c>
    </row>
    <row r="50" spans="1:11" x14ac:dyDescent="0.2">
      <c r="A50" s="58" t="s">
        <v>104</v>
      </c>
      <c r="B50" s="59"/>
      <c r="C50" s="31">
        <v>-0.08</v>
      </c>
      <c r="D50" s="31">
        <f>D47*C50</f>
        <v>-15.82460128</v>
      </c>
      <c r="E50" s="31"/>
      <c r="F50" s="31">
        <f>C50</f>
        <v>-0.08</v>
      </c>
      <c r="G50" s="31">
        <f>G47*F50</f>
        <v>-15.94860128</v>
      </c>
      <c r="H50" s="31">
        <f>G50-D50</f>
        <v>-0.12400000000000055</v>
      </c>
      <c r="I50" s="32">
        <f>IF(ISERROR(H50/D50),0,(H50/D50))</f>
        <v>7.8359004316095205E-3</v>
      </c>
      <c r="J50" s="32"/>
      <c r="K50" s="60">
        <f>G50/$G$51</f>
        <v>-7.6190476190476183E-2</v>
      </c>
    </row>
    <row r="51" spans="1:11" ht="13.5" thickBot="1" x14ac:dyDescent="0.25">
      <c r="A51" s="63" t="s">
        <v>116</v>
      </c>
      <c r="B51" s="64"/>
      <c r="C51" s="65"/>
      <c r="D51" s="65">
        <f>SUM(D49:D50)</f>
        <v>207.69789180000001</v>
      </c>
      <c r="E51" s="65"/>
      <c r="F51" s="65"/>
      <c r="G51" s="65">
        <f>SUM(G49:G50)</f>
        <v>209.32539180000001</v>
      </c>
      <c r="H51" s="65">
        <f>G51-D51</f>
        <v>1.6274999999999977</v>
      </c>
      <c r="I51" s="66">
        <f>IF(ISERROR(H51/D51),0,(H51/D51))</f>
        <v>7.8359004316094737E-3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9"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46"/>
  <sheetViews>
    <sheetView tabSelected="1" zoomScale="90" zoomScaleNormal="90" zoomScaleSheetLayoutView="100" workbookViewId="0">
      <selection activeCell="E1" sqref="E1:E1048576"/>
    </sheetView>
  </sheetViews>
  <sheetFormatPr defaultRowHeight="12.75" x14ac:dyDescent="0.2"/>
  <cols>
    <col min="1" max="1" width="10.5703125" customWidth="1"/>
    <col min="2" max="2" width="13.42578125" customWidth="1"/>
    <col min="3" max="5" width="13.7109375" customWidth="1"/>
    <col min="6" max="6" width="12.140625" customWidth="1"/>
    <col min="7" max="7" width="13" customWidth="1"/>
    <col min="8" max="8" width="11.85546875" bestFit="1" customWidth="1"/>
    <col min="9" max="9" width="12.28515625" bestFit="1" customWidth="1"/>
    <col min="10" max="10" width="19.42578125" customWidth="1"/>
  </cols>
  <sheetData>
    <row r="1" spans="1:10" ht="39" thickBot="1" x14ac:dyDescent="0.25">
      <c r="A1" s="95" t="s">
        <v>13</v>
      </c>
      <c r="B1" s="89" t="s">
        <v>67</v>
      </c>
      <c r="C1" s="96" t="s">
        <v>62</v>
      </c>
      <c r="D1" s="97" t="s">
        <v>68</v>
      </c>
      <c r="E1" s="99" t="s">
        <v>117</v>
      </c>
      <c r="F1" s="87" t="s">
        <v>63</v>
      </c>
      <c r="G1" s="88" t="s">
        <v>65</v>
      </c>
      <c r="H1" s="86" t="s">
        <v>64</v>
      </c>
      <c r="I1" s="144" t="s">
        <v>66</v>
      </c>
      <c r="J1" s="99" t="s">
        <v>69</v>
      </c>
    </row>
    <row r="2" spans="1:10" x14ac:dyDescent="0.2">
      <c r="A2" s="177" t="s">
        <v>0</v>
      </c>
      <c r="B2" s="90" t="s">
        <v>60</v>
      </c>
      <c r="C2" s="98">
        <f>BI_UR_Low!B4</f>
        <v>350</v>
      </c>
      <c r="D2" s="83"/>
      <c r="E2" s="148">
        <f>BI_UR_Low!D51</f>
        <v>84.679452059999988</v>
      </c>
      <c r="F2" s="134">
        <f>BI_UR_Low!H$25</f>
        <v>2.4200000000000017</v>
      </c>
      <c r="G2" s="135">
        <f>BI_UR_Low!I$25</f>
        <v>7.9072047051135477E-2</v>
      </c>
      <c r="H2" s="136">
        <f>BI_UR_Low!H$51</f>
        <v>2.5409999999999968</v>
      </c>
      <c r="I2" s="145">
        <f>BI_UR_Low!I$51</f>
        <v>3.0007279666849525E-2</v>
      </c>
      <c r="J2" s="174" t="s">
        <v>50</v>
      </c>
    </row>
    <row r="3" spans="1:10" x14ac:dyDescent="0.2">
      <c r="A3" s="178"/>
      <c r="B3" s="91" t="s">
        <v>90</v>
      </c>
      <c r="C3" s="93">
        <f>BI_UR_Typical!B4</f>
        <v>750</v>
      </c>
      <c r="D3" s="84"/>
      <c r="E3" s="149">
        <f>BI_UR_Typical!D51</f>
        <v>146.8839687</v>
      </c>
      <c r="F3" s="137">
        <f>BI_UR_Typical!H$25</f>
        <v>1.1399999999999935</v>
      </c>
      <c r="G3" s="138">
        <f>BI_UR_Typical!I$25</f>
        <v>3.3682966464765644E-2</v>
      </c>
      <c r="H3" s="139">
        <f>BI_UR_Typical!H$51</f>
        <v>1.1970000000000027</v>
      </c>
      <c r="I3" s="146">
        <f>BI_UR_Typical!I$51</f>
        <v>8.1492896099831669E-3</v>
      </c>
      <c r="J3" s="175"/>
    </row>
    <row r="4" spans="1:10" x14ac:dyDescent="0.2">
      <c r="A4" s="178"/>
      <c r="B4" s="159" t="s">
        <v>113</v>
      </c>
      <c r="C4" s="160">
        <f>BI_UR_Avg!$B$4</f>
        <v>755</v>
      </c>
      <c r="D4" s="161"/>
      <c r="E4" s="162">
        <f>BI_UR_Avg!$D$51</f>
        <v>147.66152515800002</v>
      </c>
      <c r="F4" s="163">
        <f>BI_UR_Avg!$H$25</f>
        <v>1.1239999999999952</v>
      </c>
      <c r="G4" s="164">
        <f>BI_UR_Avg!$I$25</f>
        <v>3.3170530167770725E-2</v>
      </c>
      <c r="H4" s="165">
        <f>BI_UR_Avg!$H$51</f>
        <v>1.180199999999985</v>
      </c>
      <c r="I4" s="166">
        <f>BI_UR_Avg!$I$51</f>
        <v>7.9926033456389784E-3</v>
      </c>
      <c r="J4" s="175"/>
    </row>
    <row r="5" spans="1:10" ht="13.5" thickBot="1" x14ac:dyDescent="0.25">
      <c r="A5" s="179"/>
      <c r="B5" s="92" t="s">
        <v>61</v>
      </c>
      <c r="C5" s="94">
        <f>BI_UR_High!B4</f>
        <v>1400</v>
      </c>
      <c r="D5" s="85"/>
      <c r="E5" s="150">
        <f>BI_UR_High!D51</f>
        <v>247.96630823999999</v>
      </c>
      <c r="F5" s="140">
        <f>BI_UR_High!H$25</f>
        <v>-0.94000000000000483</v>
      </c>
      <c r="G5" s="141">
        <f>BI_UR_High!I$25</f>
        <v>-2.4034773715162484E-2</v>
      </c>
      <c r="H5" s="142">
        <f>BI_UR_High!H$51</f>
        <v>-0.98700000000002319</v>
      </c>
      <c r="I5" s="147">
        <f>BI_UR_High!I$51</f>
        <v>-3.9803794596350245E-3</v>
      </c>
      <c r="J5" s="176"/>
    </row>
    <row r="6" spans="1:10" x14ac:dyDescent="0.2">
      <c r="A6" s="180" t="s">
        <v>1</v>
      </c>
      <c r="B6" s="90" t="s">
        <v>60</v>
      </c>
      <c r="C6" s="98">
        <f>BI_R1_Low!B4</f>
        <v>400</v>
      </c>
      <c r="D6" s="83"/>
      <c r="E6" s="148">
        <f>BI_R1_Low!D51</f>
        <v>109.53289367999999</v>
      </c>
      <c r="F6" s="134">
        <f>BI_R1_Low!H$25</f>
        <v>3.3800000000000026</v>
      </c>
      <c r="G6" s="135">
        <f>BI_R1_Low!I$25</f>
        <v>7.2361378719760283E-2</v>
      </c>
      <c r="H6" s="136">
        <f>BI_R1_Low!H$51</f>
        <v>3.5490000000000066</v>
      </c>
      <c r="I6" s="145">
        <f>BI_R1_Low!I$51</f>
        <v>3.2401225611444165E-2</v>
      </c>
      <c r="J6" s="174" t="s">
        <v>50</v>
      </c>
    </row>
    <row r="7" spans="1:10" x14ac:dyDescent="0.2">
      <c r="A7" s="181"/>
      <c r="B7" s="91" t="s">
        <v>90</v>
      </c>
      <c r="C7" s="93">
        <f>BI_R1_Typical!B4</f>
        <v>750</v>
      </c>
      <c r="D7" s="84"/>
      <c r="E7" s="149">
        <f>BI_R1_Typical!D51</f>
        <v>169.66236314999998</v>
      </c>
      <c r="F7" s="137">
        <f>BI_R1_Typical!H$25</f>
        <v>2.4699999999999989</v>
      </c>
      <c r="G7" s="143">
        <f>BI_R1_Typical!I$25</f>
        <v>4.533773861967693E-2</v>
      </c>
      <c r="H7" s="139">
        <f>BI_R1_Typical!H$51</f>
        <v>2.5935000000000059</v>
      </c>
      <c r="I7" s="146">
        <f>BI_R1_Typical!I$51</f>
        <v>1.5286242345375503E-2</v>
      </c>
      <c r="J7" s="175"/>
    </row>
    <row r="8" spans="1:10" x14ac:dyDescent="0.2">
      <c r="A8" s="182"/>
      <c r="B8" s="159" t="s">
        <v>113</v>
      </c>
      <c r="C8" s="160">
        <f>BI_R1_Avg!$B$4</f>
        <v>920</v>
      </c>
      <c r="D8" s="161"/>
      <c r="E8" s="162">
        <f>BI_R1_Avg!$D$51</f>
        <v>198.86810546400002</v>
      </c>
      <c r="F8" s="163">
        <f>BI_R1_Avg!$H$25</f>
        <v>2.0280000000000058</v>
      </c>
      <c r="G8" s="164">
        <f>BI_R1_Avg!$I$25</f>
        <v>3.4813060047378823E-2</v>
      </c>
      <c r="H8" s="165">
        <f>BI_R1_Avg!$H$51</f>
        <v>2.1293999999999755</v>
      </c>
      <c r="I8" s="166">
        <f>BI_R1_Avg!$I$51</f>
        <v>1.0707599366080595E-2</v>
      </c>
      <c r="J8" s="175"/>
    </row>
    <row r="9" spans="1:10" ht="13.5" thickBot="1" x14ac:dyDescent="0.25">
      <c r="A9" s="183"/>
      <c r="B9" s="92" t="s">
        <v>61</v>
      </c>
      <c r="C9" s="94">
        <f>BI_R1_High!B4</f>
        <v>1800</v>
      </c>
      <c r="D9" s="85"/>
      <c r="E9" s="150">
        <f>BI_R1_High!D51</f>
        <v>350.05077155999999</v>
      </c>
      <c r="F9" s="140">
        <f>BI_R1_High!H$25</f>
        <v>-0.25999999999999091</v>
      </c>
      <c r="G9" s="141">
        <f>BI_R1_High!I$25</f>
        <v>-3.3423319192697125E-3</v>
      </c>
      <c r="H9" s="142">
        <f>BI_R1_High!H$51</f>
        <v>-0.27299999999996771</v>
      </c>
      <c r="I9" s="147">
        <f>BI_R1_High!I$51</f>
        <v>-7.7988686836296403E-4</v>
      </c>
      <c r="J9" s="176"/>
    </row>
    <row r="10" spans="1:10" x14ac:dyDescent="0.2">
      <c r="A10" s="180" t="s">
        <v>2</v>
      </c>
      <c r="B10" s="90" t="s">
        <v>60</v>
      </c>
      <c r="C10" s="98">
        <f>BI_R2_Low!B4</f>
        <v>450</v>
      </c>
      <c r="D10" s="83"/>
      <c r="E10" s="148">
        <f>BI_R2_Low!D51</f>
        <v>112.84942022329913</v>
      </c>
      <c r="F10" s="134">
        <f>BI_R2_Low!H$25</f>
        <v>7.2650000000000006</v>
      </c>
      <c r="G10" s="135">
        <f>BI_R2_Low!I$25</f>
        <v>0.17499834507008152</v>
      </c>
      <c r="H10" s="136">
        <f>BI_R2_Low!H$51</f>
        <v>7.62824999999998</v>
      </c>
      <c r="I10" s="145">
        <f>BI_R2_Low!I$51</f>
        <v>6.7596714142666325E-2</v>
      </c>
      <c r="J10" s="174" t="s">
        <v>50</v>
      </c>
    </row>
    <row r="11" spans="1:10" x14ac:dyDescent="0.2">
      <c r="A11" s="181"/>
      <c r="B11" s="91" t="s">
        <v>90</v>
      </c>
      <c r="C11" s="93">
        <f>BI_R2_Typical!B4</f>
        <v>750</v>
      </c>
      <c r="D11" s="84"/>
      <c r="E11" s="149">
        <f>BI_R2_Typical!D51</f>
        <v>169.79159222329912</v>
      </c>
      <c r="F11" s="137">
        <f>BI_R2_Typical!H$25</f>
        <v>6.0349999999999966</v>
      </c>
      <c r="G11" s="143">
        <f>BI_R2_Typical!I$25</f>
        <v>0.11502977230855925</v>
      </c>
      <c r="H11" s="139">
        <f>BI_R2_Typical!H$51</f>
        <v>6.336749999999995</v>
      </c>
      <c r="I11" s="146">
        <f>BI_R2_Typical!I$51</f>
        <v>3.7320752559209788E-2</v>
      </c>
      <c r="J11" s="175"/>
    </row>
    <row r="12" spans="1:10" x14ac:dyDescent="0.2">
      <c r="A12" s="182"/>
      <c r="B12" s="159" t="s">
        <v>113</v>
      </c>
      <c r="C12" s="160">
        <f>BI_R2_Avg!$B$4</f>
        <v>1152</v>
      </c>
      <c r="D12" s="161"/>
      <c r="E12" s="162">
        <f>BI_R2_Avg!$D$51</f>
        <v>246.09410270329914</v>
      </c>
      <c r="F12" s="163">
        <f>BI_R2_Avg!$H$25</f>
        <v>4.3867999999999938</v>
      </c>
      <c r="G12" s="164">
        <f>BI_R2_Avg!$I$25</f>
        <v>6.5340358954348102E-2</v>
      </c>
      <c r="H12" s="165">
        <f>BI_R2_Avg!$H$51</f>
        <v>4.6061399999999821</v>
      </c>
      <c r="I12" s="166">
        <f>BI_R2_Avg!$I$51</f>
        <v>1.8716986508016113E-2</v>
      </c>
      <c r="J12" s="175"/>
    </row>
    <row r="13" spans="1:10" ht="13.5" thickBot="1" x14ac:dyDescent="0.25">
      <c r="A13" s="183"/>
      <c r="B13" s="92" t="s">
        <v>61</v>
      </c>
      <c r="C13" s="94">
        <f>BI_R2_High!B4</f>
        <v>2300</v>
      </c>
      <c r="D13" s="85"/>
      <c r="E13" s="150">
        <f>BI_R2_High!D51</f>
        <v>463.99281422329921</v>
      </c>
      <c r="F13" s="140">
        <f>BI_R2_High!H$25</f>
        <v>-0.32000000000000739</v>
      </c>
      <c r="G13" s="141">
        <f>BI_R2_High!I$25</f>
        <v>-2.9347115193828635E-3</v>
      </c>
      <c r="H13" s="142">
        <f>BI_R2_High!H$51</f>
        <v>-0.33600000000006958</v>
      </c>
      <c r="I13" s="147">
        <f>BI_R2_High!I$51</f>
        <v>-7.2414914563389697E-4</v>
      </c>
      <c r="J13" s="176"/>
    </row>
    <row r="14" spans="1:10" x14ac:dyDescent="0.2">
      <c r="A14" s="180" t="s">
        <v>3</v>
      </c>
      <c r="B14" s="90" t="s">
        <v>60</v>
      </c>
      <c r="C14" s="98">
        <f>BI_Seas_Low!B4</f>
        <v>50</v>
      </c>
      <c r="D14" s="83"/>
      <c r="E14" s="148">
        <f>BI_Seas_Low!D51</f>
        <v>54.350539319999996</v>
      </c>
      <c r="F14" s="134">
        <f>BI_Seas_Low!H$25</f>
        <v>4.18</v>
      </c>
      <c r="G14" s="135">
        <f>BI_Seas_Low!I$25</f>
        <v>9.58276020174232E-2</v>
      </c>
      <c r="H14" s="136">
        <f>BI_Seas_Low!H$51</f>
        <v>4.3889999999999958</v>
      </c>
      <c r="I14" s="145">
        <f>BI_Seas_Low!I$51</f>
        <v>8.0753568500191955E-2</v>
      </c>
      <c r="J14" s="174" t="s">
        <v>50</v>
      </c>
    </row>
    <row r="15" spans="1:10" x14ac:dyDescent="0.2">
      <c r="A15" s="181"/>
      <c r="B15" s="91" t="s">
        <v>90</v>
      </c>
      <c r="C15" s="93">
        <f>BI_Seas_Typical!B4</f>
        <v>350</v>
      </c>
      <c r="D15" s="84"/>
      <c r="E15" s="149">
        <f>BI_Seas_Typical!D51</f>
        <v>118.31077524000001</v>
      </c>
      <c r="F15" s="137">
        <f>BI_Seas_Typical!H$25</f>
        <v>1.8399999999999963</v>
      </c>
      <c r="G15" s="143">
        <f>BI_Seas_Typical!I$25</f>
        <v>2.9715762273901748E-2</v>
      </c>
      <c r="H15" s="139">
        <f>BI_Seas_Typical!H$51</f>
        <v>1.9320000000000164</v>
      </c>
      <c r="I15" s="146">
        <f>BI_Seas_Typical!I$51</f>
        <v>1.6329873556156203E-2</v>
      </c>
      <c r="J15" s="175"/>
    </row>
    <row r="16" spans="1:10" x14ac:dyDescent="0.2">
      <c r="A16" s="182"/>
      <c r="B16" s="159" t="s">
        <v>113</v>
      </c>
      <c r="C16" s="160">
        <f>BI_Seas_Avg!$B$4</f>
        <v>352</v>
      </c>
      <c r="D16" s="161"/>
      <c r="E16" s="162">
        <f>BI_Seas_Avg!$D$51</f>
        <v>118.73717681280002</v>
      </c>
      <c r="F16" s="163">
        <f>BI_Seas_Avg!$H$25</f>
        <v>1.8244000000000042</v>
      </c>
      <c r="G16" s="164">
        <f>BI_Seas_Avg!$I$25</f>
        <v>2.9405886335063414E-2</v>
      </c>
      <c r="H16" s="165">
        <f>BI_Seas_Avg!$H$51</f>
        <v>1.9156200000000041</v>
      </c>
      <c r="I16" s="166">
        <f>BI_Seas_Avg!$I$51</f>
        <v>1.6133278989950667E-2</v>
      </c>
      <c r="J16" s="175"/>
    </row>
    <row r="17" spans="1:10" ht="13.5" thickBot="1" x14ac:dyDescent="0.25">
      <c r="A17" s="183"/>
      <c r="B17" s="92" t="s">
        <v>61</v>
      </c>
      <c r="C17" s="94">
        <f>BI_Seas_High!B4</f>
        <v>1000</v>
      </c>
      <c r="D17" s="85"/>
      <c r="E17" s="150">
        <f>BI_Seas_High!D51</f>
        <v>256.89128640000001</v>
      </c>
      <c r="F17" s="140">
        <f>BI_Seas_High!H$25</f>
        <v>-3.230000000000004</v>
      </c>
      <c r="G17" s="141">
        <f>BI_Seas_High!I$25</f>
        <v>-3.1800728561583183E-2</v>
      </c>
      <c r="H17" s="142">
        <f>BI_Seas_High!H$51</f>
        <v>-3.3914999999999793</v>
      </c>
      <c r="I17" s="147">
        <f>BI_Seas_High!I$51</f>
        <v>-1.3202082669005542E-2</v>
      </c>
      <c r="J17" s="176"/>
    </row>
    <row r="18" spans="1:10" x14ac:dyDescent="0.2">
      <c r="A18" s="177" t="s">
        <v>4</v>
      </c>
      <c r="B18" s="90" t="s">
        <v>60</v>
      </c>
      <c r="C18" s="98">
        <f>BI_GSe_Low!B4</f>
        <v>1000</v>
      </c>
      <c r="D18" s="83"/>
      <c r="E18" s="148">
        <f>BI_GSe_Low!D51</f>
        <v>249.58423560000003</v>
      </c>
      <c r="F18" s="134">
        <f>BI_GSe_Low!H$25</f>
        <v>2.8800000000000097</v>
      </c>
      <c r="G18" s="135">
        <f>BI_GSe_Low!I$25</f>
        <v>3.2366824005394576E-2</v>
      </c>
      <c r="H18" s="136">
        <f>BI_GSe_Low!H$51</f>
        <v>3.0239999999999725</v>
      </c>
      <c r="I18" s="145">
        <f>BI_GSe_Low!I$51</f>
        <v>1.2116149855099151E-2</v>
      </c>
      <c r="J18" s="174" t="s">
        <v>50</v>
      </c>
    </row>
    <row r="19" spans="1:10" x14ac:dyDescent="0.2">
      <c r="A19" s="178"/>
      <c r="B19" s="91" t="s">
        <v>90</v>
      </c>
      <c r="C19" s="93">
        <f>BI_GSe_Typical!B4</f>
        <v>2000</v>
      </c>
      <c r="D19" s="84"/>
      <c r="E19" s="149">
        <f>BI_GSe_Typical!D51</f>
        <v>466.91247119999997</v>
      </c>
      <c r="F19" s="137">
        <f>BI_GSe_Typical!H$25</f>
        <v>5.1800000000000068</v>
      </c>
      <c r="G19" s="143">
        <f>BI_GSe_Typical!I$25</f>
        <v>3.4933908821149225E-2</v>
      </c>
      <c r="H19" s="139">
        <f>BI_GSe_Typical!H$51</f>
        <v>5.4390000000000782</v>
      </c>
      <c r="I19" s="146">
        <f>BI_GSe_Typical!I$51</f>
        <v>1.1648864263619777E-2</v>
      </c>
      <c r="J19" s="175"/>
    </row>
    <row r="20" spans="1:10" x14ac:dyDescent="0.2">
      <c r="A20" s="178"/>
      <c r="B20" s="159" t="s">
        <v>113</v>
      </c>
      <c r="C20" s="160">
        <f>BI_GSe_Avg!$B$4</f>
        <v>1982</v>
      </c>
      <c r="D20" s="161"/>
      <c r="E20" s="162">
        <f>BI_GSe_Avg!$D$51</f>
        <v>463.00056295920007</v>
      </c>
      <c r="F20" s="163">
        <f>BI_GSe_Avg!$H$25</f>
        <v>5.1385999999999967</v>
      </c>
      <c r="G20" s="164">
        <f>BI_GSe_Avg!$I$25</f>
        <v>3.4905979515340371E-2</v>
      </c>
      <c r="H20" s="165">
        <f>BI_GSe_Avg!$H$51</f>
        <v>5.3955300000000079</v>
      </c>
      <c r="I20" s="166">
        <f>BI_GSe_Avg!$I$51</f>
        <v>1.1653398357693716E-2</v>
      </c>
      <c r="J20" s="175"/>
    </row>
    <row r="21" spans="1:10" ht="13.5" thickBot="1" x14ac:dyDescent="0.25">
      <c r="A21" s="179"/>
      <c r="B21" s="92" t="s">
        <v>61</v>
      </c>
      <c r="C21" s="94">
        <f>BI_GSe_High!B4</f>
        <v>15000</v>
      </c>
      <c r="D21" s="85"/>
      <c r="E21" s="150">
        <f>BI_GSe_High!D51</f>
        <v>3292.1795339999999</v>
      </c>
      <c r="F21" s="140">
        <f>BI_GSe_High!H$25</f>
        <v>35.080000000000041</v>
      </c>
      <c r="G21" s="141">
        <f>BI_GSe_High!I$25</f>
        <v>3.8164450923649389E-2</v>
      </c>
      <c r="H21" s="142">
        <f>BI_GSe_High!H$51</f>
        <v>36.834000000000287</v>
      </c>
      <c r="I21" s="147">
        <f>BI_GSe_High!I$51</f>
        <v>1.1188332719888748E-2</v>
      </c>
      <c r="J21" s="176"/>
    </row>
    <row r="22" spans="1:10" x14ac:dyDescent="0.2">
      <c r="A22" s="177" t="s">
        <v>6</v>
      </c>
      <c r="B22" s="90" t="s">
        <v>60</v>
      </c>
      <c r="C22" s="98">
        <f>BI_UGe_Low!B4</f>
        <v>1000</v>
      </c>
      <c r="D22" s="83"/>
      <c r="E22" s="148">
        <f>BI_UGe_Low!D51</f>
        <v>207.69789180000001</v>
      </c>
      <c r="F22" s="134">
        <f>BI_UGe_Low!H$25</f>
        <v>1.5499999999999972</v>
      </c>
      <c r="G22" s="135">
        <f>BI_UGe_Low!I$25</f>
        <v>2.9704867765427308E-2</v>
      </c>
      <c r="H22" s="136">
        <f>BI_UGe_Low!H$51</f>
        <v>1.6274999999999977</v>
      </c>
      <c r="I22" s="145">
        <f>BI_UGe_Low!I$51</f>
        <v>7.8359004316094737E-3</v>
      </c>
      <c r="J22" s="174" t="s">
        <v>50</v>
      </c>
    </row>
    <row r="23" spans="1:10" x14ac:dyDescent="0.2">
      <c r="A23" s="178"/>
      <c r="B23" s="91" t="s">
        <v>90</v>
      </c>
      <c r="C23" s="93">
        <f>BI_UGe_Typical!B4</f>
        <v>2000</v>
      </c>
      <c r="D23" s="84"/>
      <c r="E23" s="149">
        <f>BI_UGe_Typical!D51</f>
        <v>389.1247836</v>
      </c>
      <c r="F23" s="137">
        <f>BI_UGe_Typical!H$25</f>
        <v>2.5499999999999972</v>
      </c>
      <c r="G23" s="143">
        <f>BI_UGe_Typical!I$25</f>
        <v>3.1724309529733728E-2</v>
      </c>
      <c r="H23" s="139">
        <f>BI_UGe_Typical!H$51</f>
        <v>2.6774999999999523</v>
      </c>
      <c r="I23" s="146">
        <f>BI_UGe_Typical!I$51</f>
        <v>6.8808261844156464E-3</v>
      </c>
      <c r="J23" s="175"/>
    </row>
    <row r="24" spans="1:10" x14ac:dyDescent="0.2">
      <c r="A24" s="178"/>
      <c r="B24" s="159" t="s">
        <v>113</v>
      </c>
      <c r="C24" s="160">
        <f>BI_UGe_Avg!$B$4</f>
        <v>2759</v>
      </c>
      <c r="D24" s="161"/>
      <c r="E24" s="162">
        <f>BI_UGe_Avg!$D$51</f>
        <v>526.82779447619998</v>
      </c>
      <c r="F24" s="163">
        <f>BI_UGe_Avg!$H$25</f>
        <v>3.3090000000000117</v>
      </c>
      <c r="G24" s="164">
        <f>BI_UGe_Avg!$I$25</f>
        <v>3.2510085101951504E-2</v>
      </c>
      <c r="H24" s="165">
        <f>BI_UGe_Avg!$H$51</f>
        <v>3.4744500000000471</v>
      </c>
      <c r="I24" s="166">
        <f>BI_UGe_Avg!$I$51</f>
        <v>6.5950392831010916E-3</v>
      </c>
      <c r="J24" s="175"/>
    </row>
    <row r="25" spans="1:10" ht="13.5" thickBot="1" x14ac:dyDescent="0.25">
      <c r="A25" s="179"/>
      <c r="B25" s="92" t="s">
        <v>61</v>
      </c>
      <c r="C25" s="94">
        <f>BI_UGe_High!B4</f>
        <v>15000</v>
      </c>
      <c r="D25" s="85"/>
      <c r="E25" s="150">
        <f>BI_UGe_High!D51</f>
        <v>2747.6743769999998</v>
      </c>
      <c r="F25" s="140">
        <f>BI_UGe_High!H$25</f>
        <v>15.549999999999955</v>
      </c>
      <c r="G25" s="141">
        <f>BI_UGe_High!I$25</f>
        <v>3.4789028591883202E-2</v>
      </c>
      <c r="H25" s="142">
        <f>BI_UGe_High!H$51</f>
        <v>16.327499999999873</v>
      </c>
      <c r="I25" s="147">
        <f>BI_UGe_High!I$51</f>
        <v>5.942298016341648E-3</v>
      </c>
      <c r="J25" s="176"/>
    </row>
    <row r="26" spans="1:10" x14ac:dyDescent="0.2">
      <c r="A26" s="177" t="s">
        <v>5</v>
      </c>
      <c r="B26" s="90" t="s">
        <v>60</v>
      </c>
      <c r="C26" s="98">
        <f>BI_GSd_Low!B4</f>
        <v>15000</v>
      </c>
      <c r="D26" s="83">
        <f>BI_GSd_Low!B5</f>
        <v>60</v>
      </c>
      <c r="E26" s="148">
        <f>BI_GSd_Low!D38</f>
        <v>3583.8259303599993</v>
      </c>
      <c r="F26" s="134">
        <f>BI_GSd_Low!H$23</f>
        <v>36.764000000000124</v>
      </c>
      <c r="G26" s="135">
        <f>BI_GSd_Low!I$23</f>
        <v>3.2195844333040215E-2</v>
      </c>
      <c r="H26" s="136">
        <f>BI_GSd_Low!H$38</f>
        <v>41.543320000000222</v>
      </c>
      <c r="I26" s="145">
        <f>BI_GSd_Low!I$38</f>
        <v>1.1591891126204098E-2</v>
      </c>
      <c r="J26" s="184" t="s">
        <v>70</v>
      </c>
    </row>
    <row r="27" spans="1:10" x14ac:dyDescent="0.2">
      <c r="A27" s="178"/>
      <c r="B27" s="159" t="s">
        <v>113</v>
      </c>
      <c r="C27" s="93">
        <f>BI_GSd_Avg!B4</f>
        <v>36104</v>
      </c>
      <c r="D27" s="84">
        <f>BI_GSd_Avg!B5</f>
        <v>124</v>
      </c>
      <c r="E27" s="149">
        <f>BI_GSd_Avg!D38</f>
        <v>8006.1341777679991</v>
      </c>
      <c r="F27" s="137">
        <f>BI_GSd_Avg!H$23</f>
        <v>74.389600000000428</v>
      </c>
      <c r="G27" s="143">
        <f>BI_GSd_Avg!I$23</f>
        <v>3.2909676247394416E-2</v>
      </c>
      <c r="H27" s="139">
        <f>BI_GSd_Avg!H$38</f>
        <v>84.060248000000684</v>
      </c>
      <c r="I27" s="146">
        <f>BI_GSd_Avg!I$38</f>
        <v>1.049948029017864E-2</v>
      </c>
      <c r="J27" s="185"/>
    </row>
    <row r="28" spans="1:10" ht="13.5" thickBot="1" x14ac:dyDescent="0.25">
      <c r="A28" s="179"/>
      <c r="B28" s="92" t="s">
        <v>61</v>
      </c>
      <c r="C28" s="94">
        <f>BI_GSd_High!B4</f>
        <v>175000</v>
      </c>
      <c r="D28" s="85">
        <f>BI_GSd_High!B5</f>
        <v>500</v>
      </c>
      <c r="E28" s="150">
        <f>BI_GSd_High!D38</f>
        <v>36101.887602999996</v>
      </c>
      <c r="F28" s="140">
        <f>BI_GSd_High!H$23</f>
        <v>295.44000000000051</v>
      </c>
      <c r="G28" s="141">
        <f>BI_GSd_High!I$23</f>
        <v>3.3338439494947081E-2</v>
      </c>
      <c r="H28" s="142">
        <f>BI_GSd_High!H$38</f>
        <v>333.8472000000038</v>
      </c>
      <c r="I28" s="147">
        <f>BI_GSd_High!I$38</f>
        <v>9.2473613477280277E-3</v>
      </c>
      <c r="J28" s="186"/>
    </row>
    <row r="29" spans="1:10" ht="12.75" customHeight="1" x14ac:dyDescent="0.2">
      <c r="A29" s="177" t="s">
        <v>7</v>
      </c>
      <c r="B29" s="90" t="s">
        <v>60</v>
      </c>
      <c r="C29" s="98">
        <f>BI_UGd_Low!B4</f>
        <v>15000</v>
      </c>
      <c r="D29" s="83">
        <f>BI_UGd_Low!B5</f>
        <v>60</v>
      </c>
      <c r="E29" s="148">
        <f>BI_UGd_Low!D38</f>
        <v>3143.1468669999995</v>
      </c>
      <c r="F29" s="134">
        <f>BI_UGd_Low!H$23</f>
        <v>22.198000000000093</v>
      </c>
      <c r="G29" s="135">
        <f>BI_UGd_Low!I$23</f>
        <v>3.1229468643210703E-2</v>
      </c>
      <c r="H29" s="136">
        <f>BI_UGd_Low!H$38</f>
        <v>25.083740000000489</v>
      </c>
      <c r="I29" s="145">
        <f>BI_UGd_Low!I$38</f>
        <v>7.9804543221812154E-3</v>
      </c>
      <c r="J29" s="184" t="s">
        <v>70</v>
      </c>
    </row>
    <row r="30" spans="1:10" x14ac:dyDescent="0.2">
      <c r="A30" s="178"/>
      <c r="B30" s="159" t="s">
        <v>113</v>
      </c>
      <c r="C30" s="93">
        <f>BI_UGd_Avg!B4</f>
        <v>50525</v>
      </c>
      <c r="D30" s="84">
        <f>BI_UGd_Avg!B5</f>
        <v>135</v>
      </c>
      <c r="E30" s="149">
        <f>BI_UGd_Avg!D38</f>
        <v>9284.7824645000001</v>
      </c>
      <c r="F30" s="137">
        <f>BI_UGd_Avg!H$23</f>
        <v>47.682999999999993</v>
      </c>
      <c r="G30" s="143">
        <f>BI_UGd_Avg!I$23</f>
        <v>3.1654706586285712E-2</v>
      </c>
      <c r="H30" s="139">
        <f>BI_UGd_Avg!H$38</f>
        <v>53.881789999999455</v>
      </c>
      <c r="I30" s="146">
        <f>BI_UGd_Avg!I$38</f>
        <v>5.8032366623573953E-3</v>
      </c>
      <c r="J30" s="185"/>
    </row>
    <row r="31" spans="1:10" ht="13.5" thickBot="1" x14ac:dyDescent="0.25">
      <c r="A31" s="179"/>
      <c r="B31" s="92" t="s">
        <v>61</v>
      </c>
      <c r="C31" s="94">
        <f>BI_UGd_High!B4</f>
        <v>175000</v>
      </c>
      <c r="D31" s="85">
        <f>BI_UGd_High!B5</f>
        <v>500</v>
      </c>
      <c r="E31" s="150">
        <f>BI_UGd_High!D38</f>
        <v>32374.807925000001</v>
      </c>
      <c r="F31" s="140">
        <f>BI_UGd_High!H$23</f>
        <v>171.71000000000004</v>
      </c>
      <c r="G31" s="141">
        <f>BI_UGd_High!I$23</f>
        <v>3.2512120331388471E-2</v>
      </c>
      <c r="H31" s="142">
        <f>BI_UGd_High!H$38</f>
        <v>194.03229999999894</v>
      </c>
      <c r="I31" s="147">
        <f>BI_UGd_High!I$38</f>
        <v>5.9933112329035986E-3</v>
      </c>
      <c r="J31" s="186"/>
    </row>
    <row r="32" spans="1:10" x14ac:dyDescent="0.2">
      <c r="A32" s="178" t="s">
        <v>8</v>
      </c>
      <c r="B32" s="90" t="s">
        <v>60</v>
      </c>
      <c r="C32" s="98">
        <f>BI_StLgt_Low!B4</f>
        <v>100</v>
      </c>
      <c r="D32" s="83"/>
      <c r="E32" s="148">
        <f>BI_StLgt_Low!D37</f>
        <v>29.212732079999995</v>
      </c>
      <c r="F32" s="134">
        <f>BI_StLgt_Low!H$20</f>
        <v>0.45999999999999908</v>
      </c>
      <c r="G32" s="135">
        <f>BI_StLgt_Low!I$20</f>
        <v>3.3093525179856045E-2</v>
      </c>
      <c r="H32" s="136">
        <f>BI_StLgt_Low!H$37</f>
        <v>0.48300000000000054</v>
      </c>
      <c r="I32" s="145">
        <f>BI_StLgt_Low!I$37</f>
        <v>1.6533886617564209E-2</v>
      </c>
      <c r="J32" s="174" t="s">
        <v>95</v>
      </c>
    </row>
    <row r="33" spans="1:10" x14ac:dyDescent="0.2">
      <c r="A33" s="178"/>
      <c r="B33" s="159" t="s">
        <v>113</v>
      </c>
      <c r="C33" s="93">
        <f>BI_StLgt_Avg!B4</f>
        <v>517</v>
      </c>
      <c r="D33" s="84"/>
      <c r="E33" s="149">
        <f>BI_StLgt_Avg!D37</f>
        <v>131.5966860936</v>
      </c>
      <c r="F33" s="137">
        <f>BI_StLgt_Avg!H$20</f>
        <v>1.8361000000000018</v>
      </c>
      <c r="G33" s="143">
        <f>BI_StLgt_Avg!I$20</f>
        <v>3.3475297815472947E-2</v>
      </c>
      <c r="H33" s="139">
        <f>BI_StLgt_Avg!H$37</f>
        <v>1.9279050000000097</v>
      </c>
      <c r="I33" s="146">
        <f>BI_StLgt_Avg!I$37</f>
        <v>1.4650102956458647E-2</v>
      </c>
      <c r="J33" s="175"/>
    </row>
    <row r="34" spans="1:10" ht="13.5" thickBot="1" x14ac:dyDescent="0.25">
      <c r="A34" s="179"/>
      <c r="B34" s="92" t="s">
        <v>61</v>
      </c>
      <c r="C34" s="94">
        <f>BI_StLgt_High!B4</f>
        <v>2000</v>
      </c>
      <c r="D34" s="85"/>
      <c r="E34" s="150">
        <f>BI_StLgt_High!D37</f>
        <v>524.97374160000004</v>
      </c>
      <c r="F34" s="140">
        <f>BI_StLgt_High!H$20</f>
        <v>6.7299999999999898</v>
      </c>
      <c r="G34" s="141">
        <f>BI_StLgt_High!I$20</f>
        <v>3.3569433359936098E-2</v>
      </c>
      <c r="H34" s="142">
        <f>BI_StLgt_High!H$37</f>
        <v>7.0665000000000191</v>
      </c>
      <c r="I34" s="147">
        <f>BI_StLgt_High!I$37</f>
        <v>1.3460673249033259E-2</v>
      </c>
      <c r="J34" s="176"/>
    </row>
    <row r="35" spans="1:10" x14ac:dyDescent="0.2">
      <c r="A35" s="178" t="s">
        <v>9</v>
      </c>
      <c r="B35" s="90" t="s">
        <v>60</v>
      </c>
      <c r="C35" s="98">
        <f>BI_SenLgt_Low!B4</f>
        <v>20</v>
      </c>
      <c r="D35" s="83"/>
      <c r="E35" s="148">
        <f>BI_SenLgt_Low!D37</f>
        <v>8.8686464159999989</v>
      </c>
      <c r="F35" s="134">
        <f>BI_SenLgt_Low!H$20</f>
        <v>0.27799999999999958</v>
      </c>
      <c r="G35" s="135">
        <f>BI_SenLgt_Low!I$20</f>
        <v>5.0897107286708092E-2</v>
      </c>
      <c r="H35" s="136">
        <f>BI_SenLgt_Low!H$37</f>
        <v>0.29189999999999827</v>
      </c>
      <c r="I35" s="145">
        <f>BI_SenLgt_Low!I$37</f>
        <v>3.2913703659825592E-2</v>
      </c>
      <c r="J35" s="174" t="s">
        <v>95</v>
      </c>
    </row>
    <row r="36" spans="1:10" x14ac:dyDescent="0.2">
      <c r="A36" s="178"/>
      <c r="B36" s="159" t="s">
        <v>113</v>
      </c>
      <c r="C36" s="93">
        <f>BI_SenLgt_Avg!B4</f>
        <v>71</v>
      </c>
      <c r="D36" s="84"/>
      <c r="E36" s="149">
        <f>BI_SenLgt_Avg!D37</f>
        <v>22.5140697768</v>
      </c>
      <c r="F36" s="137">
        <f>BI_SenLgt_Avg!H$20</f>
        <v>0.57889999999999908</v>
      </c>
      <c r="G36" s="143">
        <f>BI_SenLgt_Avg!I$20</f>
        <v>5.0404437053225407E-2</v>
      </c>
      <c r="H36" s="139">
        <f>BI_SenLgt_Avg!H$37</f>
        <v>0.60784500000000108</v>
      </c>
      <c r="I36" s="146">
        <f>BI_SenLgt_Avg!I$37</f>
        <v>2.6998450570068194E-2</v>
      </c>
      <c r="J36" s="175"/>
    </row>
    <row r="37" spans="1:10" ht="13.5" thickBot="1" x14ac:dyDescent="0.25">
      <c r="A37" s="179"/>
      <c r="B37" s="92" t="s">
        <v>61</v>
      </c>
      <c r="C37" s="94">
        <f>BI_SenLgt_High!B4</f>
        <v>200</v>
      </c>
      <c r="D37" s="85"/>
      <c r="E37" s="150">
        <f>BI_SenLgt_High!D37</f>
        <v>57.028964159999994</v>
      </c>
      <c r="F37" s="140">
        <f>BI_SenLgt_High!H$20</f>
        <v>1.3399999999999999</v>
      </c>
      <c r="G37" s="141">
        <f>BI_SenLgt_High!I$20</f>
        <v>5.0149700598802395E-2</v>
      </c>
      <c r="H37" s="142">
        <f>BI_SenLgt_High!H$37</f>
        <v>1.4070000000000036</v>
      </c>
      <c r="I37" s="147">
        <f>BI_SenLgt_High!I$37</f>
        <v>2.467167378408866E-2</v>
      </c>
      <c r="J37" s="176"/>
    </row>
    <row r="38" spans="1:10" x14ac:dyDescent="0.2">
      <c r="A38" s="178" t="s">
        <v>12</v>
      </c>
      <c r="B38" s="90" t="s">
        <v>60</v>
      </c>
      <c r="C38" s="98">
        <f>BI_USL_Low!B4</f>
        <v>100</v>
      </c>
      <c r="D38" s="83"/>
      <c r="E38" s="148">
        <f>BI_USL_Low!D37</f>
        <v>54.448230900000006</v>
      </c>
      <c r="F38" s="134">
        <f>BI_USL_Low!H$20</f>
        <v>0.71999999999999886</v>
      </c>
      <c r="G38" s="135">
        <f>BI_USL_Low!I$20</f>
        <v>1.8957345971563948E-2</v>
      </c>
      <c r="H38" s="136">
        <f>BI_USL_Low!H$37</f>
        <v>0.75600000000000023</v>
      </c>
      <c r="I38" s="145">
        <f>BI_USL_Low!I$37</f>
        <v>1.3884748641117009E-2</v>
      </c>
      <c r="J38" s="174" t="s">
        <v>95</v>
      </c>
    </row>
    <row r="39" spans="1:10" x14ac:dyDescent="0.2">
      <c r="A39" s="178"/>
      <c r="B39" s="159" t="s">
        <v>113</v>
      </c>
      <c r="C39" s="93">
        <f>BI_USL_Avg!B4</f>
        <v>364</v>
      </c>
      <c r="D39" s="84"/>
      <c r="E39" s="149">
        <f>BI_USL_Avg!D37</f>
        <v>100.22908047600001</v>
      </c>
      <c r="F39" s="137">
        <f>BI_USL_Avg!H$20</f>
        <v>0.87839999999999918</v>
      </c>
      <c r="G39" s="143">
        <f>BI_USL_Avg!I$20</f>
        <v>1.9259103346663843E-2</v>
      </c>
      <c r="H39" s="139">
        <f>BI_USL_Avg!H$37</f>
        <v>0.92231999999999914</v>
      </c>
      <c r="I39" s="146">
        <f>BI_USL_Avg!I$37</f>
        <v>9.202119740296829E-3</v>
      </c>
      <c r="J39" s="175"/>
    </row>
    <row r="40" spans="1:10" ht="13.5" thickBot="1" x14ac:dyDescent="0.25">
      <c r="A40" s="179"/>
      <c r="B40" s="92" t="s">
        <v>61</v>
      </c>
      <c r="C40" s="94">
        <f>BI_USL_High!B4</f>
        <v>1000</v>
      </c>
      <c r="D40" s="85"/>
      <c r="E40" s="150">
        <f>BI_USL_High!D37</f>
        <v>216.98310900000001</v>
      </c>
      <c r="F40" s="140">
        <f>BI_USL_High!H$20</f>
        <v>1.2599999999999909</v>
      </c>
      <c r="G40" s="141">
        <f>BI_USL_High!I$20</f>
        <v>1.9690576652601825E-2</v>
      </c>
      <c r="H40" s="142">
        <f>BI_USL_High!H$37</f>
        <v>1.3229999999999791</v>
      </c>
      <c r="I40" s="147">
        <f>BI_USL_High!I$37</f>
        <v>6.097248795527116E-3</v>
      </c>
      <c r="J40" s="176"/>
    </row>
    <row r="41" spans="1:10" ht="12.75" customHeight="1" x14ac:dyDescent="0.2">
      <c r="A41" s="178" t="s">
        <v>47</v>
      </c>
      <c r="B41" s="90" t="s">
        <v>60</v>
      </c>
      <c r="C41" s="98">
        <f>BI_DGen_Low!B4</f>
        <v>300</v>
      </c>
      <c r="D41" s="83">
        <f>BI_DGen_Low!B5</f>
        <v>10</v>
      </c>
      <c r="E41" s="148">
        <f>BI_DGen_Low!D38</f>
        <v>348.59787874000006</v>
      </c>
      <c r="F41" s="134">
        <f>BI_DGen_Low!H$23</f>
        <v>35.363999999999976</v>
      </c>
      <c r="G41" s="135">
        <f>BI_DGen_Low!I$23</f>
        <v>0.13632538329371044</v>
      </c>
      <c r="H41" s="136">
        <f>BI_DGen_Low!H$38</f>
        <v>39.961320000000001</v>
      </c>
      <c r="I41" s="145">
        <f>BI_DGen_Low!I$38</f>
        <v>0.11463443249981721</v>
      </c>
      <c r="J41" s="184" t="s">
        <v>70</v>
      </c>
    </row>
    <row r="42" spans="1:10" x14ac:dyDescent="0.2">
      <c r="A42" s="178"/>
      <c r="B42" s="159" t="s">
        <v>113</v>
      </c>
      <c r="C42" s="93">
        <f>BI_DGen_Avg!B4</f>
        <v>1328</v>
      </c>
      <c r="D42" s="84">
        <f>BI_DGen_Avg!B5</f>
        <v>13</v>
      </c>
      <c r="E42" s="149">
        <f>BI_DGen_Avg!D38</f>
        <v>518.99392353999997</v>
      </c>
      <c r="F42" s="137">
        <f>BI_DGen_Avg!H$23</f>
        <v>45.973199999999963</v>
      </c>
      <c r="G42" s="143">
        <f>BI_DGen_Avg!I$23</f>
        <v>0.16436004502418139</v>
      </c>
      <c r="H42" s="139">
        <f>BI_DGen_Avg!H$38</f>
        <v>51.949715999999853</v>
      </c>
      <c r="I42" s="146">
        <f>BI_DGen_Avg!I$38</f>
        <v>0.10009696384430979</v>
      </c>
      <c r="J42" s="185"/>
    </row>
    <row r="43" spans="1:10" ht="13.5" thickBot="1" x14ac:dyDescent="0.25">
      <c r="A43" s="179"/>
      <c r="B43" s="92" t="s">
        <v>61</v>
      </c>
      <c r="C43" s="94">
        <f>BI_DGen_High!B4</f>
        <v>5000</v>
      </c>
      <c r="D43" s="85">
        <f>BI_DGen_High!B5</f>
        <v>100</v>
      </c>
      <c r="E43" s="150">
        <f>BI_DGen_High!D38</f>
        <v>1753.0304494000002</v>
      </c>
      <c r="F43" s="140">
        <f>BI_DGen_High!H$23</f>
        <v>353.64</v>
      </c>
      <c r="G43" s="141">
        <f>BI_DGen_High!I$23</f>
        <v>0.43351012154930463</v>
      </c>
      <c r="H43" s="142">
        <f>BI_DGen_High!H$38</f>
        <v>399.61319999999978</v>
      </c>
      <c r="I43" s="147">
        <f>BI_DGen_High!I$38</f>
        <v>0.22795565253117717</v>
      </c>
      <c r="J43" s="186"/>
    </row>
    <row r="44" spans="1:10" x14ac:dyDescent="0.2">
      <c r="A44" s="178" t="s">
        <v>11</v>
      </c>
      <c r="B44" s="90" t="s">
        <v>60</v>
      </c>
      <c r="C44" s="98">
        <f>BI_ST_Low!B4</f>
        <v>200000</v>
      </c>
      <c r="D44" s="83">
        <f>BI_ST_Low!B5</f>
        <v>500</v>
      </c>
      <c r="E44" s="148">
        <f>BI_ST_Low!D36</f>
        <v>33387.239565046344</v>
      </c>
      <c r="F44" s="134">
        <f>BI_ST_Low!H$21</f>
        <v>49.047522096101147</v>
      </c>
      <c r="G44" s="135">
        <f>BI_ST_Low!I$21</f>
        <v>2.0479701011642596E-2</v>
      </c>
      <c r="H44" s="136">
        <f>BI_ST_Low!H$36</f>
        <v>55.423699968596338</v>
      </c>
      <c r="I44" s="145">
        <f>BI_ST_Low!I$36</f>
        <v>1.6600264259828276E-3</v>
      </c>
      <c r="J44" s="184" t="s">
        <v>70</v>
      </c>
    </row>
    <row r="45" spans="1:10" x14ac:dyDescent="0.2">
      <c r="A45" s="178"/>
      <c r="B45" s="159" t="s">
        <v>113</v>
      </c>
      <c r="C45" s="93">
        <f>BI_ST_Avg!B4</f>
        <v>1601036</v>
      </c>
      <c r="D45" s="84">
        <f>BI_ST_Avg!B5</f>
        <v>3091</v>
      </c>
      <c r="E45" s="149">
        <f>BI_ST_Avg!D36</f>
        <v>249799.17262042049</v>
      </c>
      <c r="F45" s="137">
        <f>BI_ST_Avg!H$21</f>
        <v>186.35768159809595</v>
      </c>
      <c r="G45" s="143">
        <f>BI_ST_Avg!I$21</f>
        <v>2.0119689447412104E-2</v>
      </c>
      <c r="H45" s="139">
        <f>BI_ST_Avg!H$36</f>
        <v>210.58418020585668</v>
      </c>
      <c r="I45" s="146">
        <f>BI_ST_Avg!I$36</f>
        <v>8.4301392193098857E-4</v>
      </c>
      <c r="J45" s="185"/>
    </row>
    <row r="46" spans="1:10" ht="13.5" thickBot="1" x14ac:dyDescent="0.25">
      <c r="A46" s="179"/>
      <c r="B46" s="92" t="s">
        <v>61</v>
      </c>
      <c r="C46" s="94">
        <f>BI_ST_High!B4</f>
        <v>4000000</v>
      </c>
      <c r="D46" s="85">
        <f>BI_ST_High!B5</f>
        <v>10000</v>
      </c>
      <c r="E46" s="150">
        <f>BI_ST_High!D36</f>
        <v>641805.59610092686</v>
      </c>
      <c r="F46" s="140">
        <f>BI_ST_High!H$21</f>
        <v>552.5004419220204</v>
      </c>
      <c r="G46" s="141">
        <f>BI_ST_High!I$21</f>
        <v>2.2145744145953199E-2</v>
      </c>
      <c r="H46" s="142">
        <f>BI_ST_High!H$36</f>
        <v>624.32549937185831</v>
      </c>
      <c r="I46" s="147">
        <f>BI_ST_High!I$36</f>
        <v>9.7276418773026762E-4</v>
      </c>
      <c r="J46" s="186"/>
    </row>
  </sheetData>
  <mergeCells count="26">
    <mergeCell ref="A44:A46"/>
    <mergeCell ref="J44:J46"/>
    <mergeCell ref="A41:A43"/>
    <mergeCell ref="A38:A40"/>
    <mergeCell ref="A22:A25"/>
    <mergeCell ref="A26:A28"/>
    <mergeCell ref="A29:A31"/>
    <mergeCell ref="A32:A34"/>
    <mergeCell ref="A35:A37"/>
    <mergeCell ref="J32:J34"/>
    <mergeCell ref="J29:J31"/>
    <mergeCell ref="J26:J28"/>
    <mergeCell ref="J41:J43"/>
    <mergeCell ref="J38:J40"/>
    <mergeCell ref="J35:J37"/>
    <mergeCell ref="A2:A5"/>
    <mergeCell ref="A6:A9"/>
    <mergeCell ref="A10:A13"/>
    <mergeCell ref="A14:A17"/>
    <mergeCell ref="A18:A21"/>
    <mergeCell ref="J2:J5"/>
    <mergeCell ref="J22:J25"/>
    <mergeCell ref="J18:J21"/>
    <mergeCell ref="J14:J17"/>
    <mergeCell ref="J10:J13"/>
    <mergeCell ref="J6:J9"/>
  </mergeCells>
  <pageMargins left="0.7" right="0.7" top="0.75" bottom="0.75" header="0.3" footer="0.3"/>
  <pageSetup paperSize="5" fitToHeight="0" orientation="landscape" r:id="rId1"/>
  <headerFooter>
    <oddHeader>&amp;RFiled: 2017-03-31
EB-2017-0049
Exhibit H1-4-1
Attachment 2
Page &amp;P of &amp;N</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1" tint="0.499984740745262"/>
    <pageSetUpPr fitToPage="1"/>
  </sheetPr>
  <dimension ref="A1:K68"/>
  <sheetViews>
    <sheetView tabSelected="1" view="pageBreakPreview"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119</v>
      </c>
      <c r="B1" s="188"/>
      <c r="C1" s="188"/>
      <c r="D1" s="188"/>
      <c r="E1" s="188"/>
      <c r="F1" s="188"/>
      <c r="G1" s="188"/>
      <c r="H1" s="188"/>
      <c r="I1" s="188"/>
      <c r="J1" s="188"/>
      <c r="K1" s="189"/>
    </row>
    <row r="3" spans="1:11" x14ac:dyDescent="0.2">
      <c r="A3" s="13" t="s">
        <v>13</v>
      </c>
      <c r="B3" s="13" t="s">
        <v>6</v>
      </c>
    </row>
    <row r="4" spans="1:11" x14ac:dyDescent="0.2">
      <c r="A4" s="15" t="s">
        <v>62</v>
      </c>
      <c r="B4" s="15">
        <v>2000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2134</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0.19353121689568684</v>
      </c>
      <c r="K12" s="106"/>
    </row>
    <row r="13" spans="1:11" x14ac:dyDescent="0.2">
      <c r="A13" s="107" t="s">
        <v>32</v>
      </c>
      <c r="B13" s="73">
        <f>IF(B4&gt;B7,(B4)-B7,0)</f>
        <v>1250</v>
      </c>
      <c r="C13" s="21">
        <v>0.121</v>
      </c>
      <c r="D13" s="22">
        <f>B13*C13</f>
        <v>151.25</v>
      </c>
      <c r="E13" s="73">
        <f t="shared" ref="E13" si="0">B13</f>
        <v>1250</v>
      </c>
      <c r="F13" s="21">
        <f>C13</f>
        <v>0.121</v>
      </c>
      <c r="G13" s="22">
        <f>E13*F13</f>
        <v>151.25</v>
      </c>
      <c r="H13" s="22">
        <f t="shared" ref="H13:H46" si="1">G13-D13</f>
        <v>0</v>
      </c>
      <c r="I13" s="23">
        <f t="shared" ref="I13:I46" si="2">IF(ISERROR(H13/D13),0,(H13/D13))</f>
        <v>0</v>
      </c>
      <c r="J13" s="23">
        <f>G13/$G$46</f>
        <v>0.37892034376016354</v>
      </c>
      <c r="K13" s="108"/>
    </row>
    <row r="14" spans="1:11" s="1" customFormat="1" x14ac:dyDescent="0.2">
      <c r="A14" s="46" t="s">
        <v>33</v>
      </c>
      <c r="B14" s="24"/>
      <c r="C14" s="25"/>
      <c r="D14" s="25">
        <f>SUM(D12:D13)</f>
        <v>228.5</v>
      </c>
      <c r="E14" s="76"/>
      <c r="F14" s="25"/>
      <c r="G14" s="25">
        <f>SUM(G12:G13)</f>
        <v>228.5</v>
      </c>
      <c r="H14" s="25">
        <f t="shared" si="1"/>
        <v>0</v>
      </c>
      <c r="I14" s="27">
        <f t="shared" si="2"/>
        <v>0</v>
      </c>
      <c r="J14" s="27">
        <f>G14/$G$46</f>
        <v>0.57245156065585034</v>
      </c>
      <c r="K14" s="108"/>
    </row>
    <row r="15" spans="1:11" s="1" customFormat="1" x14ac:dyDescent="0.2">
      <c r="A15" s="109" t="s">
        <v>34</v>
      </c>
      <c r="B15" s="75">
        <f>B4*0.65</f>
        <v>1300</v>
      </c>
      <c r="C15" s="28">
        <v>8.6999999999999994E-2</v>
      </c>
      <c r="D15" s="22">
        <f>B15*C15</f>
        <v>113.1</v>
      </c>
      <c r="E15" s="73">
        <f t="shared" ref="E15:F17" si="3">B15</f>
        <v>1300</v>
      </c>
      <c r="F15" s="28">
        <f t="shared" si="3"/>
        <v>8.6999999999999994E-2</v>
      </c>
      <c r="G15" s="22">
        <f>E15*F15</f>
        <v>113.1</v>
      </c>
      <c r="H15" s="22">
        <f t="shared" si="1"/>
        <v>0</v>
      </c>
      <c r="I15" s="23">
        <f t="shared" si="2"/>
        <v>0</v>
      </c>
      <c r="J15" s="23"/>
      <c r="K15" s="108">
        <f t="shared" ref="K15:K26" si="4">G15/$G$51</f>
        <v>0.28866600511054297</v>
      </c>
    </row>
    <row r="16" spans="1:11" s="1" customFormat="1" x14ac:dyDescent="0.2">
      <c r="A16" s="109" t="s">
        <v>35</v>
      </c>
      <c r="B16" s="75">
        <f>B4*0.17</f>
        <v>340</v>
      </c>
      <c r="C16" s="28">
        <v>0.13200000000000001</v>
      </c>
      <c r="D16" s="22">
        <f>B16*C16</f>
        <v>44.88</v>
      </c>
      <c r="E16" s="73">
        <f t="shared" si="3"/>
        <v>340</v>
      </c>
      <c r="F16" s="28">
        <f t="shared" si="3"/>
        <v>0.13200000000000001</v>
      </c>
      <c r="G16" s="22">
        <f>E16*F16</f>
        <v>44.88</v>
      </c>
      <c r="H16" s="22">
        <f t="shared" si="1"/>
        <v>0</v>
      </c>
      <c r="I16" s="23">
        <f t="shared" si="2"/>
        <v>0</v>
      </c>
      <c r="J16" s="23"/>
      <c r="K16" s="108">
        <f t="shared" si="4"/>
        <v>0.11454757125871945</v>
      </c>
    </row>
    <row r="17" spans="1:11" s="1" customFormat="1" x14ac:dyDescent="0.2">
      <c r="A17" s="109" t="s">
        <v>36</v>
      </c>
      <c r="B17" s="75">
        <f>B4*0.18</f>
        <v>360</v>
      </c>
      <c r="C17" s="28">
        <v>0.18</v>
      </c>
      <c r="D17" s="22">
        <f>B17*C17</f>
        <v>64.8</v>
      </c>
      <c r="E17" s="73">
        <f t="shared" si="3"/>
        <v>360</v>
      </c>
      <c r="F17" s="28">
        <f t="shared" si="3"/>
        <v>0.18</v>
      </c>
      <c r="G17" s="22">
        <f>E17*F17</f>
        <v>64.8</v>
      </c>
      <c r="H17" s="22">
        <f t="shared" si="1"/>
        <v>0</v>
      </c>
      <c r="I17" s="23">
        <f t="shared" si="2"/>
        <v>0</v>
      </c>
      <c r="J17" s="23"/>
      <c r="K17" s="108">
        <f t="shared" si="4"/>
        <v>0.16538954138959491</v>
      </c>
    </row>
    <row r="18" spans="1:11" s="1" customFormat="1" x14ac:dyDescent="0.2">
      <c r="A18" s="61" t="s">
        <v>37</v>
      </c>
      <c r="B18" s="29"/>
      <c r="C18" s="30"/>
      <c r="D18" s="30">
        <f>SUM(D15:D17)</f>
        <v>222.77999999999997</v>
      </c>
      <c r="E18" s="77"/>
      <c r="F18" s="30"/>
      <c r="G18" s="30">
        <f>SUM(G15:G17)</f>
        <v>222.77999999999997</v>
      </c>
      <c r="H18" s="31">
        <f t="shared" si="1"/>
        <v>0</v>
      </c>
      <c r="I18" s="32">
        <f t="shared" si="2"/>
        <v>0</v>
      </c>
      <c r="J18" s="33">
        <f t="shared" ref="J18:J23" si="5">G18/$G$46</f>
        <v>0.5581214822009205</v>
      </c>
      <c r="K18" s="62">
        <f t="shared" si="4"/>
        <v>0.5686031177588573</v>
      </c>
    </row>
    <row r="19" spans="1:11" x14ac:dyDescent="0.2">
      <c r="A19" s="107" t="s">
        <v>38</v>
      </c>
      <c r="B19" s="73">
        <v>1</v>
      </c>
      <c r="C19" s="78">
        <f>VLOOKUP($B$3,'Data for Bill Impacts'!$A$3:$Y$15,7,0)</f>
        <v>23.97</v>
      </c>
      <c r="D19" s="22">
        <f>B19*C19</f>
        <v>23.97</v>
      </c>
      <c r="E19" s="73">
        <f t="shared" ref="E19:E41" si="6">B19</f>
        <v>1</v>
      </c>
      <c r="F19" s="78">
        <f>VLOOKUP($B$3,'Data for Bill Impacts'!$A$3:$Y$15,17,0)</f>
        <v>24.52</v>
      </c>
      <c r="G19" s="22">
        <f>E19*F19</f>
        <v>24.52</v>
      </c>
      <c r="H19" s="22">
        <f t="shared" si="1"/>
        <v>0.55000000000000071</v>
      </c>
      <c r="I19" s="23">
        <f t="shared" si="2"/>
        <v>2.2945348352106831E-2</v>
      </c>
      <c r="J19" s="23">
        <f t="shared" si="5"/>
        <v>6.1428937712391468E-2</v>
      </c>
      <c r="K19" s="108">
        <f t="shared" si="4"/>
        <v>6.2582585723346726E-2</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110</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2.5052584711415774E-5</v>
      </c>
      <c r="K22" s="108">
        <f t="shared" si="4"/>
        <v>2.5523077374937488E-5</v>
      </c>
    </row>
    <row r="23" spans="1:11" x14ac:dyDescent="0.2">
      <c r="A23" s="107" t="s">
        <v>39</v>
      </c>
      <c r="B23" s="73">
        <f>IF($B$9="kWh",$B$4,$B$5)</f>
        <v>2000</v>
      </c>
      <c r="C23" s="126">
        <f>VLOOKUP($B$3,'Data for Bill Impacts'!$A$3:$Y$15,10,0)</f>
        <v>2.8000000000000001E-2</v>
      </c>
      <c r="D23" s="22">
        <f>B23*C23</f>
        <v>56</v>
      </c>
      <c r="E23" s="73">
        <f t="shared" si="6"/>
        <v>2000</v>
      </c>
      <c r="F23" s="78">
        <f>VLOOKUP($B$3,'Data for Bill Impacts'!$A$3:$Y$15,19,0)</f>
        <v>2.9000000000000001E-2</v>
      </c>
      <c r="G23" s="22">
        <f>E23*F23</f>
        <v>58</v>
      </c>
      <c r="H23" s="22">
        <f t="shared" si="1"/>
        <v>2</v>
      </c>
      <c r="I23" s="23">
        <f t="shared" si="2"/>
        <v>3.5714285714285712E-2</v>
      </c>
      <c r="J23" s="23">
        <f t="shared" si="5"/>
        <v>0.14530499132621147</v>
      </c>
      <c r="K23" s="108">
        <f t="shared" si="4"/>
        <v>0.14803384877463743</v>
      </c>
    </row>
    <row r="24" spans="1:11" x14ac:dyDescent="0.2">
      <c r="A24" s="107" t="s">
        <v>122</v>
      </c>
      <c r="B24" s="73">
        <f>IF($B$9="kWh",$B$4,$B$5)</f>
        <v>2000</v>
      </c>
      <c r="C24" s="126">
        <f>VLOOKUP($B$3,'Data for Bill Impacts'!$A$3:$Y$15,14,0)</f>
        <v>2.0000000000000001E-4</v>
      </c>
      <c r="D24" s="22">
        <f>B24*C24</f>
        <v>0.4</v>
      </c>
      <c r="E24" s="73">
        <f t="shared" si="6"/>
        <v>2000</v>
      </c>
      <c r="F24" s="126">
        <f>VLOOKUP($B$3,'Data for Bill Impacts'!$A$3:$Y$15,23,0)</f>
        <v>2.0000000000000001E-4</v>
      </c>
      <c r="G24" s="22">
        <f>E24*F24</f>
        <v>0.4</v>
      </c>
      <c r="H24" s="22">
        <f t="shared" si="1"/>
        <v>0</v>
      </c>
      <c r="I24" s="23">
        <f>IF(ISERROR(H24/D24),0,(H24/D24))</f>
        <v>0</v>
      </c>
      <c r="J24" s="23">
        <f t="shared" ref="J24" si="9">G24/$G$46</f>
        <v>1.0021033884566309E-3</v>
      </c>
      <c r="K24" s="108">
        <f t="shared" si="4"/>
        <v>1.0209230949974996E-3</v>
      </c>
    </row>
    <row r="25" spans="1:11" s="1" customFormat="1" x14ac:dyDescent="0.2">
      <c r="A25" s="110" t="s">
        <v>72</v>
      </c>
      <c r="B25" s="74"/>
      <c r="C25" s="35"/>
      <c r="D25" s="35">
        <f>SUM(D19:D24)</f>
        <v>80.38000000000001</v>
      </c>
      <c r="E25" s="73"/>
      <c r="F25" s="35"/>
      <c r="G25" s="35">
        <f>SUM(G19:G24)</f>
        <v>82.93</v>
      </c>
      <c r="H25" s="35">
        <f t="shared" si="1"/>
        <v>2.5499999999999972</v>
      </c>
      <c r="I25" s="36">
        <f t="shared" si="2"/>
        <v>3.1724309529733728E-2</v>
      </c>
      <c r="J25" s="36">
        <f>G25/$G$46</f>
        <v>0.20776108501177101</v>
      </c>
      <c r="K25" s="111">
        <f t="shared" si="4"/>
        <v>0.2116628806703566</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1.9791541922018459E-3</v>
      </c>
      <c r="K26" s="108">
        <f t="shared" si="4"/>
        <v>2.0163231126200617E-3</v>
      </c>
    </row>
    <row r="27" spans="1:11" s="1" customFormat="1" x14ac:dyDescent="0.2">
      <c r="A27" s="119" t="s">
        <v>75</v>
      </c>
      <c r="B27" s="120">
        <f>B8-B4</f>
        <v>134</v>
      </c>
      <c r="C27" s="121">
        <f>IF(B4&gt;B7,C13,C12)</f>
        <v>0.121</v>
      </c>
      <c r="D27" s="22">
        <f>B27*C27</f>
        <v>16.213999999999999</v>
      </c>
      <c r="E27" s="73">
        <f>B27</f>
        <v>134</v>
      </c>
      <c r="F27" s="121">
        <f>C27</f>
        <v>0.121</v>
      </c>
      <c r="G27" s="22">
        <f>E27*F27</f>
        <v>16.213999999999999</v>
      </c>
      <c r="H27" s="22">
        <f t="shared" si="1"/>
        <v>0</v>
      </c>
      <c r="I27" s="23">
        <f>IF(ISERROR(H27/D27),0,(H27/D27))</f>
        <v>0</v>
      </c>
      <c r="J27" s="23">
        <f t="shared" ref="J27:J46" si="10">G27/$G$46</f>
        <v>4.062026085108953E-2</v>
      </c>
      <c r="K27" s="108">
        <f t="shared" ref="K27:K41" si="11">G27/$G$51</f>
        <v>4.1383117655723639E-2</v>
      </c>
    </row>
    <row r="28" spans="1:11" s="1" customFormat="1" x14ac:dyDescent="0.2">
      <c r="A28" s="119" t="s">
        <v>74</v>
      </c>
      <c r="B28" s="120">
        <f>B8-B4</f>
        <v>134</v>
      </c>
      <c r="C28" s="121">
        <f>0.65*C15+0.17*C16+0.18*C17</f>
        <v>0.11139</v>
      </c>
      <c r="D28" s="22">
        <f>B28*C28</f>
        <v>14.926260000000001</v>
      </c>
      <c r="E28" s="73">
        <f>B28</f>
        <v>134</v>
      </c>
      <c r="F28" s="121">
        <f>C28</f>
        <v>0.11139</v>
      </c>
      <c r="G28" s="22">
        <f>E28*F28</f>
        <v>14.926260000000001</v>
      </c>
      <c r="H28" s="22">
        <f t="shared" si="1"/>
        <v>0</v>
      </c>
      <c r="I28" s="23">
        <f>IF(ISERROR(H28/D28),0,(H28/D28))</f>
        <v>0</v>
      </c>
      <c r="J28" s="23">
        <f t="shared" si="10"/>
        <v>3.7394139307461681E-2</v>
      </c>
      <c r="K28" s="108">
        <f t="shared" si="11"/>
        <v>3.8096408889843447E-2</v>
      </c>
    </row>
    <row r="29" spans="1:11" s="1" customFormat="1" x14ac:dyDescent="0.2">
      <c r="A29" s="110" t="s">
        <v>78</v>
      </c>
      <c r="B29" s="74"/>
      <c r="C29" s="35"/>
      <c r="D29" s="35">
        <f>SUM(D25,D26:D27)</f>
        <v>97.384000000000015</v>
      </c>
      <c r="E29" s="73"/>
      <c r="F29" s="35"/>
      <c r="G29" s="35">
        <f>SUM(G25,G26:G27)</f>
        <v>99.934000000000012</v>
      </c>
      <c r="H29" s="35">
        <f t="shared" si="1"/>
        <v>2.5499999999999972</v>
      </c>
      <c r="I29" s="36">
        <f>IF(ISERROR(H29/D29),0,(H29/D29))</f>
        <v>2.6184999589254875E-2</v>
      </c>
      <c r="J29" s="36">
        <f t="shared" si="10"/>
        <v>0.25036050005506238</v>
      </c>
      <c r="K29" s="111">
        <f t="shared" si="11"/>
        <v>0.25506232143870033</v>
      </c>
    </row>
    <row r="30" spans="1:11" s="1" customFormat="1" x14ac:dyDescent="0.2">
      <c r="A30" s="110" t="s">
        <v>77</v>
      </c>
      <c r="B30" s="74"/>
      <c r="C30" s="35"/>
      <c r="D30" s="35">
        <f>SUM(D25,D26,D28)</f>
        <v>96.096260000000015</v>
      </c>
      <c r="E30" s="73"/>
      <c r="F30" s="35"/>
      <c r="G30" s="35">
        <f>SUM(G25,G26,G28)</f>
        <v>98.646260000000012</v>
      </c>
      <c r="H30" s="35">
        <f t="shared" si="1"/>
        <v>2.5499999999999972</v>
      </c>
      <c r="I30" s="36">
        <f>IF(ISERROR(H30/D30),0,(H30/D30))</f>
        <v>2.6535892239718764E-2</v>
      </c>
      <c r="J30" s="36">
        <f t="shared" si="10"/>
        <v>0.24713437851143455</v>
      </c>
      <c r="K30" s="111">
        <f t="shared" si="11"/>
        <v>0.25177561267282011</v>
      </c>
    </row>
    <row r="31" spans="1:11" x14ac:dyDescent="0.2">
      <c r="A31" s="107" t="s">
        <v>40</v>
      </c>
      <c r="B31" s="73">
        <f>B8</f>
        <v>2134</v>
      </c>
      <c r="C31" s="126">
        <f>VLOOKUP($B$3,'Data for Bill Impacts'!$A$3:$Y$15,15,0)</f>
        <v>6.1060000000000003E-3</v>
      </c>
      <c r="D31" s="22">
        <f>B31*C31</f>
        <v>13.030204000000001</v>
      </c>
      <c r="E31" s="73">
        <f t="shared" si="6"/>
        <v>2134</v>
      </c>
      <c r="F31" s="126">
        <f>VLOOKUP($B$3,'Data for Bill Impacts'!$A$3:$Y$15,24,0)</f>
        <v>6.1060000000000003E-3</v>
      </c>
      <c r="G31" s="22">
        <f>E31*F31</f>
        <v>13.030204000000001</v>
      </c>
      <c r="H31" s="22">
        <f t="shared" si="1"/>
        <v>0</v>
      </c>
      <c r="I31" s="23">
        <f t="shared" si="2"/>
        <v>0</v>
      </c>
      <c r="J31" s="23">
        <f t="shared" si="10"/>
        <v>3.2644028951702868E-2</v>
      </c>
      <c r="K31" s="108">
        <f t="shared" si="11"/>
        <v>3.3257090490322001E-2</v>
      </c>
    </row>
    <row r="32" spans="1:11" x14ac:dyDescent="0.2">
      <c r="A32" s="107" t="s">
        <v>41</v>
      </c>
      <c r="B32" s="73">
        <f>B8</f>
        <v>2134</v>
      </c>
      <c r="C32" s="126">
        <f>VLOOKUP($B$3,'Data for Bill Impacts'!$A$3:$Y$15,16,0)</f>
        <v>4.6519999999999999E-3</v>
      </c>
      <c r="D32" s="22">
        <f>B32*C32</f>
        <v>9.9273679999999995</v>
      </c>
      <c r="E32" s="73">
        <f t="shared" si="6"/>
        <v>2134</v>
      </c>
      <c r="F32" s="126">
        <f>VLOOKUP($B$3,'Data for Bill Impacts'!$A$3:$Y$15,25,0)</f>
        <v>4.6519999999999999E-3</v>
      </c>
      <c r="G32" s="22">
        <f>E32*F32</f>
        <v>9.9273679999999995</v>
      </c>
      <c r="H32" s="22">
        <f t="shared" si="1"/>
        <v>0</v>
      </c>
      <c r="I32" s="23">
        <f t="shared" si="2"/>
        <v>0</v>
      </c>
      <c r="J32" s="23">
        <f t="shared" si="10"/>
        <v>2.4870622778139815E-2</v>
      </c>
      <c r="K32" s="108">
        <f t="shared" si="11"/>
        <v>2.5337698159347839E-2</v>
      </c>
    </row>
    <row r="33" spans="1:11" s="1" customFormat="1" x14ac:dyDescent="0.2">
      <c r="A33" s="110" t="s">
        <v>76</v>
      </c>
      <c r="B33" s="74"/>
      <c r="C33" s="35"/>
      <c r="D33" s="35">
        <f>SUM(D31:D32)</f>
        <v>22.957571999999999</v>
      </c>
      <c r="E33" s="73"/>
      <c r="F33" s="35"/>
      <c r="G33" s="35">
        <f>SUM(G31:G32)</f>
        <v>22.957571999999999</v>
      </c>
      <c r="H33" s="35">
        <f t="shared" si="1"/>
        <v>0</v>
      </c>
      <c r="I33" s="36">
        <f t="shared" si="2"/>
        <v>0</v>
      </c>
      <c r="J33" s="36">
        <f t="shared" si="10"/>
        <v>5.7514651729842679E-2</v>
      </c>
      <c r="K33" s="111">
        <f t="shared" si="11"/>
        <v>5.8594788649669834E-2</v>
      </c>
    </row>
    <row r="34" spans="1:11" s="1" customFormat="1" ht="13.5" customHeight="1" x14ac:dyDescent="0.2">
      <c r="A34" s="110" t="s">
        <v>91</v>
      </c>
      <c r="B34" s="74"/>
      <c r="C34" s="35"/>
      <c r="D34" s="35">
        <f>D29+D33</f>
        <v>120.34157200000001</v>
      </c>
      <c r="E34" s="73"/>
      <c r="F34" s="35"/>
      <c r="G34" s="35">
        <f>G29+G33</f>
        <v>122.89157200000001</v>
      </c>
      <c r="H34" s="35">
        <f t="shared" si="1"/>
        <v>2.5499999999999972</v>
      </c>
      <c r="I34" s="36">
        <f t="shared" si="2"/>
        <v>2.1189684974366105E-2</v>
      </c>
      <c r="J34" s="36">
        <f t="shared" si="10"/>
        <v>0.3078751517849051</v>
      </c>
      <c r="K34" s="111">
        <f t="shared" si="11"/>
        <v>0.31365711008837016</v>
      </c>
    </row>
    <row r="35" spans="1:11" s="1" customFormat="1" ht="13.5" customHeight="1" x14ac:dyDescent="0.2">
      <c r="A35" s="110" t="s">
        <v>92</v>
      </c>
      <c r="B35" s="74"/>
      <c r="C35" s="35"/>
      <c r="D35" s="35">
        <f>D30+D33</f>
        <v>119.05383200000001</v>
      </c>
      <c r="E35" s="73"/>
      <c r="F35" s="35"/>
      <c r="G35" s="35">
        <f>G30+G33</f>
        <v>121.60383200000001</v>
      </c>
      <c r="H35" s="35">
        <f t="shared" si="1"/>
        <v>2.5499999999999972</v>
      </c>
      <c r="I35" s="36">
        <f t="shared" si="2"/>
        <v>2.1418882174241958E-2</v>
      </c>
      <c r="J35" s="36">
        <f t="shared" si="10"/>
        <v>0.30464903024127721</v>
      </c>
      <c r="K35" s="111">
        <f t="shared" si="11"/>
        <v>0.31037040132248994</v>
      </c>
    </row>
    <row r="36" spans="1:11" x14ac:dyDescent="0.2">
      <c r="A36" s="107" t="s">
        <v>42</v>
      </c>
      <c r="B36" s="73">
        <f>B8</f>
        <v>2134</v>
      </c>
      <c r="C36" s="34">
        <v>3.5999999999999999E-3</v>
      </c>
      <c r="D36" s="22">
        <f>B36*C36</f>
        <v>7.6823999999999995</v>
      </c>
      <c r="E36" s="73">
        <f t="shared" si="6"/>
        <v>2134</v>
      </c>
      <c r="F36" s="34">
        <v>3.5999999999999999E-3</v>
      </c>
      <c r="G36" s="22">
        <f>E36*F36</f>
        <v>7.6823999999999995</v>
      </c>
      <c r="H36" s="22">
        <f t="shared" si="1"/>
        <v>0</v>
      </c>
      <c r="I36" s="23">
        <f t="shared" si="2"/>
        <v>0</v>
      </c>
      <c r="J36" s="23">
        <f t="shared" si="10"/>
        <v>1.9246397678698051E-2</v>
      </c>
      <c r="K36" s="108">
        <f t="shared" si="11"/>
        <v>1.9607848962521976E-2</v>
      </c>
    </row>
    <row r="37" spans="1:11" x14ac:dyDescent="0.2">
      <c r="A37" s="107" t="s">
        <v>43</v>
      </c>
      <c r="B37" s="73">
        <f>B8</f>
        <v>2134</v>
      </c>
      <c r="C37" s="34">
        <v>2.0999999999999999E-3</v>
      </c>
      <c r="D37" s="22">
        <f>B37*C37</f>
        <v>4.4813999999999998</v>
      </c>
      <c r="E37" s="73">
        <f t="shared" si="6"/>
        <v>2134</v>
      </c>
      <c r="F37" s="34">
        <v>2.0999999999999999E-3</v>
      </c>
      <c r="G37" s="22">
        <f>E37*F37</f>
        <v>4.4813999999999998</v>
      </c>
      <c r="H37" s="22">
        <f>G37-D37</f>
        <v>0</v>
      </c>
      <c r="I37" s="23">
        <f t="shared" si="2"/>
        <v>0</v>
      </c>
      <c r="J37" s="23">
        <f t="shared" si="10"/>
        <v>1.1227065312573864E-2</v>
      </c>
      <c r="K37" s="108">
        <f t="shared" si="11"/>
        <v>1.1437911894804486E-2</v>
      </c>
    </row>
    <row r="38" spans="1:11" x14ac:dyDescent="0.2">
      <c r="A38" s="107" t="s">
        <v>96</v>
      </c>
      <c r="B38" s="73">
        <f>B8</f>
        <v>2134</v>
      </c>
      <c r="C38" s="34">
        <v>1.1000000000000001E-3</v>
      </c>
      <c r="D38" s="22">
        <f>B38*C38</f>
        <v>2.3473999999999999</v>
      </c>
      <c r="E38" s="73">
        <f t="shared" si="6"/>
        <v>2134</v>
      </c>
      <c r="F38" s="34">
        <v>1.1000000000000001E-3</v>
      </c>
      <c r="G38" s="22">
        <f>E38*F38</f>
        <v>2.3473999999999999</v>
      </c>
      <c r="H38" s="22">
        <f>G38-D38</f>
        <v>0</v>
      </c>
      <c r="I38" s="23">
        <f t="shared" ref="I38" si="12">IF(ISERROR(H38/D38),0,(H38/D38))</f>
        <v>0</v>
      </c>
      <c r="J38" s="23">
        <f t="shared" ref="J38" si="13">G38/$G$46</f>
        <v>5.8808437351577378E-3</v>
      </c>
      <c r="K38" s="108">
        <f t="shared" ref="K38" si="14">G38/$G$51</f>
        <v>5.9912871829928254E-3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6.2631461778539434E-4</v>
      </c>
      <c r="K39" s="108">
        <f t="shared" si="11"/>
        <v>6.3807693437343725E-4</v>
      </c>
    </row>
    <row r="40" spans="1:11" s="1" customFormat="1" x14ac:dyDescent="0.2">
      <c r="A40" s="110" t="s">
        <v>45</v>
      </c>
      <c r="B40" s="74"/>
      <c r="C40" s="35"/>
      <c r="D40" s="35">
        <f>SUM(D36:D39)</f>
        <v>14.761199999999999</v>
      </c>
      <c r="E40" s="73"/>
      <c r="F40" s="35"/>
      <c r="G40" s="35">
        <f>SUM(G36:G39)</f>
        <v>14.761199999999999</v>
      </c>
      <c r="H40" s="35">
        <f t="shared" si="1"/>
        <v>0</v>
      </c>
      <c r="I40" s="36">
        <f t="shared" si="2"/>
        <v>0</v>
      </c>
      <c r="J40" s="36">
        <f t="shared" si="10"/>
        <v>3.6980621344215044E-2</v>
      </c>
      <c r="K40" s="111">
        <f t="shared" si="11"/>
        <v>3.767512497469272E-2</v>
      </c>
    </row>
    <row r="41" spans="1:11" s="1" customFormat="1" ht="13.5" thickBot="1" x14ac:dyDescent="0.25">
      <c r="A41" s="112" t="s">
        <v>46</v>
      </c>
      <c r="B41" s="113">
        <f>B4</f>
        <v>2000</v>
      </c>
      <c r="C41" s="114">
        <v>7.0000000000000001E-3</v>
      </c>
      <c r="D41" s="115">
        <f>B41*C41</f>
        <v>14</v>
      </c>
      <c r="E41" s="116">
        <f t="shared" si="6"/>
        <v>2000</v>
      </c>
      <c r="F41" s="114">
        <f>C41</f>
        <v>7.0000000000000001E-3</v>
      </c>
      <c r="G41" s="115">
        <f>E41*F41</f>
        <v>14</v>
      </c>
      <c r="H41" s="115">
        <f t="shared" si="1"/>
        <v>0</v>
      </c>
      <c r="I41" s="117">
        <f t="shared" si="2"/>
        <v>0</v>
      </c>
      <c r="J41" s="117">
        <f t="shared" si="10"/>
        <v>3.5073618595982084E-2</v>
      </c>
      <c r="K41" s="118">
        <f t="shared" si="11"/>
        <v>3.5732308324912483E-2</v>
      </c>
    </row>
    <row r="42" spans="1:11" s="1" customFormat="1" x14ac:dyDescent="0.2">
      <c r="A42" s="37" t="s">
        <v>101</v>
      </c>
      <c r="B42" s="38"/>
      <c r="C42" s="39"/>
      <c r="D42" s="39">
        <f>SUM(D14,D25,D26,D27,D33,D40,D41)</f>
        <v>377.60277200000002</v>
      </c>
      <c r="E42" s="38"/>
      <c r="F42" s="39"/>
      <c r="G42" s="39">
        <f>SUM(G14,G25,G26,G27,G33,G40,G41)</f>
        <v>380.15277199999997</v>
      </c>
      <c r="H42" s="39">
        <f t="shared" si="1"/>
        <v>2.5499999999999545</v>
      </c>
      <c r="I42" s="40">
        <f>IF(ISERROR(H42/D42),0,(H42/D42))</f>
        <v>6.753128390699299E-3</v>
      </c>
      <c r="J42" s="40">
        <f t="shared" si="10"/>
        <v>0.95238095238095255</v>
      </c>
      <c r="K42" s="41"/>
    </row>
    <row r="43" spans="1:11" x14ac:dyDescent="0.2">
      <c r="A43" s="155" t="s">
        <v>102</v>
      </c>
      <c r="B43" s="43"/>
      <c r="C43" s="26">
        <v>0.13</v>
      </c>
      <c r="D43" s="26">
        <f>D42*C43</f>
        <v>49.088360360000003</v>
      </c>
      <c r="E43" s="26"/>
      <c r="F43" s="26">
        <f>C43</f>
        <v>0.13</v>
      </c>
      <c r="G43" s="26">
        <f>G42*F43</f>
        <v>49.419860360000001</v>
      </c>
      <c r="H43" s="26">
        <f t="shared" si="1"/>
        <v>0.33149999999999835</v>
      </c>
      <c r="I43" s="44">
        <f t="shared" si="2"/>
        <v>6.7531283906993858E-3</v>
      </c>
      <c r="J43" s="44">
        <f t="shared" si="10"/>
        <v>0.12380952380952384</v>
      </c>
      <c r="K43" s="45"/>
    </row>
    <row r="44" spans="1:11" s="1" customFormat="1" x14ac:dyDescent="0.2">
      <c r="A44" s="46" t="s">
        <v>103</v>
      </c>
      <c r="B44" s="24"/>
      <c r="C44" s="25"/>
      <c r="D44" s="25">
        <f>SUM(D42:D43)</f>
        <v>426.69113236000004</v>
      </c>
      <c r="E44" s="25"/>
      <c r="F44" s="25"/>
      <c r="G44" s="25">
        <f>SUM(G42:G43)</f>
        <v>429.57263235999994</v>
      </c>
      <c r="H44" s="25">
        <f t="shared" si="1"/>
        <v>2.8814999999999031</v>
      </c>
      <c r="I44" s="27">
        <f t="shared" si="2"/>
        <v>6.7531283906991924E-3</v>
      </c>
      <c r="J44" s="27">
        <f t="shared" si="10"/>
        <v>1.0761904761904764</v>
      </c>
      <c r="K44" s="47"/>
    </row>
    <row r="45" spans="1:11" x14ac:dyDescent="0.2">
      <c r="A45" s="42" t="s">
        <v>104</v>
      </c>
      <c r="B45" s="43"/>
      <c r="C45" s="26">
        <v>-0.08</v>
      </c>
      <c r="D45" s="26">
        <f>D42*C45</f>
        <v>-30.208221760000001</v>
      </c>
      <c r="E45" s="26"/>
      <c r="F45" s="26">
        <f>C45</f>
        <v>-0.08</v>
      </c>
      <c r="G45" s="26">
        <f>G42*F45</f>
        <v>-30.412221759999998</v>
      </c>
      <c r="H45" s="26">
        <f t="shared" si="1"/>
        <v>-0.20399999999999707</v>
      </c>
      <c r="I45" s="44">
        <f t="shared" si="2"/>
        <v>6.7531283906993233E-3</v>
      </c>
      <c r="J45" s="44">
        <f t="shared" si="10"/>
        <v>-7.6190476190476197E-2</v>
      </c>
      <c r="K45" s="45"/>
    </row>
    <row r="46" spans="1:11" s="1" customFormat="1" ht="13.5" thickBot="1" x14ac:dyDescent="0.25">
      <c r="A46" s="48" t="s">
        <v>105</v>
      </c>
      <c r="B46" s="49"/>
      <c r="C46" s="50"/>
      <c r="D46" s="50">
        <f>SUM(D44:D45)</f>
        <v>396.48291060000003</v>
      </c>
      <c r="E46" s="50"/>
      <c r="F46" s="50"/>
      <c r="G46" s="50">
        <f>SUM(G44:G45)</f>
        <v>399.16041059999992</v>
      </c>
      <c r="H46" s="50">
        <f t="shared" si="1"/>
        <v>2.6774999999998954</v>
      </c>
      <c r="I46" s="51">
        <f t="shared" si="2"/>
        <v>6.7531283906991559E-3</v>
      </c>
      <c r="J46" s="51">
        <f t="shared" si="10"/>
        <v>1</v>
      </c>
      <c r="K46" s="52"/>
    </row>
    <row r="47" spans="1:11" x14ac:dyDescent="0.2">
      <c r="A47" s="53" t="s">
        <v>106</v>
      </c>
      <c r="B47" s="54"/>
      <c r="C47" s="55"/>
      <c r="D47" s="55">
        <f>SUM(D18,D25,D26,D28,D33,D40,D41)</f>
        <v>370.595032</v>
      </c>
      <c r="E47" s="55"/>
      <c r="F47" s="55"/>
      <c r="G47" s="55">
        <f>SUM(G18,G25,G26,G28,G33,G40,G41)</f>
        <v>373.14503199999996</v>
      </c>
      <c r="H47" s="55">
        <f>G47-D47</f>
        <v>2.5499999999999545</v>
      </c>
      <c r="I47" s="56">
        <f>IF(ISERROR(H47/D47),0,(H47/D47))</f>
        <v>6.8808261844156464E-3</v>
      </c>
      <c r="J47" s="56"/>
      <c r="K47" s="57">
        <f>G47/$G$51</f>
        <v>0.95238095238095244</v>
      </c>
    </row>
    <row r="48" spans="1:11" x14ac:dyDescent="0.2">
      <c r="A48" s="58" t="s">
        <v>102</v>
      </c>
      <c r="B48" s="59"/>
      <c r="C48" s="31">
        <v>0.13</v>
      </c>
      <c r="D48" s="31">
        <f>D47*C48</f>
        <v>48.17735416</v>
      </c>
      <c r="E48" s="31"/>
      <c r="F48" s="31">
        <f>C48</f>
        <v>0.13</v>
      </c>
      <c r="G48" s="31">
        <f>G47*F48</f>
        <v>48.508854159999999</v>
      </c>
      <c r="H48" s="31">
        <f>G48-D48</f>
        <v>0.33149999999999835</v>
      </c>
      <c r="I48" s="32">
        <f>IF(ISERROR(H48/D48),0,(H48/D48))</f>
        <v>6.8808261844157349E-3</v>
      </c>
      <c r="J48" s="32"/>
      <c r="K48" s="60">
        <f>G48/$G$51</f>
        <v>0.12380952380952381</v>
      </c>
    </row>
    <row r="49" spans="1:11" x14ac:dyDescent="0.2">
      <c r="A49" s="151" t="s">
        <v>107</v>
      </c>
      <c r="B49" s="29"/>
      <c r="C49" s="30"/>
      <c r="D49" s="30">
        <f>SUM(D47:D48)</f>
        <v>418.77238616</v>
      </c>
      <c r="E49" s="30"/>
      <c r="F49" s="30"/>
      <c r="G49" s="30">
        <f>SUM(G47:G48)</f>
        <v>421.65388615999996</v>
      </c>
      <c r="H49" s="30">
        <f>G49-D49</f>
        <v>2.88149999999996</v>
      </c>
      <c r="I49" s="33">
        <f>IF(ISERROR(H49/D49),0,(H49/D49))</f>
        <v>6.8808261844156742E-3</v>
      </c>
      <c r="J49" s="33"/>
      <c r="K49" s="62">
        <f>G49/$G$51</f>
        <v>1.0761904761904761</v>
      </c>
    </row>
    <row r="50" spans="1:11" x14ac:dyDescent="0.2">
      <c r="A50" s="58" t="s">
        <v>104</v>
      </c>
      <c r="B50" s="59"/>
      <c r="C50" s="31">
        <v>-0.08</v>
      </c>
      <c r="D50" s="31">
        <f>D47*C50</f>
        <v>-29.647602559999999</v>
      </c>
      <c r="E50" s="31"/>
      <c r="F50" s="31">
        <f>C50</f>
        <v>-0.08</v>
      </c>
      <c r="G50" s="31">
        <f>G47*F50</f>
        <v>-29.851602559999996</v>
      </c>
      <c r="H50" s="31">
        <f>G50-D50</f>
        <v>-0.20399999999999707</v>
      </c>
      <c r="I50" s="32">
        <f>IF(ISERROR(H50/D50),0,(H50/D50))</f>
        <v>6.8808261844156707E-3</v>
      </c>
      <c r="J50" s="32"/>
      <c r="K50" s="60">
        <f>G50/$G$51</f>
        <v>-7.6190476190476183E-2</v>
      </c>
    </row>
    <row r="51" spans="1:11" ht="13.5" thickBot="1" x14ac:dyDescent="0.25">
      <c r="A51" s="63" t="s">
        <v>116</v>
      </c>
      <c r="B51" s="64"/>
      <c r="C51" s="65"/>
      <c r="D51" s="65">
        <f>SUM(D49:D50)</f>
        <v>389.1247836</v>
      </c>
      <c r="E51" s="65"/>
      <c r="F51" s="65"/>
      <c r="G51" s="65">
        <f>SUM(G49:G50)</f>
        <v>391.80228359999995</v>
      </c>
      <c r="H51" s="65">
        <f>G51-D51</f>
        <v>2.6774999999999523</v>
      </c>
      <c r="I51" s="66">
        <f>IF(ISERROR(H51/D51),0,(H51/D51))</f>
        <v>6.8808261844156464E-3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9"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1" tint="0.499984740745262"/>
    <pageSetUpPr fitToPage="1"/>
  </sheetPr>
  <dimension ref="A1:K68"/>
  <sheetViews>
    <sheetView tabSelected="1" view="pageBreakPreview"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120</v>
      </c>
      <c r="B1" s="188"/>
      <c r="C1" s="188"/>
      <c r="D1" s="188"/>
      <c r="E1" s="188"/>
      <c r="F1" s="188"/>
      <c r="G1" s="188"/>
      <c r="H1" s="188"/>
      <c r="I1" s="188"/>
      <c r="J1" s="188"/>
      <c r="K1" s="189"/>
    </row>
    <row r="3" spans="1:11" x14ac:dyDescent="0.2">
      <c r="A3" s="13" t="s">
        <v>13</v>
      </c>
      <c r="B3" s="13" t="s">
        <v>6</v>
      </c>
    </row>
    <row r="4" spans="1:11" x14ac:dyDescent="0.2">
      <c r="A4" s="15" t="s">
        <v>62</v>
      </c>
      <c r="B4" s="169">
        <f>VLOOKUP(B3,'Data for Bill Impacts'!A19:D32,3,FALSE)</f>
        <v>2759</v>
      </c>
    </row>
    <row r="5" spans="1:11" x14ac:dyDescent="0.2">
      <c r="A5" s="15" t="s">
        <v>16</v>
      </c>
      <c r="B5" s="169">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69">
        <f>B4*B6</f>
        <v>2943.8530000000001</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0.14152701318509125</v>
      </c>
      <c r="K12" s="106"/>
    </row>
    <row r="13" spans="1:11" x14ac:dyDescent="0.2">
      <c r="A13" s="107" t="s">
        <v>32</v>
      </c>
      <c r="B13" s="73">
        <f>IF(B4&gt;B7,(B4)-B7,0)</f>
        <v>2009</v>
      </c>
      <c r="C13" s="21">
        <v>0.121</v>
      </c>
      <c r="D13" s="22">
        <f>B13*C13</f>
        <v>243.089</v>
      </c>
      <c r="E13" s="73">
        <f t="shared" ref="E13" si="0">B13</f>
        <v>2009</v>
      </c>
      <c r="F13" s="21">
        <f>C13</f>
        <v>0.121</v>
      </c>
      <c r="G13" s="22">
        <f>E13*F13</f>
        <v>243.089</v>
      </c>
      <c r="H13" s="22">
        <f t="shared" ref="H13:H46" si="1">G13-D13</f>
        <v>0</v>
      </c>
      <c r="I13" s="23">
        <f t="shared" ref="I13:I46" si="2">IF(ISERROR(H13/D13),0,(H13/D13))</f>
        <v>0</v>
      </c>
      <c r="J13" s="23">
        <f>G13/$G$46</f>
        <v>0.44535482340648092</v>
      </c>
      <c r="K13" s="108"/>
    </row>
    <row r="14" spans="1:11" s="1" customFormat="1" x14ac:dyDescent="0.2">
      <c r="A14" s="46" t="s">
        <v>33</v>
      </c>
      <c r="B14" s="24"/>
      <c r="C14" s="25"/>
      <c r="D14" s="25">
        <f>SUM(D12:D13)</f>
        <v>320.339</v>
      </c>
      <c r="E14" s="76"/>
      <c r="F14" s="25"/>
      <c r="G14" s="25">
        <f>SUM(G12:G13)</f>
        <v>320.339</v>
      </c>
      <c r="H14" s="25">
        <f t="shared" si="1"/>
        <v>0</v>
      </c>
      <c r="I14" s="27">
        <f t="shared" si="2"/>
        <v>0</v>
      </c>
      <c r="J14" s="27">
        <f>G14/$G$46</f>
        <v>0.58688183659157211</v>
      </c>
      <c r="K14" s="108"/>
    </row>
    <row r="15" spans="1:11" s="1" customFormat="1" x14ac:dyDescent="0.2">
      <c r="A15" s="109" t="s">
        <v>34</v>
      </c>
      <c r="B15" s="75">
        <f>B4*0.65</f>
        <v>1793.3500000000001</v>
      </c>
      <c r="C15" s="28">
        <v>8.6999999999999994E-2</v>
      </c>
      <c r="D15" s="22">
        <f>B15*C15</f>
        <v>156.02144999999999</v>
      </c>
      <c r="E15" s="73">
        <f t="shared" ref="E15:F17" si="3">B15</f>
        <v>1793.3500000000001</v>
      </c>
      <c r="F15" s="28">
        <f t="shared" si="3"/>
        <v>8.6999999999999994E-2</v>
      </c>
      <c r="G15" s="22">
        <f>E15*F15</f>
        <v>156.02144999999999</v>
      </c>
      <c r="H15" s="22">
        <f t="shared" si="1"/>
        <v>0</v>
      </c>
      <c r="I15" s="23">
        <f t="shared" si="2"/>
        <v>0</v>
      </c>
      <c r="J15" s="23"/>
      <c r="K15" s="108">
        <f t="shared" ref="K15:K26" si="4">G15/$G$51</f>
        <v>0.29421231311986695</v>
      </c>
    </row>
    <row r="16" spans="1:11" s="1" customFormat="1" x14ac:dyDescent="0.2">
      <c r="A16" s="109" t="s">
        <v>35</v>
      </c>
      <c r="B16" s="75">
        <f>B4*0.17</f>
        <v>469.03000000000003</v>
      </c>
      <c r="C16" s="28">
        <v>0.13200000000000001</v>
      </c>
      <c r="D16" s="22">
        <f>B16*C16</f>
        <v>61.911960000000008</v>
      </c>
      <c r="E16" s="73">
        <f t="shared" si="3"/>
        <v>469.03000000000003</v>
      </c>
      <c r="F16" s="28">
        <f t="shared" si="3"/>
        <v>0.13200000000000001</v>
      </c>
      <c r="G16" s="22">
        <f>E16*F16</f>
        <v>61.911960000000008</v>
      </c>
      <c r="H16" s="22">
        <f t="shared" si="1"/>
        <v>0</v>
      </c>
      <c r="I16" s="23">
        <f t="shared" si="2"/>
        <v>0</v>
      </c>
      <c r="J16" s="23"/>
      <c r="K16" s="108">
        <f t="shared" si="4"/>
        <v>0.11674844043165014</v>
      </c>
    </row>
    <row r="17" spans="1:11" s="1" customFormat="1" x14ac:dyDescent="0.2">
      <c r="A17" s="109" t="s">
        <v>36</v>
      </c>
      <c r="B17" s="75">
        <f>B4*0.18</f>
        <v>496.62</v>
      </c>
      <c r="C17" s="28">
        <v>0.18</v>
      </c>
      <c r="D17" s="22">
        <f>B17*C17</f>
        <v>89.391599999999997</v>
      </c>
      <c r="E17" s="73">
        <f t="shared" si="3"/>
        <v>496.62</v>
      </c>
      <c r="F17" s="28">
        <f t="shared" si="3"/>
        <v>0.18</v>
      </c>
      <c r="G17" s="22">
        <f>E17*F17</f>
        <v>89.391599999999997</v>
      </c>
      <c r="H17" s="22">
        <f t="shared" si="1"/>
        <v>0</v>
      </c>
      <c r="I17" s="23">
        <f t="shared" si="2"/>
        <v>0</v>
      </c>
      <c r="J17" s="23"/>
      <c r="K17" s="108">
        <f t="shared" si="4"/>
        <v>0.16856726693339857</v>
      </c>
    </row>
    <row r="18" spans="1:11" s="1" customFormat="1" x14ac:dyDescent="0.2">
      <c r="A18" s="61" t="s">
        <v>37</v>
      </c>
      <c r="B18" s="29"/>
      <c r="C18" s="30"/>
      <c r="D18" s="30">
        <f>SUM(D15:D17)</f>
        <v>307.32500999999996</v>
      </c>
      <c r="E18" s="77"/>
      <c r="F18" s="30"/>
      <c r="G18" s="30">
        <f>SUM(G15:G17)</f>
        <v>307.32500999999996</v>
      </c>
      <c r="H18" s="31">
        <f t="shared" si="1"/>
        <v>0</v>
      </c>
      <c r="I18" s="32">
        <f t="shared" si="2"/>
        <v>0</v>
      </c>
      <c r="J18" s="33">
        <f t="shared" ref="J18:J23" si="5">G18/$G$46</f>
        <v>0.56303936236088414</v>
      </c>
      <c r="K18" s="62">
        <f t="shared" si="4"/>
        <v>0.57952802048491558</v>
      </c>
    </row>
    <row r="19" spans="1:11" x14ac:dyDescent="0.2">
      <c r="A19" s="107" t="s">
        <v>38</v>
      </c>
      <c r="B19" s="73">
        <v>1</v>
      </c>
      <c r="C19" s="78">
        <f>VLOOKUP($B$3,'Data for Bill Impacts'!$A$3:$Y$15,7,0)</f>
        <v>23.97</v>
      </c>
      <c r="D19" s="22">
        <f>B19*C19</f>
        <v>23.97</v>
      </c>
      <c r="E19" s="73">
        <f t="shared" ref="E19:E41" si="6">B19</f>
        <v>1</v>
      </c>
      <c r="F19" s="78">
        <f>VLOOKUP($B$3,'Data for Bill Impacts'!$A$3:$Y$15,17,0)</f>
        <v>24.52</v>
      </c>
      <c r="G19" s="22">
        <f>E19*F19</f>
        <v>24.52</v>
      </c>
      <c r="H19" s="22">
        <f t="shared" si="1"/>
        <v>0.55000000000000071</v>
      </c>
      <c r="I19" s="23">
        <f t="shared" si="2"/>
        <v>2.2945348352106831E-2</v>
      </c>
      <c r="J19" s="23">
        <f t="shared" si="5"/>
        <v>4.4922231240109224E-2</v>
      </c>
      <c r="K19" s="108">
        <f t="shared" si="4"/>
        <v>4.6237782802935994E-2</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110</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1.8320648955998871E-5</v>
      </c>
      <c r="K22" s="108">
        <f t="shared" si="4"/>
        <v>1.8857170800544859E-5</v>
      </c>
    </row>
    <row r="23" spans="1:11" x14ac:dyDescent="0.2">
      <c r="A23" s="107" t="s">
        <v>39</v>
      </c>
      <c r="B23" s="73">
        <f>IF($B$9="kWh",$B$4,$B$5)</f>
        <v>2759</v>
      </c>
      <c r="C23" s="126">
        <f>VLOOKUP($B$3,'Data for Bill Impacts'!$A$3:$Y$15,10,0)</f>
        <v>2.8000000000000001E-2</v>
      </c>
      <c r="D23" s="22">
        <f>B23*C23</f>
        <v>77.251999999999995</v>
      </c>
      <c r="E23" s="73">
        <f t="shared" si="6"/>
        <v>2759</v>
      </c>
      <c r="F23" s="78">
        <f>VLOOKUP($B$3,'Data for Bill Impacts'!$A$3:$Y$15,19,0)</f>
        <v>2.9000000000000001E-2</v>
      </c>
      <c r="G23" s="22">
        <f>E23*F23</f>
        <v>80.01100000000001</v>
      </c>
      <c r="H23" s="22">
        <f t="shared" si="1"/>
        <v>2.7590000000000146</v>
      </c>
      <c r="I23" s="23">
        <f t="shared" si="2"/>
        <v>3.5714285714285907E-2</v>
      </c>
      <c r="J23" s="23">
        <f t="shared" si="5"/>
        <v>0.14658534436184256</v>
      </c>
      <c r="K23" s="108">
        <f t="shared" si="4"/>
        <v>0.15087810929223949</v>
      </c>
    </row>
    <row r="24" spans="1:11" x14ac:dyDescent="0.2">
      <c r="A24" s="107" t="s">
        <v>122</v>
      </c>
      <c r="B24" s="73">
        <f>IF($B$9="kWh",$B$4,$B$5)</f>
        <v>2759</v>
      </c>
      <c r="C24" s="126">
        <f>VLOOKUP($B$3,'Data for Bill Impacts'!$A$3:$Y$15,14,0)</f>
        <v>2.0000000000000001E-4</v>
      </c>
      <c r="D24" s="22">
        <f>B24*C24</f>
        <v>0.55180000000000007</v>
      </c>
      <c r="E24" s="73">
        <f t="shared" si="6"/>
        <v>2759</v>
      </c>
      <c r="F24" s="126">
        <f>VLOOKUP($B$3,'Data for Bill Impacts'!$A$3:$Y$15,23,0)</f>
        <v>2.0000000000000001E-4</v>
      </c>
      <c r="G24" s="22">
        <f>E24*F24</f>
        <v>0.55180000000000007</v>
      </c>
      <c r="H24" s="22">
        <f t="shared" si="1"/>
        <v>0</v>
      </c>
      <c r="I24" s="23">
        <f>IF(ISERROR(H24/D24),0,(H24/D24))</f>
        <v>0</v>
      </c>
      <c r="J24" s="23">
        <f t="shared" ref="J24" si="9">G24/$G$46</f>
        <v>1.0109334093920178E-3</v>
      </c>
      <c r="K24" s="108">
        <f t="shared" si="4"/>
        <v>1.0405386847740655E-3</v>
      </c>
    </row>
    <row r="25" spans="1:11" s="1" customFormat="1" x14ac:dyDescent="0.2">
      <c r="A25" s="110" t="s">
        <v>72</v>
      </c>
      <c r="B25" s="74"/>
      <c r="C25" s="35"/>
      <c r="D25" s="35">
        <f>SUM(D19:D24)</f>
        <v>101.7838</v>
      </c>
      <c r="E25" s="73"/>
      <c r="F25" s="35"/>
      <c r="G25" s="35">
        <f>SUM(G19:G24)</f>
        <v>105.09280000000001</v>
      </c>
      <c r="H25" s="35">
        <f t="shared" si="1"/>
        <v>3.3090000000000117</v>
      </c>
      <c r="I25" s="36">
        <f t="shared" si="2"/>
        <v>3.2510085101951504E-2</v>
      </c>
      <c r="J25" s="36">
        <f>G25/$G$46</f>
        <v>0.19253682966029981</v>
      </c>
      <c r="K25" s="111">
        <f t="shared" si="4"/>
        <v>0.1981752879507501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1.4473312675239106E-3</v>
      </c>
      <c r="K26" s="108">
        <f t="shared" si="4"/>
        <v>1.4897164932430439E-3</v>
      </c>
    </row>
    <row r="27" spans="1:11" s="1" customFormat="1" x14ac:dyDescent="0.2">
      <c r="A27" s="119" t="s">
        <v>75</v>
      </c>
      <c r="B27" s="120">
        <f>B8-B4</f>
        <v>184.85300000000007</v>
      </c>
      <c r="C27" s="121">
        <f>IF(B4&gt;B7,C13,C12)</f>
        <v>0.121</v>
      </c>
      <c r="D27" s="22">
        <f>B27*C27</f>
        <v>22.367213000000007</v>
      </c>
      <c r="E27" s="73">
        <f>B27</f>
        <v>184.85300000000007</v>
      </c>
      <c r="F27" s="121">
        <f>C27</f>
        <v>0.121</v>
      </c>
      <c r="G27" s="22">
        <f>E27*F27</f>
        <v>22.367213000000007</v>
      </c>
      <c r="H27" s="22">
        <f t="shared" si="1"/>
        <v>0</v>
      </c>
      <c r="I27" s="23">
        <f>IF(ISERROR(H27/D27),0,(H27/D27))</f>
        <v>0</v>
      </c>
      <c r="J27" s="23">
        <f t="shared" ref="J27:J46" si="10">G27/$G$46</f>
        <v>4.0978185749705444E-2</v>
      </c>
      <c r="K27" s="108">
        <f t="shared" ref="K27:K41" si="11">G27/$G$51</f>
        <v>4.2178235587316745E-2</v>
      </c>
    </row>
    <row r="28" spans="1:11" s="1" customFormat="1" x14ac:dyDescent="0.2">
      <c r="A28" s="119" t="s">
        <v>74</v>
      </c>
      <c r="B28" s="120">
        <f>B8-B4</f>
        <v>184.85300000000007</v>
      </c>
      <c r="C28" s="121">
        <f>0.65*C15+0.17*C16+0.18*C17</f>
        <v>0.11139</v>
      </c>
      <c r="D28" s="22">
        <f>B28*C28</f>
        <v>20.590775670000006</v>
      </c>
      <c r="E28" s="73">
        <f>B28</f>
        <v>184.85300000000007</v>
      </c>
      <c r="F28" s="121">
        <f>C28</f>
        <v>0.11139</v>
      </c>
      <c r="G28" s="22">
        <f>E28*F28</f>
        <v>20.590775670000006</v>
      </c>
      <c r="H28" s="22">
        <f t="shared" si="1"/>
        <v>0</v>
      </c>
      <c r="I28" s="23">
        <f>IF(ISERROR(H28/D28),0,(H28/D28))</f>
        <v>0</v>
      </c>
      <c r="J28" s="23">
        <f t="shared" si="10"/>
        <v>3.7723637278179255E-2</v>
      </c>
      <c r="K28" s="108">
        <f t="shared" si="11"/>
        <v>3.8828377372489363E-2</v>
      </c>
    </row>
    <row r="29" spans="1:11" s="1" customFormat="1" x14ac:dyDescent="0.2">
      <c r="A29" s="110" t="s">
        <v>78</v>
      </c>
      <c r="B29" s="74"/>
      <c r="C29" s="35"/>
      <c r="D29" s="35">
        <f>SUM(D25,D26:D27)</f>
        <v>124.94101300000001</v>
      </c>
      <c r="E29" s="73"/>
      <c r="F29" s="35"/>
      <c r="G29" s="35">
        <f>SUM(G25,G26:G27)</f>
        <v>128.25001300000002</v>
      </c>
      <c r="H29" s="35">
        <f t="shared" si="1"/>
        <v>3.3090000000000117</v>
      </c>
      <c r="I29" s="36">
        <f>IF(ISERROR(H29/D29),0,(H29/D29))</f>
        <v>2.6484497928634623E-2</v>
      </c>
      <c r="J29" s="36">
        <f t="shared" si="10"/>
        <v>0.23496234667752919</v>
      </c>
      <c r="K29" s="111">
        <f t="shared" si="11"/>
        <v>0.24184324003130989</v>
      </c>
    </row>
    <row r="30" spans="1:11" s="1" customFormat="1" x14ac:dyDescent="0.2">
      <c r="A30" s="110" t="s">
        <v>77</v>
      </c>
      <c r="B30" s="74"/>
      <c r="C30" s="35"/>
      <c r="D30" s="35">
        <f>SUM(D25,D26,D28)</f>
        <v>123.16457567</v>
      </c>
      <c r="E30" s="73"/>
      <c r="F30" s="35"/>
      <c r="G30" s="35">
        <f>SUM(G25,G26,G28)</f>
        <v>126.47357567000003</v>
      </c>
      <c r="H30" s="35">
        <f t="shared" si="1"/>
        <v>3.3090000000000259</v>
      </c>
      <c r="I30" s="36">
        <f>IF(ISERROR(H30/D30),0,(H30/D30))</f>
        <v>2.6866491294266038E-2</v>
      </c>
      <c r="J30" s="36">
        <f t="shared" si="10"/>
        <v>0.23170779820600301</v>
      </c>
      <c r="K30" s="111">
        <f t="shared" si="11"/>
        <v>0.23849338181648252</v>
      </c>
    </row>
    <row r="31" spans="1:11" x14ac:dyDescent="0.2">
      <c r="A31" s="107" t="s">
        <v>40</v>
      </c>
      <c r="B31" s="73">
        <f>B8</f>
        <v>2943.8530000000001</v>
      </c>
      <c r="C31" s="126">
        <f>VLOOKUP($B$3,'Data for Bill Impacts'!$A$3:$Y$15,15,0)</f>
        <v>6.1060000000000003E-3</v>
      </c>
      <c r="D31" s="22">
        <f>B31*C31</f>
        <v>17.975166418000001</v>
      </c>
      <c r="E31" s="73">
        <f t="shared" si="6"/>
        <v>2943.8530000000001</v>
      </c>
      <c r="F31" s="126">
        <f>VLOOKUP($B$3,'Data for Bill Impacts'!$A$3:$Y$15,24,0)</f>
        <v>6.1060000000000003E-3</v>
      </c>
      <c r="G31" s="22">
        <f>E31*F31</f>
        <v>17.975166418000001</v>
      </c>
      <c r="H31" s="22">
        <f t="shared" si="1"/>
        <v>0</v>
      </c>
      <c r="I31" s="23">
        <f t="shared" si="2"/>
        <v>0</v>
      </c>
      <c r="J31" s="23">
        <f t="shared" si="10"/>
        <v>3.2931671386983767E-2</v>
      </c>
      <c r="K31" s="108">
        <f t="shared" si="11"/>
        <v>3.389607833124441E-2</v>
      </c>
    </row>
    <row r="32" spans="1:11" x14ac:dyDescent="0.2">
      <c r="A32" s="107" t="s">
        <v>41</v>
      </c>
      <c r="B32" s="73">
        <f>B8</f>
        <v>2943.8530000000001</v>
      </c>
      <c r="C32" s="126">
        <f>VLOOKUP($B$3,'Data for Bill Impacts'!$A$3:$Y$15,16,0)</f>
        <v>4.6519999999999999E-3</v>
      </c>
      <c r="D32" s="22">
        <f>B32*C32</f>
        <v>13.694804156</v>
      </c>
      <c r="E32" s="73">
        <f t="shared" si="6"/>
        <v>2943.8530000000001</v>
      </c>
      <c r="F32" s="126">
        <f>VLOOKUP($B$3,'Data for Bill Impacts'!$A$3:$Y$15,25,0)</f>
        <v>4.6519999999999999E-3</v>
      </c>
      <c r="G32" s="22">
        <f>E32*F32</f>
        <v>13.694804156</v>
      </c>
      <c r="H32" s="22">
        <f t="shared" si="1"/>
        <v>0</v>
      </c>
      <c r="I32" s="23">
        <f t="shared" si="2"/>
        <v>0</v>
      </c>
      <c r="J32" s="23">
        <f t="shared" si="10"/>
        <v>2.5089769946323039E-2</v>
      </c>
      <c r="K32" s="108">
        <f t="shared" si="11"/>
        <v>2.5824526104970356E-2</v>
      </c>
    </row>
    <row r="33" spans="1:11" s="1" customFormat="1" x14ac:dyDescent="0.2">
      <c r="A33" s="110" t="s">
        <v>76</v>
      </c>
      <c r="B33" s="74"/>
      <c r="C33" s="35"/>
      <c r="D33" s="35">
        <f>SUM(D31:D32)</f>
        <v>31.669970574000001</v>
      </c>
      <c r="E33" s="73"/>
      <c r="F33" s="35"/>
      <c r="G33" s="35">
        <f>SUM(G31:G32)</f>
        <v>31.669970574000001</v>
      </c>
      <c r="H33" s="35">
        <f t="shared" si="1"/>
        <v>0</v>
      </c>
      <c r="I33" s="36">
        <f t="shared" si="2"/>
        <v>0</v>
      </c>
      <c r="J33" s="36">
        <f t="shared" si="10"/>
        <v>5.8021441333306799E-2</v>
      </c>
      <c r="K33" s="111">
        <f t="shared" si="11"/>
        <v>5.9720604436214769E-2</v>
      </c>
    </row>
    <row r="34" spans="1:11" s="1" customFormat="1" ht="13.5" customHeight="1" x14ac:dyDescent="0.2">
      <c r="A34" s="110" t="s">
        <v>91</v>
      </c>
      <c r="B34" s="74"/>
      <c r="C34" s="35"/>
      <c r="D34" s="35">
        <f>D29+D33</f>
        <v>156.61098357400002</v>
      </c>
      <c r="E34" s="73"/>
      <c r="F34" s="35"/>
      <c r="G34" s="35">
        <f>G29+G33</f>
        <v>159.91998357400001</v>
      </c>
      <c r="H34" s="35">
        <f t="shared" si="1"/>
        <v>3.3089999999999975</v>
      </c>
      <c r="I34" s="36">
        <f t="shared" si="2"/>
        <v>2.1128786273387185E-2</v>
      </c>
      <c r="J34" s="36">
        <f t="shared" si="10"/>
        <v>0.29298378801083597</v>
      </c>
      <c r="K34" s="111">
        <f t="shared" si="11"/>
        <v>0.30156384446752466</v>
      </c>
    </row>
    <row r="35" spans="1:11" s="1" customFormat="1" ht="13.5" customHeight="1" x14ac:dyDescent="0.2">
      <c r="A35" s="110" t="s">
        <v>92</v>
      </c>
      <c r="B35" s="74"/>
      <c r="C35" s="35"/>
      <c r="D35" s="35">
        <f>D30+D33</f>
        <v>154.83454624399999</v>
      </c>
      <c r="E35" s="73"/>
      <c r="F35" s="35"/>
      <c r="G35" s="35">
        <f>G30+G33</f>
        <v>158.14354624400002</v>
      </c>
      <c r="H35" s="35">
        <f t="shared" si="1"/>
        <v>3.3090000000000259</v>
      </c>
      <c r="I35" s="36">
        <f t="shared" si="2"/>
        <v>2.1371199646785889E-2</v>
      </c>
      <c r="J35" s="36">
        <f t="shared" si="10"/>
        <v>0.28972923953930979</v>
      </c>
      <c r="K35" s="111">
        <f t="shared" si="11"/>
        <v>0.29821398625269729</v>
      </c>
    </row>
    <row r="36" spans="1:11" x14ac:dyDescent="0.2">
      <c r="A36" s="107" t="s">
        <v>42</v>
      </c>
      <c r="B36" s="73">
        <f>B8</f>
        <v>2943.8530000000001</v>
      </c>
      <c r="C36" s="34">
        <v>3.5999999999999999E-3</v>
      </c>
      <c r="D36" s="22">
        <f>B36*C36</f>
        <v>10.597870800000001</v>
      </c>
      <c r="E36" s="73">
        <f t="shared" si="6"/>
        <v>2943.8530000000001</v>
      </c>
      <c r="F36" s="34">
        <v>3.5999999999999999E-3</v>
      </c>
      <c r="G36" s="22">
        <f>E36*F36</f>
        <v>10.597870800000001</v>
      </c>
      <c r="H36" s="22">
        <f t="shared" si="1"/>
        <v>0</v>
      </c>
      <c r="I36" s="23">
        <f t="shared" si="2"/>
        <v>0</v>
      </c>
      <c r="J36" s="23">
        <f t="shared" si="10"/>
        <v>1.941598706078309E-2</v>
      </c>
      <c r="K36" s="108">
        <f t="shared" si="11"/>
        <v>1.9984585979770698E-2</v>
      </c>
    </row>
    <row r="37" spans="1:11" x14ac:dyDescent="0.2">
      <c r="A37" s="107" t="s">
        <v>43</v>
      </c>
      <c r="B37" s="73">
        <f>B8</f>
        <v>2943.8530000000001</v>
      </c>
      <c r="C37" s="34">
        <v>2.0999999999999999E-3</v>
      </c>
      <c r="D37" s="22">
        <f>B37*C37</f>
        <v>6.1820912999999997</v>
      </c>
      <c r="E37" s="73">
        <f t="shared" si="6"/>
        <v>2943.8530000000001</v>
      </c>
      <c r="F37" s="34">
        <v>2.0999999999999999E-3</v>
      </c>
      <c r="G37" s="22">
        <f>E37*F37</f>
        <v>6.1820912999999997</v>
      </c>
      <c r="H37" s="22">
        <f>G37-D37</f>
        <v>0</v>
      </c>
      <c r="I37" s="23">
        <f t="shared" si="2"/>
        <v>0</v>
      </c>
      <c r="J37" s="23">
        <f t="shared" si="10"/>
        <v>1.1325992452123469E-2</v>
      </c>
      <c r="K37" s="108">
        <f t="shared" si="11"/>
        <v>1.1657675154866239E-2</v>
      </c>
    </row>
    <row r="38" spans="1:11" x14ac:dyDescent="0.2">
      <c r="A38" s="107" t="s">
        <v>96</v>
      </c>
      <c r="B38" s="73">
        <f>B8</f>
        <v>2943.8530000000001</v>
      </c>
      <c r="C38" s="34">
        <v>1.1000000000000001E-3</v>
      </c>
      <c r="D38" s="22">
        <f>B38*C38</f>
        <v>3.2382383000000003</v>
      </c>
      <c r="E38" s="73">
        <f t="shared" si="6"/>
        <v>2943.8530000000001</v>
      </c>
      <c r="F38" s="34">
        <v>1.1000000000000001E-3</v>
      </c>
      <c r="G38" s="22">
        <f>E38*F38</f>
        <v>3.2382383000000003</v>
      </c>
      <c r="H38" s="22">
        <f>G38-D38</f>
        <v>0</v>
      </c>
      <c r="I38" s="23">
        <f t="shared" si="2"/>
        <v>0</v>
      </c>
      <c r="J38" s="23">
        <f t="shared" si="10"/>
        <v>5.932662713017056E-3</v>
      </c>
      <c r="K38" s="108">
        <f t="shared" si="11"/>
        <v>6.1064012715966029E-3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4.580162238999717E-4</v>
      </c>
      <c r="K39" s="108">
        <f t="shared" si="11"/>
        <v>4.7142927001362148E-4</v>
      </c>
    </row>
    <row r="40" spans="1:11" s="1" customFormat="1" x14ac:dyDescent="0.2">
      <c r="A40" s="110" t="s">
        <v>45</v>
      </c>
      <c r="B40" s="74"/>
      <c r="C40" s="35"/>
      <c r="D40" s="35">
        <f>SUM(D36:D39)</f>
        <v>20.268200399999998</v>
      </c>
      <c r="E40" s="73"/>
      <c r="F40" s="35"/>
      <c r="G40" s="35">
        <f>SUM(G36:G39)</f>
        <v>20.268200399999998</v>
      </c>
      <c r="H40" s="35">
        <f t="shared" si="1"/>
        <v>0</v>
      </c>
      <c r="I40" s="36">
        <f t="shared" si="2"/>
        <v>0</v>
      </c>
      <c r="J40" s="36">
        <f t="shared" si="10"/>
        <v>3.713265844982358E-2</v>
      </c>
      <c r="K40" s="111">
        <f t="shared" si="11"/>
        <v>3.822009167624716E-2</v>
      </c>
    </row>
    <row r="41" spans="1:11" s="1" customFormat="1" ht="13.5" thickBot="1" x14ac:dyDescent="0.25">
      <c r="A41" s="112" t="s">
        <v>46</v>
      </c>
      <c r="B41" s="113">
        <f>B4</f>
        <v>2759</v>
      </c>
      <c r="C41" s="114">
        <v>7.0000000000000001E-3</v>
      </c>
      <c r="D41" s="115">
        <f>B41*C41</f>
        <v>19.312999999999999</v>
      </c>
      <c r="E41" s="116">
        <f t="shared" si="6"/>
        <v>2759</v>
      </c>
      <c r="F41" s="114">
        <f>C41</f>
        <v>7.0000000000000001E-3</v>
      </c>
      <c r="G41" s="115">
        <f>E41*F41</f>
        <v>19.312999999999999</v>
      </c>
      <c r="H41" s="115">
        <f t="shared" si="1"/>
        <v>0</v>
      </c>
      <c r="I41" s="117">
        <f t="shared" si="2"/>
        <v>0</v>
      </c>
      <c r="J41" s="117">
        <f t="shared" si="10"/>
        <v>3.5382669328720612E-2</v>
      </c>
      <c r="K41" s="118">
        <f t="shared" si="11"/>
        <v>3.6418853967092282E-2</v>
      </c>
    </row>
    <row r="42" spans="1:11" s="1" customFormat="1" x14ac:dyDescent="0.2">
      <c r="A42" s="37" t="s">
        <v>101</v>
      </c>
      <c r="B42" s="38"/>
      <c r="C42" s="39"/>
      <c r="D42" s="39">
        <f>SUM(D14,D25,D26,D27,D33,D40,D41)</f>
        <v>516.53118397399999</v>
      </c>
      <c r="E42" s="38"/>
      <c r="F42" s="39"/>
      <c r="G42" s="39">
        <f>SUM(G14,G25,G26,G27,G33,G40,G41)</f>
        <v>519.84018397400007</v>
      </c>
      <c r="H42" s="39">
        <f t="shared" si="1"/>
        <v>3.3090000000000828</v>
      </c>
      <c r="I42" s="40">
        <f>IF(ISERROR(H42/D42),0,(H42/D42))</f>
        <v>6.4061959909987622E-3</v>
      </c>
      <c r="J42" s="40">
        <f t="shared" si="10"/>
        <v>0.95238095238095244</v>
      </c>
      <c r="K42" s="41"/>
    </row>
    <row r="43" spans="1:11" x14ac:dyDescent="0.2">
      <c r="A43" s="155" t="s">
        <v>102</v>
      </c>
      <c r="B43" s="43"/>
      <c r="C43" s="26">
        <v>0.13</v>
      </c>
      <c r="D43" s="26">
        <f>D42*C43</f>
        <v>67.149053916620005</v>
      </c>
      <c r="E43" s="26"/>
      <c r="F43" s="26">
        <f>C43</f>
        <v>0.13</v>
      </c>
      <c r="G43" s="26">
        <f>G42*F43</f>
        <v>67.579223916620009</v>
      </c>
      <c r="H43" s="26">
        <f t="shared" si="1"/>
        <v>0.43017000000000394</v>
      </c>
      <c r="I43" s="44">
        <f t="shared" si="2"/>
        <v>6.4061959909986598E-3</v>
      </c>
      <c r="J43" s="44">
        <f t="shared" si="10"/>
        <v>0.12380952380952381</v>
      </c>
      <c r="K43" s="45"/>
    </row>
    <row r="44" spans="1:11" s="1" customFormat="1" x14ac:dyDescent="0.2">
      <c r="A44" s="46" t="s">
        <v>103</v>
      </c>
      <c r="B44" s="24"/>
      <c r="C44" s="25"/>
      <c r="D44" s="25">
        <f>SUM(D42:D43)</f>
        <v>583.68023789061999</v>
      </c>
      <c r="E44" s="25"/>
      <c r="F44" s="25"/>
      <c r="G44" s="25">
        <f>SUM(G42:G43)</f>
        <v>587.41940789062005</v>
      </c>
      <c r="H44" s="25">
        <f t="shared" si="1"/>
        <v>3.7391700000000583</v>
      </c>
      <c r="I44" s="27">
        <f t="shared" si="2"/>
        <v>6.4061959909987014E-3</v>
      </c>
      <c r="J44" s="27">
        <f t="shared" si="10"/>
        <v>1.0761904761904761</v>
      </c>
      <c r="K44" s="47"/>
    </row>
    <row r="45" spans="1:11" x14ac:dyDescent="0.2">
      <c r="A45" s="42" t="s">
        <v>104</v>
      </c>
      <c r="B45" s="43"/>
      <c r="C45" s="26">
        <v>-0.08</v>
      </c>
      <c r="D45" s="26">
        <f>D42*C45</f>
        <v>-41.322494717920002</v>
      </c>
      <c r="E45" s="26"/>
      <c r="F45" s="26">
        <f>C45</f>
        <v>-0.08</v>
      </c>
      <c r="G45" s="26">
        <f>G42*F45</f>
        <v>-41.587214717920006</v>
      </c>
      <c r="H45" s="26">
        <f t="shared" si="1"/>
        <v>-0.26472000000000406</v>
      </c>
      <c r="I45" s="44">
        <f t="shared" si="2"/>
        <v>6.4061959909986997E-3</v>
      </c>
      <c r="J45" s="44">
        <f t="shared" si="10"/>
        <v>-7.6190476190476197E-2</v>
      </c>
      <c r="K45" s="45"/>
    </row>
    <row r="46" spans="1:11" s="1" customFormat="1" ht="13.5" thickBot="1" x14ac:dyDescent="0.25">
      <c r="A46" s="48" t="s">
        <v>105</v>
      </c>
      <c r="B46" s="49"/>
      <c r="C46" s="50"/>
      <c r="D46" s="50">
        <f>SUM(D44:D45)</f>
        <v>542.3577431727</v>
      </c>
      <c r="E46" s="50"/>
      <c r="F46" s="50"/>
      <c r="G46" s="50">
        <f>SUM(G44:G45)</f>
        <v>545.83219317270004</v>
      </c>
      <c r="H46" s="50">
        <f t="shared" si="1"/>
        <v>3.4744500000000471</v>
      </c>
      <c r="I46" s="51">
        <f t="shared" si="2"/>
        <v>6.4061959909986884E-3</v>
      </c>
      <c r="J46" s="51">
        <f t="shared" si="10"/>
        <v>1</v>
      </c>
      <c r="K46" s="52"/>
    </row>
    <row r="47" spans="1:11" x14ac:dyDescent="0.2">
      <c r="A47" s="53" t="s">
        <v>106</v>
      </c>
      <c r="B47" s="54"/>
      <c r="C47" s="55"/>
      <c r="D47" s="55">
        <f>SUM(D18,D25,D26,D28,D33,D40,D41)</f>
        <v>501.74075664399999</v>
      </c>
      <c r="E47" s="55"/>
      <c r="F47" s="55"/>
      <c r="G47" s="55">
        <f>SUM(G18,G25,G26,G28,G33,G40,G41)</f>
        <v>505.04975664400001</v>
      </c>
      <c r="H47" s="55">
        <f>G47-D47</f>
        <v>3.3090000000000259</v>
      </c>
      <c r="I47" s="56">
        <f>IF(ISERROR(H47/D47),0,(H47/D47))</f>
        <v>6.5950392831010535E-3</v>
      </c>
      <c r="J47" s="56"/>
      <c r="K47" s="57">
        <f>G47/$G$51</f>
        <v>0.95238095238095233</v>
      </c>
    </row>
    <row r="48" spans="1:11" x14ac:dyDescent="0.2">
      <c r="A48" s="58" t="s">
        <v>102</v>
      </c>
      <c r="B48" s="59"/>
      <c r="C48" s="31">
        <v>0.13</v>
      </c>
      <c r="D48" s="31">
        <f>D47*C48</f>
        <v>65.226298363720005</v>
      </c>
      <c r="E48" s="31"/>
      <c r="F48" s="31">
        <f>C48</f>
        <v>0.13</v>
      </c>
      <c r="G48" s="31">
        <f>G47*F48</f>
        <v>65.656468363720009</v>
      </c>
      <c r="H48" s="31">
        <f>G48-D48</f>
        <v>0.43017000000000394</v>
      </c>
      <c r="I48" s="32">
        <f>IF(ISERROR(H48/D48),0,(H48/D48))</f>
        <v>6.5950392831010621E-3</v>
      </c>
      <c r="J48" s="32"/>
      <c r="K48" s="60">
        <f>G48/$G$51</f>
        <v>0.12380952380952381</v>
      </c>
    </row>
    <row r="49" spans="1:11" x14ac:dyDescent="0.2">
      <c r="A49" s="151" t="s">
        <v>107</v>
      </c>
      <c r="B49" s="29"/>
      <c r="C49" s="30"/>
      <c r="D49" s="30">
        <f>SUM(D47:D48)</f>
        <v>566.96705500771998</v>
      </c>
      <c r="E49" s="30"/>
      <c r="F49" s="30"/>
      <c r="G49" s="30">
        <f>SUM(G47:G48)</f>
        <v>570.70622500772004</v>
      </c>
      <c r="H49" s="30">
        <f>G49-D49</f>
        <v>3.7391700000000583</v>
      </c>
      <c r="I49" s="33">
        <f>IF(ISERROR(H49/D49),0,(H49/D49))</f>
        <v>6.5950392831011046E-3</v>
      </c>
      <c r="J49" s="33"/>
      <c r="K49" s="62">
        <f>G49/$G$51</f>
        <v>1.0761904761904761</v>
      </c>
    </row>
    <row r="50" spans="1:11" x14ac:dyDescent="0.2">
      <c r="A50" s="58" t="s">
        <v>104</v>
      </c>
      <c r="B50" s="59"/>
      <c r="C50" s="31">
        <v>-0.08</v>
      </c>
      <c r="D50" s="31">
        <f>D47*C50</f>
        <v>-40.139260531520002</v>
      </c>
      <c r="E50" s="31"/>
      <c r="F50" s="31">
        <f>C50</f>
        <v>-0.08</v>
      </c>
      <c r="G50" s="31">
        <f>G47*F50</f>
        <v>-40.403980531519998</v>
      </c>
      <c r="H50" s="31">
        <f>G50-D50</f>
        <v>-0.26471999999999696</v>
      </c>
      <c r="I50" s="32">
        <f>IF(ISERROR(H50/D50),0,(H50/D50))</f>
        <v>6.595039283100926E-3</v>
      </c>
      <c r="J50" s="32"/>
      <c r="K50" s="60">
        <f>G50/$G$51</f>
        <v>-7.6190476190476183E-2</v>
      </c>
    </row>
    <row r="51" spans="1:11" ht="13.5" thickBot="1" x14ac:dyDescent="0.25">
      <c r="A51" s="63" t="s">
        <v>116</v>
      </c>
      <c r="B51" s="64"/>
      <c r="C51" s="65"/>
      <c r="D51" s="65">
        <f>SUM(D49:D50)</f>
        <v>526.82779447619998</v>
      </c>
      <c r="E51" s="65"/>
      <c r="F51" s="65"/>
      <c r="G51" s="65">
        <f>SUM(G49:G50)</f>
        <v>530.30224447620003</v>
      </c>
      <c r="H51" s="65">
        <f>G51-D51</f>
        <v>3.4744500000000471</v>
      </c>
      <c r="I51" s="66">
        <f>IF(ISERROR(H51/D51),0,(H51/D51))</f>
        <v>6.5950392831010916E-3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tabColor theme="1" tint="0.499984740745262"/>
    <pageSetUpPr fitToPage="1"/>
  </sheetPr>
  <dimension ref="A1:K68"/>
  <sheetViews>
    <sheetView tabSelected="1" view="pageBreakPreview" topLeftCell="A10"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121</v>
      </c>
      <c r="B1" s="188"/>
      <c r="C1" s="188"/>
      <c r="D1" s="188"/>
      <c r="E1" s="188"/>
      <c r="F1" s="188"/>
      <c r="G1" s="188"/>
      <c r="H1" s="188"/>
      <c r="I1" s="188"/>
      <c r="J1" s="188"/>
      <c r="K1" s="189"/>
    </row>
    <row r="3" spans="1:11" x14ac:dyDescent="0.2">
      <c r="A3" s="13" t="s">
        <v>13</v>
      </c>
      <c r="B3" s="13" t="s">
        <v>6</v>
      </c>
    </row>
    <row r="4" spans="1:11" x14ac:dyDescent="0.2">
      <c r="A4" s="15" t="s">
        <v>62</v>
      </c>
      <c r="B4" s="15">
        <v>15000</v>
      </c>
    </row>
    <row r="5" spans="1:11" x14ac:dyDescent="0.2">
      <c r="A5" s="15" t="s">
        <v>16</v>
      </c>
      <c r="B5" s="15">
        <f>VLOOKUP($B$3,'Data for Bill Impacts'!$A$3:$Y$15,5,0)</f>
        <v>0</v>
      </c>
    </row>
    <row r="6" spans="1:11" x14ac:dyDescent="0.2">
      <c r="A6" s="15" t="s">
        <v>20</v>
      </c>
      <c r="B6" s="15">
        <f>VLOOKUP($B$3,'Data for Bill Impacts'!$A$3:$Y$15,2,0)</f>
        <v>1.0669999999999999</v>
      </c>
    </row>
    <row r="7" spans="1:11" x14ac:dyDescent="0.2">
      <c r="A7" s="15" t="s">
        <v>15</v>
      </c>
      <c r="B7" s="15">
        <f>VLOOKUP($B$3,'Data for Bill Impacts'!$A$3:$Y$15,4,0)</f>
        <v>750</v>
      </c>
    </row>
    <row r="8" spans="1:11" x14ac:dyDescent="0.2">
      <c r="A8" s="15" t="s">
        <v>82</v>
      </c>
      <c r="B8" s="15">
        <f>B4*B6</f>
        <v>16005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2.6534306976014655E-2</v>
      </c>
      <c r="K12" s="106"/>
    </row>
    <row r="13" spans="1:11" x14ac:dyDescent="0.2">
      <c r="A13" s="107" t="s">
        <v>32</v>
      </c>
      <c r="B13" s="73">
        <f>IF(B4&gt;B7,(B4)-B7,0)</f>
        <v>14250</v>
      </c>
      <c r="C13" s="21">
        <v>0.121</v>
      </c>
      <c r="D13" s="22">
        <f>B13*C13</f>
        <v>1724.25</v>
      </c>
      <c r="E13" s="73">
        <f t="shared" ref="E13" si="0">B13</f>
        <v>14250</v>
      </c>
      <c r="F13" s="21">
        <f>C13</f>
        <v>0.121</v>
      </c>
      <c r="G13" s="22">
        <f>E13*F13</f>
        <v>1724.25</v>
      </c>
      <c r="H13" s="22">
        <f t="shared" ref="H13:H46" si="1">G13-D13</f>
        <v>0</v>
      </c>
      <c r="I13" s="23">
        <f t="shared" ref="I13:I46" si="2">IF(ISERROR(H13/D13),0,(H13/D13))</f>
        <v>0</v>
      </c>
      <c r="J13" s="23">
        <f>G13/$G$46</f>
        <v>0.59225603628988055</v>
      </c>
      <c r="K13" s="108"/>
    </row>
    <row r="14" spans="1:11" s="1" customFormat="1" x14ac:dyDescent="0.2">
      <c r="A14" s="46" t="s">
        <v>33</v>
      </c>
      <c r="B14" s="24"/>
      <c r="C14" s="25"/>
      <c r="D14" s="25">
        <f>SUM(D12:D13)</f>
        <v>1801.5</v>
      </c>
      <c r="E14" s="76"/>
      <c r="F14" s="25"/>
      <c r="G14" s="25">
        <f>SUM(G12:G13)</f>
        <v>1801.5</v>
      </c>
      <c r="H14" s="25">
        <f t="shared" si="1"/>
        <v>0</v>
      </c>
      <c r="I14" s="27">
        <f t="shared" si="2"/>
        <v>0</v>
      </c>
      <c r="J14" s="27">
        <f>G14/$G$46</f>
        <v>0.6187903432658951</v>
      </c>
      <c r="K14" s="108"/>
    </row>
    <row r="15" spans="1:11" s="1" customFormat="1" x14ac:dyDescent="0.2">
      <c r="A15" s="109" t="s">
        <v>34</v>
      </c>
      <c r="B15" s="75">
        <f>B4*0.65</f>
        <v>9750</v>
      </c>
      <c r="C15" s="28">
        <v>8.6999999999999994E-2</v>
      </c>
      <c r="D15" s="22">
        <f>B15*C15</f>
        <v>848.24999999999989</v>
      </c>
      <c r="E15" s="73">
        <f t="shared" ref="E15:F17" si="3">B15</f>
        <v>9750</v>
      </c>
      <c r="F15" s="28">
        <f t="shared" si="3"/>
        <v>8.6999999999999994E-2</v>
      </c>
      <c r="G15" s="22">
        <f>E15*F15</f>
        <v>848.24999999999989</v>
      </c>
      <c r="H15" s="22">
        <f t="shared" si="1"/>
        <v>0</v>
      </c>
      <c r="I15" s="23">
        <f t="shared" si="2"/>
        <v>0</v>
      </c>
      <c r="J15" s="23"/>
      <c r="K15" s="108">
        <f t="shared" ref="K15:K26" si="4">G15/$G$51</f>
        <v>0.30689197683204034</v>
      </c>
    </row>
    <row r="16" spans="1:11" s="1" customFormat="1" x14ac:dyDescent="0.2">
      <c r="A16" s="109" t="s">
        <v>35</v>
      </c>
      <c r="B16" s="75">
        <f>B4*0.17</f>
        <v>2550</v>
      </c>
      <c r="C16" s="28">
        <v>0.13200000000000001</v>
      </c>
      <c r="D16" s="22">
        <f>B16*C16</f>
        <v>336.6</v>
      </c>
      <c r="E16" s="73">
        <f t="shared" si="3"/>
        <v>2550</v>
      </c>
      <c r="F16" s="28">
        <f t="shared" si="3"/>
        <v>0.13200000000000001</v>
      </c>
      <c r="G16" s="22">
        <f>E16*F16</f>
        <v>336.6</v>
      </c>
      <c r="H16" s="22">
        <f t="shared" si="1"/>
        <v>0</v>
      </c>
      <c r="I16" s="23">
        <f t="shared" si="2"/>
        <v>0</v>
      </c>
      <c r="J16" s="23"/>
      <c r="K16" s="108">
        <f t="shared" si="4"/>
        <v>0.12177994624422611</v>
      </c>
    </row>
    <row r="17" spans="1:11" s="1" customFormat="1" x14ac:dyDescent="0.2">
      <c r="A17" s="109" t="s">
        <v>36</v>
      </c>
      <c r="B17" s="75">
        <f>B4*0.18</f>
        <v>2700</v>
      </c>
      <c r="C17" s="28">
        <v>0.18</v>
      </c>
      <c r="D17" s="22">
        <f>B17*C17</f>
        <v>486</v>
      </c>
      <c r="E17" s="73">
        <f t="shared" si="3"/>
        <v>2700</v>
      </c>
      <c r="F17" s="28">
        <f t="shared" si="3"/>
        <v>0.18</v>
      </c>
      <c r="G17" s="22">
        <f>E17*F17</f>
        <v>486</v>
      </c>
      <c r="H17" s="22">
        <f t="shared" si="1"/>
        <v>0</v>
      </c>
      <c r="I17" s="23">
        <f t="shared" si="2"/>
        <v>0</v>
      </c>
      <c r="J17" s="23"/>
      <c r="K17" s="108">
        <f t="shared" si="4"/>
        <v>0.17583200794620882</v>
      </c>
    </row>
    <row r="18" spans="1:11" s="1" customFormat="1" x14ac:dyDescent="0.2">
      <c r="A18" s="61" t="s">
        <v>37</v>
      </c>
      <c r="B18" s="29"/>
      <c r="C18" s="30"/>
      <c r="D18" s="30">
        <f>SUM(D15:D17)</f>
        <v>1670.85</v>
      </c>
      <c r="E18" s="77"/>
      <c r="F18" s="30"/>
      <c r="G18" s="30">
        <f>SUM(G15:G17)</f>
        <v>1670.85</v>
      </c>
      <c r="H18" s="31">
        <f t="shared" si="1"/>
        <v>0</v>
      </c>
      <c r="I18" s="32">
        <f t="shared" si="2"/>
        <v>0</v>
      </c>
      <c r="J18" s="33">
        <f t="shared" ref="J18:J23" si="5">G18/$G$46</f>
        <v>0.57391387457442178</v>
      </c>
      <c r="K18" s="62">
        <f t="shared" si="4"/>
        <v>0.60450393102247524</v>
      </c>
    </row>
    <row r="19" spans="1:11" x14ac:dyDescent="0.2">
      <c r="A19" s="107" t="s">
        <v>38</v>
      </c>
      <c r="B19" s="73">
        <v>1</v>
      </c>
      <c r="C19" s="78">
        <f>VLOOKUP($B$3,'Data for Bill Impacts'!$A$3:$Y$15,7,0)</f>
        <v>23.97</v>
      </c>
      <c r="D19" s="22">
        <f>B19*C19</f>
        <v>23.97</v>
      </c>
      <c r="E19" s="73">
        <f t="shared" ref="E19:E41" si="6">B19</f>
        <v>1</v>
      </c>
      <c r="F19" s="78">
        <f>VLOOKUP($B$3,'Data for Bill Impacts'!$A$3:$Y$15,17,0)</f>
        <v>24.52</v>
      </c>
      <c r="G19" s="22">
        <f>E19*F19</f>
        <v>24.52</v>
      </c>
      <c r="H19" s="22">
        <f t="shared" si="1"/>
        <v>0.55000000000000071</v>
      </c>
      <c r="I19" s="23">
        <f t="shared" si="2"/>
        <v>2.2945348352106831E-2</v>
      </c>
      <c r="J19" s="23">
        <f t="shared" si="5"/>
        <v>8.4222809974353312E-3</v>
      </c>
      <c r="K19" s="108">
        <f t="shared" si="4"/>
        <v>8.8711951334177769E-3</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110</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 t="shared" si="5"/>
        <v>3.4348617444679167E-6</v>
      </c>
      <c r="K22" s="108">
        <f t="shared" si="4"/>
        <v>3.6179425503335147E-6</v>
      </c>
    </row>
    <row r="23" spans="1:11" x14ac:dyDescent="0.2">
      <c r="A23" s="107" t="s">
        <v>39</v>
      </c>
      <c r="B23" s="73">
        <f>IF($B$9="kWh",$B$4,$B$5)</f>
        <v>15000</v>
      </c>
      <c r="C23" s="126">
        <f>VLOOKUP($B$3,'Data for Bill Impacts'!$A$3:$Y$15,10,0)</f>
        <v>2.8000000000000001E-2</v>
      </c>
      <c r="D23" s="22">
        <f>B23*C23</f>
        <v>420</v>
      </c>
      <c r="E23" s="73">
        <f t="shared" si="6"/>
        <v>15000</v>
      </c>
      <c r="F23" s="78">
        <f>VLOOKUP($B$3,'Data for Bill Impacts'!$A$3:$Y$15,19,0)</f>
        <v>2.9000000000000001E-2</v>
      </c>
      <c r="G23" s="22">
        <f>E23*F23</f>
        <v>435</v>
      </c>
      <c r="H23" s="22">
        <f t="shared" si="1"/>
        <v>15</v>
      </c>
      <c r="I23" s="23">
        <f t="shared" si="2"/>
        <v>3.5714285714285712E-2</v>
      </c>
      <c r="J23" s="23">
        <f t="shared" si="5"/>
        <v>0.14941648588435436</v>
      </c>
      <c r="K23" s="108">
        <f t="shared" si="4"/>
        <v>0.15738050093950789</v>
      </c>
    </row>
    <row r="24" spans="1:11" x14ac:dyDescent="0.2">
      <c r="A24" s="107" t="s">
        <v>122</v>
      </c>
      <c r="B24" s="73">
        <f>IF($B$9="kWh",$B$4,$B$5)</f>
        <v>15000</v>
      </c>
      <c r="C24" s="126">
        <f>VLOOKUP($B$3,'Data for Bill Impacts'!$A$3:$Y$15,14,0)</f>
        <v>2.0000000000000001E-4</v>
      </c>
      <c r="D24" s="22">
        <f>B24*C24</f>
        <v>3</v>
      </c>
      <c r="E24" s="73">
        <f t="shared" si="6"/>
        <v>15000</v>
      </c>
      <c r="F24" s="126">
        <f>VLOOKUP($B$3,'Data for Bill Impacts'!$A$3:$Y$15,23,0)</f>
        <v>2.0000000000000001E-4</v>
      </c>
      <c r="G24" s="22">
        <f>E24*F24</f>
        <v>3</v>
      </c>
      <c r="H24" s="22">
        <f t="shared" si="1"/>
        <v>0</v>
      </c>
      <c r="I24" s="23">
        <f>IF(ISERROR(H24/D24),0,(H24/D24))</f>
        <v>0</v>
      </c>
      <c r="J24" s="23">
        <f t="shared" ref="J24" si="9">G24/$G$46</f>
        <v>1.0304585233403749E-3</v>
      </c>
      <c r="K24" s="108">
        <f t="shared" si="4"/>
        <v>1.0853827651000545E-3</v>
      </c>
    </row>
    <row r="25" spans="1:11" s="1" customFormat="1" x14ac:dyDescent="0.2">
      <c r="A25" s="110" t="s">
        <v>72</v>
      </c>
      <c r="B25" s="74"/>
      <c r="C25" s="35"/>
      <c r="D25" s="35">
        <f>SUM(D19:D24)</f>
        <v>446.98</v>
      </c>
      <c r="E25" s="73"/>
      <c r="F25" s="35"/>
      <c r="G25" s="35">
        <f>SUM(G19:G24)</f>
        <v>462.53</v>
      </c>
      <c r="H25" s="35">
        <f t="shared" si="1"/>
        <v>15.549999999999955</v>
      </c>
      <c r="I25" s="36">
        <f t="shared" si="2"/>
        <v>3.4789028591883202E-2</v>
      </c>
      <c r="J25" s="36">
        <f>G25/$G$46</f>
        <v>0.15887266026687452</v>
      </c>
      <c r="K25" s="111">
        <f t="shared" si="4"/>
        <v>0.16734069678057603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2.713540778129654E-4</v>
      </c>
      <c r="K26" s="108">
        <f t="shared" si="4"/>
        <v>2.8581746147634765E-4</v>
      </c>
    </row>
    <row r="27" spans="1:11" s="1" customFormat="1" x14ac:dyDescent="0.2">
      <c r="A27" s="119" t="s">
        <v>75</v>
      </c>
      <c r="B27" s="120">
        <f>B8-B4</f>
        <v>1005</v>
      </c>
      <c r="C27" s="121">
        <f>IF(B4&gt;B7,C13,C12)</f>
        <v>0.121</v>
      </c>
      <c r="D27" s="22">
        <f>B27*C27</f>
        <v>121.60499999999999</v>
      </c>
      <c r="E27" s="73">
        <f>B27</f>
        <v>1005</v>
      </c>
      <c r="F27" s="121">
        <f>C27</f>
        <v>0.121</v>
      </c>
      <c r="G27" s="22">
        <f>E27*F27</f>
        <v>121.60499999999999</v>
      </c>
      <c r="H27" s="22">
        <f t="shared" si="1"/>
        <v>0</v>
      </c>
      <c r="I27" s="23">
        <f>IF(ISERROR(H27/D27),0,(H27/D27))</f>
        <v>0</v>
      </c>
      <c r="J27" s="23">
        <f t="shared" ref="J27:J46" si="10">G27/$G$46</f>
        <v>4.1769636243602096E-2</v>
      </c>
      <c r="K27" s="108">
        <f t="shared" ref="K27:K41" si="11">G27/$G$51</f>
        <v>4.3995990383330699E-2</v>
      </c>
    </row>
    <row r="28" spans="1:11" s="1" customFormat="1" x14ac:dyDescent="0.2">
      <c r="A28" s="119" t="s">
        <v>74</v>
      </c>
      <c r="B28" s="120">
        <f>B8-B4</f>
        <v>1005</v>
      </c>
      <c r="C28" s="121">
        <f>0.65*C15+0.17*C16+0.18*C17</f>
        <v>0.11139</v>
      </c>
      <c r="D28" s="22">
        <f>B28*C28</f>
        <v>111.94695</v>
      </c>
      <c r="E28" s="73">
        <f>B28</f>
        <v>1005</v>
      </c>
      <c r="F28" s="121">
        <f>C28</f>
        <v>0.11139</v>
      </c>
      <c r="G28" s="22">
        <f>E28*F28</f>
        <v>111.94695</v>
      </c>
      <c r="H28" s="22">
        <f t="shared" si="1"/>
        <v>0</v>
      </c>
      <c r="I28" s="23">
        <f>IF(ISERROR(H28/D28),0,(H28/D28))</f>
        <v>0</v>
      </c>
      <c r="J28" s="23">
        <f t="shared" si="10"/>
        <v>3.8452229596486261E-2</v>
      </c>
      <c r="K28" s="108">
        <f t="shared" si="11"/>
        <v>4.0501763378505841E-2</v>
      </c>
    </row>
    <row r="29" spans="1:11" s="1" customFormat="1" x14ac:dyDescent="0.2">
      <c r="A29" s="110" t="s">
        <v>78</v>
      </c>
      <c r="B29" s="74"/>
      <c r="C29" s="35"/>
      <c r="D29" s="35">
        <f>SUM(D25,D26:D27)</f>
        <v>569.375</v>
      </c>
      <c r="E29" s="73"/>
      <c r="F29" s="35"/>
      <c r="G29" s="35">
        <f>SUM(G25,G26:G27)</f>
        <v>584.92499999999995</v>
      </c>
      <c r="H29" s="35">
        <f t="shared" si="1"/>
        <v>15.549999999999955</v>
      </c>
      <c r="I29" s="36">
        <f>IF(ISERROR(H29/D29),0,(H29/D29))</f>
        <v>2.7310647639956012E-2</v>
      </c>
      <c r="J29" s="36">
        <f t="shared" si="10"/>
        <v>0.20091365058828958</v>
      </c>
      <c r="K29" s="111">
        <f t="shared" si="11"/>
        <v>0.21162250462538307</v>
      </c>
    </row>
    <row r="30" spans="1:11" s="1" customFormat="1" x14ac:dyDescent="0.2">
      <c r="A30" s="110" t="s">
        <v>77</v>
      </c>
      <c r="B30" s="74"/>
      <c r="C30" s="35"/>
      <c r="D30" s="35">
        <f>SUM(D25,D26,D28)</f>
        <v>559.71695</v>
      </c>
      <c r="E30" s="73"/>
      <c r="F30" s="35"/>
      <c r="G30" s="35">
        <f>SUM(G25,G26,G28)</f>
        <v>575.26694999999995</v>
      </c>
      <c r="H30" s="35">
        <f t="shared" si="1"/>
        <v>15.549999999999955</v>
      </c>
      <c r="I30" s="36">
        <f>IF(ISERROR(H30/D30),0,(H30/D30))</f>
        <v>2.7781899404690093E-2</v>
      </c>
      <c r="J30" s="36">
        <f t="shared" si="10"/>
        <v>0.19759624394117375</v>
      </c>
      <c r="K30" s="111">
        <f t="shared" si="11"/>
        <v>0.20812827762055822</v>
      </c>
    </row>
    <row r="31" spans="1:11" x14ac:dyDescent="0.2">
      <c r="A31" s="107" t="s">
        <v>40</v>
      </c>
      <c r="B31" s="73">
        <f>B8</f>
        <v>16005</v>
      </c>
      <c r="C31" s="126">
        <f>VLOOKUP($B$3,'Data for Bill Impacts'!$A$3:$Y$15,15,0)</f>
        <v>6.1060000000000003E-3</v>
      </c>
      <c r="D31" s="22">
        <f>B31*C31</f>
        <v>97.726530000000011</v>
      </c>
      <c r="E31" s="73">
        <f t="shared" si="6"/>
        <v>16005</v>
      </c>
      <c r="F31" s="126">
        <f>VLOOKUP($B$3,'Data for Bill Impacts'!$A$3:$Y$15,24,0)</f>
        <v>6.1060000000000003E-3</v>
      </c>
      <c r="G31" s="22">
        <f>E31*F31</f>
        <v>97.726530000000011</v>
      </c>
      <c r="H31" s="22">
        <f t="shared" si="1"/>
        <v>0</v>
      </c>
      <c r="I31" s="23">
        <f t="shared" si="2"/>
        <v>0</v>
      </c>
      <c r="J31" s="23">
        <f t="shared" si="10"/>
        <v>3.3567711931659625E-2</v>
      </c>
      <c r="K31" s="108">
        <f t="shared" si="11"/>
        <v>3.5356897118344478E-2</v>
      </c>
    </row>
    <row r="32" spans="1:11" x14ac:dyDescent="0.2">
      <c r="A32" s="107" t="s">
        <v>41</v>
      </c>
      <c r="B32" s="73">
        <f>B8</f>
        <v>16005</v>
      </c>
      <c r="C32" s="126">
        <f>VLOOKUP($B$3,'Data for Bill Impacts'!$A$3:$Y$15,16,0)</f>
        <v>4.6519999999999999E-3</v>
      </c>
      <c r="D32" s="22">
        <f>B32*C32</f>
        <v>74.455259999999996</v>
      </c>
      <c r="E32" s="73">
        <f t="shared" si="6"/>
        <v>16005</v>
      </c>
      <c r="F32" s="126">
        <f>VLOOKUP($B$3,'Data for Bill Impacts'!$A$3:$Y$15,25,0)</f>
        <v>4.6519999999999999E-3</v>
      </c>
      <c r="G32" s="22">
        <f>E32*F32</f>
        <v>74.455259999999996</v>
      </c>
      <c r="H32" s="22">
        <f t="shared" si="1"/>
        <v>0</v>
      </c>
      <c r="I32" s="23">
        <f t="shared" si="2"/>
        <v>0</v>
      </c>
      <c r="J32" s="23">
        <f t="shared" si="10"/>
        <v>2.5574352424841226E-2</v>
      </c>
      <c r="K32" s="108">
        <f t="shared" si="11"/>
        <v>2.6937485325014488E-2</v>
      </c>
    </row>
    <row r="33" spans="1:11" s="1" customFormat="1" x14ac:dyDescent="0.2">
      <c r="A33" s="110" t="s">
        <v>76</v>
      </c>
      <c r="B33" s="74"/>
      <c r="C33" s="35"/>
      <c r="D33" s="35">
        <f>SUM(D31:D32)</f>
        <v>172.18179000000001</v>
      </c>
      <c r="E33" s="73"/>
      <c r="F33" s="35"/>
      <c r="G33" s="35">
        <f>SUM(G31:G32)</f>
        <v>172.18179000000001</v>
      </c>
      <c r="H33" s="35">
        <f t="shared" si="1"/>
        <v>0</v>
      </c>
      <c r="I33" s="36">
        <f t="shared" si="2"/>
        <v>0</v>
      </c>
      <c r="J33" s="36">
        <f t="shared" si="10"/>
        <v>5.9142064356500851E-2</v>
      </c>
      <c r="K33" s="111">
        <f t="shared" si="11"/>
        <v>6.2294382443358963E-2</v>
      </c>
    </row>
    <row r="34" spans="1:11" s="1" customFormat="1" ht="13.5" customHeight="1" x14ac:dyDescent="0.2">
      <c r="A34" s="110" t="s">
        <v>91</v>
      </c>
      <c r="B34" s="74"/>
      <c r="C34" s="35"/>
      <c r="D34" s="35">
        <f>D29+D33</f>
        <v>741.55678999999998</v>
      </c>
      <c r="E34" s="73"/>
      <c r="F34" s="35"/>
      <c r="G34" s="35">
        <f>G29+G33</f>
        <v>757.10678999999993</v>
      </c>
      <c r="H34" s="35">
        <f t="shared" si="1"/>
        <v>15.549999999999955</v>
      </c>
      <c r="I34" s="36">
        <f t="shared" si="2"/>
        <v>2.0969398715909478E-2</v>
      </c>
      <c r="J34" s="36">
        <f t="shared" si="10"/>
        <v>0.26005571494479041</v>
      </c>
      <c r="K34" s="111">
        <f t="shared" si="11"/>
        <v>0.27391688706874201</v>
      </c>
    </row>
    <row r="35" spans="1:11" s="1" customFormat="1" ht="13.5" customHeight="1" x14ac:dyDescent="0.2">
      <c r="A35" s="110" t="s">
        <v>92</v>
      </c>
      <c r="B35" s="74"/>
      <c r="C35" s="35"/>
      <c r="D35" s="35">
        <f>D30+D33</f>
        <v>731.89873999999998</v>
      </c>
      <c r="E35" s="73"/>
      <c r="F35" s="35"/>
      <c r="G35" s="35">
        <f>G30+G33</f>
        <v>747.44873999999993</v>
      </c>
      <c r="H35" s="35">
        <f t="shared" si="1"/>
        <v>15.549999999999955</v>
      </c>
      <c r="I35" s="36">
        <f t="shared" si="2"/>
        <v>2.1246108443908451E-2</v>
      </c>
      <c r="J35" s="36">
        <f t="shared" si="10"/>
        <v>0.25673830829767458</v>
      </c>
      <c r="K35" s="111">
        <f t="shared" si="11"/>
        <v>0.27042266006391719</v>
      </c>
    </row>
    <row r="36" spans="1:11" x14ac:dyDescent="0.2">
      <c r="A36" s="107" t="s">
        <v>42</v>
      </c>
      <c r="B36" s="73">
        <f>B8</f>
        <v>16005</v>
      </c>
      <c r="C36" s="34">
        <v>3.5999999999999999E-3</v>
      </c>
      <c r="D36" s="22">
        <f>B36*C36</f>
        <v>57.617999999999995</v>
      </c>
      <c r="E36" s="73">
        <f t="shared" si="6"/>
        <v>16005</v>
      </c>
      <c r="F36" s="34">
        <v>3.5999999999999999E-3</v>
      </c>
      <c r="G36" s="22">
        <f>E36*F36</f>
        <v>57.617999999999995</v>
      </c>
      <c r="H36" s="22">
        <f t="shared" si="1"/>
        <v>0</v>
      </c>
      <c r="I36" s="23">
        <f t="shared" si="2"/>
        <v>0</v>
      </c>
      <c r="J36" s="23">
        <f t="shared" si="10"/>
        <v>1.9790986399275238E-2</v>
      </c>
      <c r="K36" s="108">
        <f t="shared" si="11"/>
        <v>2.0845861386511642E-2</v>
      </c>
    </row>
    <row r="37" spans="1:11" x14ac:dyDescent="0.2">
      <c r="A37" s="107" t="s">
        <v>43</v>
      </c>
      <c r="B37" s="73">
        <f>B8</f>
        <v>16005</v>
      </c>
      <c r="C37" s="34">
        <v>2.0999999999999999E-3</v>
      </c>
      <c r="D37" s="22">
        <f>B37*C37</f>
        <v>33.610499999999995</v>
      </c>
      <c r="E37" s="73">
        <f t="shared" si="6"/>
        <v>16005</v>
      </c>
      <c r="F37" s="34">
        <v>2.0999999999999999E-3</v>
      </c>
      <c r="G37" s="22">
        <f>E37*F37</f>
        <v>33.610499999999995</v>
      </c>
      <c r="H37" s="22">
        <f>G37-D37</f>
        <v>0</v>
      </c>
      <c r="I37" s="23">
        <f t="shared" si="2"/>
        <v>0</v>
      </c>
      <c r="J37" s="23">
        <f t="shared" si="10"/>
        <v>1.1544742066243889E-2</v>
      </c>
      <c r="K37" s="108">
        <f t="shared" si="11"/>
        <v>1.2160085808798456E-2</v>
      </c>
    </row>
    <row r="38" spans="1:11" x14ac:dyDescent="0.2">
      <c r="A38" s="107" t="s">
        <v>96</v>
      </c>
      <c r="B38" s="73">
        <f>B8</f>
        <v>16005</v>
      </c>
      <c r="C38" s="34">
        <v>1.1000000000000001E-3</v>
      </c>
      <c r="D38" s="22">
        <f>B38*C38</f>
        <v>17.605500000000003</v>
      </c>
      <c r="E38" s="73">
        <f t="shared" si="6"/>
        <v>16005</v>
      </c>
      <c r="F38" s="34">
        <v>1.1000000000000001E-3</v>
      </c>
      <c r="G38" s="22">
        <f>E38*F38</f>
        <v>17.605500000000003</v>
      </c>
      <c r="H38" s="22">
        <f>G38-D38</f>
        <v>0</v>
      </c>
      <c r="I38" s="23">
        <f t="shared" ref="I38" si="12">IF(ISERROR(H38/D38),0,(H38/D38))</f>
        <v>0</v>
      </c>
      <c r="J38" s="23">
        <f t="shared" ref="J38" si="13">G38/$G$46</f>
        <v>6.0472458442229916E-3</v>
      </c>
      <c r="K38" s="108">
        <f t="shared" ref="K38" si="14">G38/$G$51</f>
        <v>6.3695687569896697E-3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8.5871543611697911E-5</v>
      </c>
      <c r="K39" s="108">
        <f t="shared" si="11"/>
        <v>9.0448563758337863E-5</v>
      </c>
    </row>
    <row r="40" spans="1:11" s="1" customFormat="1" x14ac:dyDescent="0.2">
      <c r="A40" s="110" t="s">
        <v>45</v>
      </c>
      <c r="B40" s="74"/>
      <c r="C40" s="35"/>
      <c r="D40" s="35">
        <f>SUM(D36:D39)</f>
        <v>109.084</v>
      </c>
      <c r="E40" s="73"/>
      <c r="F40" s="35"/>
      <c r="G40" s="35">
        <f>SUM(G36:G39)</f>
        <v>109.084</v>
      </c>
      <c r="H40" s="35">
        <f t="shared" si="1"/>
        <v>0</v>
      </c>
      <c r="I40" s="36">
        <f t="shared" si="2"/>
        <v>0</v>
      </c>
      <c r="J40" s="36">
        <f t="shared" si="10"/>
        <v>3.7468845853353819E-2</v>
      </c>
      <c r="K40" s="111">
        <f t="shared" si="11"/>
        <v>3.9465964516058112E-2</v>
      </c>
    </row>
    <row r="41" spans="1:11" s="1" customFormat="1" ht="13.5" thickBot="1" x14ac:dyDescent="0.25">
      <c r="A41" s="112" t="s">
        <v>46</v>
      </c>
      <c r="B41" s="113">
        <f>B4</f>
        <v>15000</v>
      </c>
      <c r="C41" s="114">
        <v>7.0000000000000001E-3</v>
      </c>
      <c r="D41" s="115">
        <f>B41*C41</f>
        <v>105</v>
      </c>
      <c r="E41" s="116">
        <f t="shared" si="6"/>
        <v>15000</v>
      </c>
      <c r="F41" s="114">
        <f>C41</f>
        <v>7.0000000000000001E-3</v>
      </c>
      <c r="G41" s="115">
        <f>E41*F41</f>
        <v>105</v>
      </c>
      <c r="H41" s="115">
        <f t="shared" si="1"/>
        <v>0</v>
      </c>
      <c r="I41" s="117">
        <f t="shared" si="2"/>
        <v>0</v>
      </c>
      <c r="J41" s="117">
        <f t="shared" si="10"/>
        <v>3.6066048316913124E-2</v>
      </c>
      <c r="K41" s="118">
        <f t="shared" si="11"/>
        <v>3.7988396778501902E-2</v>
      </c>
    </row>
    <row r="42" spans="1:11" s="1" customFormat="1" x14ac:dyDescent="0.2">
      <c r="A42" s="37" t="s">
        <v>101</v>
      </c>
      <c r="B42" s="38"/>
      <c r="C42" s="39"/>
      <c r="D42" s="39">
        <f>SUM(D14,D25,D26,D27,D33,D40,D41)</f>
        <v>2757.1407899999999</v>
      </c>
      <c r="E42" s="38"/>
      <c r="F42" s="39"/>
      <c r="G42" s="39">
        <f>SUM(G14,G25,G26,G27,G33,G40,G41)</f>
        <v>2772.6907899999997</v>
      </c>
      <c r="H42" s="39">
        <f t="shared" si="1"/>
        <v>15.549999999999727</v>
      </c>
      <c r="I42" s="40">
        <f>IF(ISERROR(H42/D42),0,(H42/D42))</f>
        <v>5.6399006015212328E-3</v>
      </c>
      <c r="J42" s="40">
        <f t="shared" si="10"/>
        <v>0.95238095238095244</v>
      </c>
      <c r="K42" s="41"/>
    </row>
    <row r="43" spans="1:11" x14ac:dyDescent="0.2">
      <c r="A43" s="155" t="s">
        <v>102</v>
      </c>
      <c r="B43" s="43"/>
      <c r="C43" s="26">
        <v>0.13</v>
      </c>
      <c r="D43" s="26">
        <f>D42*C43</f>
        <v>358.42830270000002</v>
      </c>
      <c r="E43" s="26"/>
      <c r="F43" s="26">
        <f>C43</f>
        <v>0.13</v>
      </c>
      <c r="G43" s="26">
        <f>G42*F43</f>
        <v>360.44980269999996</v>
      </c>
      <c r="H43" s="26">
        <f t="shared" si="1"/>
        <v>2.0214999999999463</v>
      </c>
      <c r="I43" s="44">
        <f t="shared" si="2"/>
        <v>5.6399006015211816E-3</v>
      </c>
      <c r="J43" s="44">
        <f t="shared" si="10"/>
        <v>0.12380952380952381</v>
      </c>
      <c r="K43" s="45"/>
    </row>
    <row r="44" spans="1:11" s="1" customFormat="1" x14ac:dyDescent="0.2">
      <c r="A44" s="46" t="s">
        <v>103</v>
      </c>
      <c r="B44" s="24"/>
      <c r="C44" s="25"/>
      <c r="D44" s="25">
        <f>SUM(D42:D43)</f>
        <v>3115.5690927000001</v>
      </c>
      <c r="E44" s="25"/>
      <c r="F44" s="25"/>
      <c r="G44" s="25">
        <f>SUM(G42:G43)</f>
        <v>3133.1405926999996</v>
      </c>
      <c r="H44" s="25">
        <f t="shared" si="1"/>
        <v>17.57149999999956</v>
      </c>
      <c r="I44" s="27">
        <f t="shared" si="2"/>
        <v>5.6399006015211903E-3</v>
      </c>
      <c r="J44" s="27">
        <f t="shared" si="10"/>
        <v>1.0761904761904761</v>
      </c>
      <c r="K44" s="47"/>
    </row>
    <row r="45" spans="1:11" x14ac:dyDescent="0.2">
      <c r="A45" s="42" t="s">
        <v>104</v>
      </c>
      <c r="B45" s="43"/>
      <c r="C45" s="26">
        <v>-0.08</v>
      </c>
      <c r="D45" s="26">
        <f>D42*C45</f>
        <v>-220.5712632</v>
      </c>
      <c r="E45" s="26"/>
      <c r="F45" s="26">
        <f>C45</f>
        <v>-0.08</v>
      </c>
      <c r="G45" s="26">
        <f>G42*F45</f>
        <v>-221.81526319999998</v>
      </c>
      <c r="H45" s="26">
        <f t="shared" si="1"/>
        <v>-1.2439999999999714</v>
      </c>
      <c r="I45" s="44">
        <f t="shared" si="2"/>
        <v>5.6399006015212015E-3</v>
      </c>
      <c r="J45" s="44">
        <f t="shared" si="10"/>
        <v>-7.6190476190476197E-2</v>
      </c>
      <c r="K45" s="45"/>
    </row>
    <row r="46" spans="1:11" s="1" customFormat="1" ht="13.5" thickBot="1" x14ac:dyDescent="0.25">
      <c r="A46" s="48" t="s">
        <v>105</v>
      </c>
      <c r="B46" s="49"/>
      <c r="C46" s="50"/>
      <c r="D46" s="50">
        <f>SUM(D44:D45)</f>
        <v>2894.9978295000001</v>
      </c>
      <c r="E46" s="50"/>
      <c r="F46" s="50"/>
      <c r="G46" s="50">
        <f>SUM(G44:G45)</f>
        <v>2911.3253294999995</v>
      </c>
      <c r="H46" s="50">
        <f t="shared" si="1"/>
        <v>16.327499999999418</v>
      </c>
      <c r="I46" s="51">
        <f t="shared" si="2"/>
        <v>5.6399006015211304E-3</v>
      </c>
      <c r="J46" s="51">
        <f t="shared" si="10"/>
        <v>1</v>
      </c>
      <c r="K46" s="52"/>
    </row>
    <row r="47" spans="1:11" x14ac:dyDescent="0.2">
      <c r="A47" s="53" t="s">
        <v>106</v>
      </c>
      <c r="B47" s="54"/>
      <c r="C47" s="55"/>
      <c r="D47" s="55">
        <f>SUM(D18,D25,D26,D28,D33,D40,D41)</f>
        <v>2616.8327399999998</v>
      </c>
      <c r="E47" s="55"/>
      <c r="F47" s="55"/>
      <c r="G47" s="55">
        <f>SUM(G18,G25,G26,G28,G33,G40,G41)</f>
        <v>2632.38274</v>
      </c>
      <c r="H47" s="55">
        <f>G47-D47</f>
        <v>15.550000000000182</v>
      </c>
      <c r="I47" s="56">
        <f>IF(ISERROR(H47/D47),0,(H47/D47))</f>
        <v>5.9422980163417643E-3</v>
      </c>
      <c r="J47" s="56"/>
      <c r="K47" s="57">
        <f>G47/$G$51</f>
        <v>0.95238095238095244</v>
      </c>
    </row>
    <row r="48" spans="1:11" x14ac:dyDescent="0.2">
      <c r="A48" s="58" t="s">
        <v>102</v>
      </c>
      <c r="B48" s="59"/>
      <c r="C48" s="31">
        <v>0.13</v>
      </c>
      <c r="D48" s="31">
        <f>D47*C48</f>
        <v>340.18825620000001</v>
      </c>
      <c r="E48" s="31"/>
      <c r="F48" s="31">
        <f>C48</f>
        <v>0.13</v>
      </c>
      <c r="G48" s="31">
        <f>G47*F48</f>
        <v>342.20975620000002</v>
      </c>
      <c r="H48" s="31">
        <f>G48-D48</f>
        <v>2.0215000000000032</v>
      </c>
      <c r="I48" s="32">
        <f>IF(ISERROR(H48/D48),0,(H48/D48))</f>
        <v>5.9422980163417035E-3</v>
      </c>
      <c r="J48" s="32"/>
      <c r="K48" s="60">
        <f>G48/$G$51</f>
        <v>0.12380952380952383</v>
      </c>
    </row>
    <row r="49" spans="1:11" x14ac:dyDescent="0.2">
      <c r="A49" s="151" t="s">
        <v>107</v>
      </c>
      <c r="B49" s="29"/>
      <c r="C49" s="30"/>
      <c r="D49" s="30">
        <f>SUM(D47:D48)</f>
        <v>2957.0209961999999</v>
      </c>
      <c r="E49" s="30"/>
      <c r="F49" s="30"/>
      <c r="G49" s="30">
        <f>SUM(G47:G48)</f>
        <v>2974.5924961999999</v>
      </c>
      <c r="H49" s="30">
        <f>G49-D49</f>
        <v>17.571500000000015</v>
      </c>
      <c r="I49" s="33">
        <f>IF(ISERROR(H49/D49),0,(H49/D49))</f>
        <v>5.9422980163416992E-3</v>
      </c>
      <c r="J49" s="33"/>
      <c r="K49" s="62">
        <f>G49/$G$51</f>
        <v>1.0761904761904764</v>
      </c>
    </row>
    <row r="50" spans="1:11" x14ac:dyDescent="0.2">
      <c r="A50" s="58" t="s">
        <v>104</v>
      </c>
      <c r="B50" s="59"/>
      <c r="C50" s="31">
        <v>-0.08</v>
      </c>
      <c r="D50" s="31">
        <f>D47*C50</f>
        <v>-209.34661919999999</v>
      </c>
      <c r="E50" s="31"/>
      <c r="F50" s="31">
        <f>C50</f>
        <v>-0.08</v>
      </c>
      <c r="G50" s="31">
        <f>G47*F50</f>
        <v>-210.59061919999999</v>
      </c>
      <c r="H50" s="31">
        <f>G50-D50</f>
        <v>-1.2439999999999998</v>
      </c>
      <c r="I50" s="32">
        <f>IF(ISERROR(H50/D50),0,(H50/D50))</f>
        <v>5.9422980163416931E-3</v>
      </c>
      <c r="J50" s="32"/>
      <c r="K50" s="60">
        <f>G50/$G$51</f>
        <v>-7.6190476190476197E-2</v>
      </c>
    </row>
    <row r="51" spans="1:11" ht="13.5" thickBot="1" x14ac:dyDescent="0.25">
      <c r="A51" s="63" t="s">
        <v>116</v>
      </c>
      <c r="B51" s="64"/>
      <c r="C51" s="65"/>
      <c r="D51" s="65">
        <f>SUM(D49:D50)</f>
        <v>2747.6743769999998</v>
      </c>
      <c r="E51" s="65"/>
      <c r="F51" s="65"/>
      <c r="G51" s="65">
        <f>SUM(G49:G50)</f>
        <v>2764.0018769999997</v>
      </c>
      <c r="H51" s="65">
        <f>G51-D51</f>
        <v>16.327499999999873</v>
      </c>
      <c r="I51" s="66">
        <f>IF(ISERROR(H51/D51),0,(H51/D51))</f>
        <v>5.942298016341648E-3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9" fitToHeight="0" orientation="landscape" r:id="rId1"/>
  <headerFooter>
    <oddHeader>&amp;RFiled: 2017-03-31
EB-2017-0049
Exhibit H1-4-1
Attachment 2
Page &amp;P of &amp;N</oddHead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1" tint="0.499984740745262"/>
    <pageSetUpPr fitToPage="1"/>
  </sheetPr>
  <dimension ref="A1:K68"/>
  <sheetViews>
    <sheetView tabSelected="1" view="pageBreakPreview" topLeftCell="A16"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118</v>
      </c>
      <c r="B1" s="188"/>
      <c r="C1" s="188"/>
      <c r="D1" s="188"/>
      <c r="E1" s="188"/>
      <c r="F1" s="188"/>
      <c r="G1" s="188"/>
      <c r="H1" s="188"/>
      <c r="I1" s="188"/>
      <c r="J1" s="188"/>
      <c r="K1" s="189"/>
    </row>
    <row r="3" spans="1:11" x14ac:dyDescent="0.2">
      <c r="A3" s="13" t="s">
        <v>13</v>
      </c>
      <c r="B3" s="13" t="s">
        <v>4</v>
      </c>
    </row>
    <row r="4" spans="1:11" x14ac:dyDescent="0.2">
      <c r="A4" s="15" t="s">
        <v>62</v>
      </c>
      <c r="B4" s="15">
        <v>1000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1096</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0.30962864076326202</v>
      </c>
      <c r="K12" s="106"/>
    </row>
    <row r="13" spans="1:11" x14ac:dyDescent="0.2">
      <c r="A13" s="107" t="s">
        <v>32</v>
      </c>
      <c r="B13" s="73">
        <f>IF(B4&gt;B7,(B4)-B7,0)</f>
        <v>250</v>
      </c>
      <c r="C13" s="21">
        <v>0.121</v>
      </c>
      <c r="D13" s="22">
        <f>B13*C13</f>
        <v>30.25</v>
      </c>
      <c r="E13" s="73">
        <f t="shared" ref="E13" si="0">B13</f>
        <v>250</v>
      </c>
      <c r="F13" s="21">
        <f>C13</f>
        <v>0.121</v>
      </c>
      <c r="G13" s="22">
        <f>E13*F13</f>
        <v>30.25</v>
      </c>
      <c r="H13" s="22">
        <f t="shared" ref="H13:H46" si="1">G13-D13</f>
        <v>0</v>
      </c>
      <c r="I13" s="23">
        <f t="shared" ref="I13:I46" si="2">IF(ISERROR(H13/D13),0,(H13/D13))</f>
        <v>0</v>
      </c>
      <c r="J13" s="23">
        <f>G13/$G$46</f>
        <v>0.12124616677137444</v>
      </c>
      <c r="K13" s="108"/>
    </row>
    <row r="14" spans="1:11" s="1" customFormat="1" x14ac:dyDescent="0.2">
      <c r="A14" s="46" t="s">
        <v>33</v>
      </c>
      <c r="B14" s="24"/>
      <c r="C14" s="25"/>
      <c r="D14" s="25">
        <f>SUM(D12:D13)</f>
        <v>107.5</v>
      </c>
      <c r="E14" s="76"/>
      <c r="F14" s="25"/>
      <c r="G14" s="25">
        <f>SUM(G12:G13)</f>
        <v>107.5</v>
      </c>
      <c r="H14" s="25">
        <f t="shared" si="1"/>
        <v>0</v>
      </c>
      <c r="I14" s="27">
        <f t="shared" si="2"/>
        <v>0</v>
      </c>
      <c r="J14" s="27">
        <f>G14/$G$46</f>
        <v>0.43087480753463647</v>
      </c>
      <c r="K14" s="108"/>
    </row>
    <row r="15" spans="1:11" s="1" customFormat="1" x14ac:dyDescent="0.2">
      <c r="A15" s="109" t="s">
        <v>34</v>
      </c>
      <c r="B15" s="75">
        <f>B4*0.65</f>
        <v>650</v>
      </c>
      <c r="C15" s="28">
        <v>8.6999999999999994E-2</v>
      </c>
      <c r="D15" s="22">
        <f>B15*C15</f>
        <v>56.55</v>
      </c>
      <c r="E15" s="73">
        <f t="shared" ref="E15:F17" si="3">B15</f>
        <v>650</v>
      </c>
      <c r="F15" s="28">
        <f t="shared" si="3"/>
        <v>8.6999999999999994E-2</v>
      </c>
      <c r="G15" s="22">
        <f>E15*F15</f>
        <v>56.55</v>
      </c>
      <c r="H15" s="22">
        <f t="shared" si="1"/>
        <v>0</v>
      </c>
      <c r="I15" s="23">
        <f t="shared" si="2"/>
        <v>0</v>
      </c>
      <c r="J15" s="23"/>
      <c r="K15" s="108">
        <f t="shared" ref="K15:K26" si="4">G15/$G$51</f>
        <v>0.22386443524171465</v>
      </c>
    </row>
    <row r="16" spans="1:11" s="1" customFormat="1" x14ac:dyDescent="0.2">
      <c r="A16" s="109" t="s">
        <v>35</v>
      </c>
      <c r="B16" s="75">
        <f>B4*0.17</f>
        <v>170</v>
      </c>
      <c r="C16" s="28">
        <v>0.13200000000000001</v>
      </c>
      <c r="D16" s="22">
        <f>B16*C16</f>
        <v>22.44</v>
      </c>
      <c r="E16" s="73">
        <f t="shared" si="3"/>
        <v>170</v>
      </c>
      <c r="F16" s="28">
        <f t="shared" si="3"/>
        <v>0.13200000000000001</v>
      </c>
      <c r="G16" s="22">
        <f>E16*F16</f>
        <v>22.44</v>
      </c>
      <c r="H16" s="22">
        <f t="shared" si="1"/>
        <v>0</v>
      </c>
      <c r="I16" s="23">
        <f t="shared" si="2"/>
        <v>0</v>
      </c>
      <c r="J16" s="23"/>
      <c r="K16" s="108">
        <f t="shared" si="4"/>
        <v>8.8833208255067686E-2</v>
      </c>
    </row>
    <row r="17" spans="1:11" s="1" customFormat="1" x14ac:dyDescent="0.2">
      <c r="A17" s="109" t="s">
        <v>36</v>
      </c>
      <c r="B17" s="75">
        <f>B4*0.18</f>
        <v>180</v>
      </c>
      <c r="C17" s="28">
        <v>0.18</v>
      </c>
      <c r="D17" s="22">
        <f>B17*C17</f>
        <v>32.4</v>
      </c>
      <c r="E17" s="73">
        <f t="shared" si="3"/>
        <v>180</v>
      </c>
      <c r="F17" s="28">
        <f t="shared" si="3"/>
        <v>0.18</v>
      </c>
      <c r="G17" s="22">
        <f>E17*F17</f>
        <v>32.4</v>
      </c>
      <c r="H17" s="22">
        <f t="shared" si="1"/>
        <v>0</v>
      </c>
      <c r="I17" s="23">
        <f t="shared" si="2"/>
        <v>0</v>
      </c>
      <c r="J17" s="23"/>
      <c r="K17" s="108">
        <f t="shared" si="4"/>
        <v>0.12826185149127417</v>
      </c>
    </row>
    <row r="18" spans="1:11" s="1" customFormat="1" x14ac:dyDescent="0.2">
      <c r="A18" s="61" t="s">
        <v>37</v>
      </c>
      <c r="B18" s="29"/>
      <c r="C18" s="30"/>
      <c r="D18" s="30">
        <f>SUM(D15:D17)</f>
        <v>111.38999999999999</v>
      </c>
      <c r="E18" s="77"/>
      <c r="F18" s="30"/>
      <c r="G18" s="30">
        <f>SUM(G15:G17)</f>
        <v>111.38999999999999</v>
      </c>
      <c r="H18" s="31">
        <f t="shared" si="1"/>
        <v>0</v>
      </c>
      <c r="I18" s="32">
        <f t="shared" si="2"/>
        <v>0</v>
      </c>
      <c r="J18" s="33">
        <f t="shared" ref="J18:J23" si="5">G18/$G$46</f>
        <v>0.4464664633607735</v>
      </c>
      <c r="K18" s="62">
        <f t="shared" si="4"/>
        <v>0.44095949498805648</v>
      </c>
    </row>
    <row r="19" spans="1:11" x14ac:dyDescent="0.2">
      <c r="A19" s="107" t="s">
        <v>38</v>
      </c>
      <c r="B19" s="73">
        <v>1</v>
      </c>
      <c r="C19" s="78">
        <f>VLOOKUP($B$3,'Data for Bill Impacts'!$A$3:$Y$15,7,0)</f>
        <v>29.68</v>
      </c>
      <c r="D19" s="22">
        <f>B19*C19</f>
        <v>29.68</v>
      </c>
      <c r="E19" s="73">
        <f t="shared" ref="E19:E41" si="6">B19</f>
        <v>1</v>
      </c>
      <c r="F19" s="78">
        <f>VLOOKUP($B$3,'Data for Bill Impacts'!$A$3:$Y$15,17,0)</f>
        <v>30.26</v>
      </c>
      <c r="G19" s="22">
        <f>E19*F19</f>
        <v>30.26</v>
      </c>
      <c r="H19" s="22">
        <f t="shared" si="1"/>
        <v>0.58000000000000185</v>
      </c>
      <c r="I19" s="23">
        <f t="shared" si="2"/>
        <v>1.9541778975741303E-2</v>
      </c>
      <c r="J19" s="23">
        <f t="shared" si="5"/>
        <v>0.12128624814881954</v>
      </c>
      <c r="K19" s="108">
        <f t="shared" si="4"/>
        <v>0.11979023537425793</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110</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122">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1000</v>
      </c>
      <c r="C23" s="78">
        <f>VLOOKUP($B$3,'Data for Bill Impacts'!$A$3:$Y$15,10,0)</f>
        <v>5.91E-2</v>
      </c>
      <c r="D23" s="22">
        <f>B23*C23</f>
        <v>59.1</v>
      </c>
      <c r="E23" s="73">
        <f t="shared" si="6"/>
        <v>1000</v>
      </c>
      <c r="F23" s="78">
        <f>VLOOKUP($B$3,'Data for Bill Impacts'!$A$3:$Y$15,19,0)</f>
        <v>6.1400000000000003E-2</v>
      </c>
      <c r="G23" s="22">
        <f>E23*F23</f>
        <v>61.400000000000006</v>
      </c>
      <c r="H23" s="22">
        <f t="shared" si="1"/>
        <v>2.3000000000000043</v>
      </c>
      <c r="I23" s="23">
        <f t="shared" si="2"/>
        <v>3.8917089678511069E-2</v>
      </c>
      <c r="J23" s="23">
        <f t="shared" si="5"/>
        <v>0.24609965751280632</v>
      </c>
      <c r="K23" s="108">
        <f t="shared" si="4"/>
        <v>0.24306412597420479</v>
      </c>
    </row>
    <row r="24" spans="1:11" x14ac:dyDescent="0.2">
      <c r="A24" s="107" t="s">
        <v>122</v>
      </c>
      <c r="B24" s="73">
        <f>IF($B$9="kWh",$B$4,$B$5)</f>
        <v>1000</v>
      </c>
      <c r="C24" s="126">
        <f>VLOOKUP($B$3,'Data for Bill Impacts'!$A$3:$Y$15,14,0)</f>
        <v>2.0000000000000001E-4</v>
      </c>
      <c r="D24" s="22">
        <f>B24*C24</f>
        <v>0.2</v>
      </c>
      <c r="E24" s="73">
        <f t="shared" si="6"/>
        <v>1000</v>
      </c>
      <c r="F24" s="126">
        <f>VLOOKUP($B$3,'Data for Bill Impacts'!$A$3:$Y$15,23,0)</f>
        <v>2.0000000000000001E-4</v>
      </c>
      <c r="G24" s="22">
        <f>E24*F24</f>
        <v>0.2</v>
      </c>
      <c r="H24" s="22">
        <f t="shared" si="1"/>
        <v>0</v>
      </c>
      <c r="I24" s="23">
        <f>IF(ISERROR(H24/D24),0,(H24/D24))</f>
        <v>0</v>
      </c>
      <c r="J24" s="23">
        <f t="shared" ref="J24" si="9">G24/$G$46</f>
        <v>8.0162754890164925E-4</v>
      </c>
      <c r="K24" s="108">
        <f t="shared" si="4"/>
        <v>7.9173982402021108E-4</v>
      </c>
    </row>
    <row r="25" spans="1:11" s="1" customFormat="1" x14ac:dyDescent="0.2">
      <c r="A25" s="110" t="s">
        <v>72</v>
      </c>
      <c r="B25" s="74"/>
      <c r="C25" s="35"/>
      <c r="D25" s="35">
        <f>SUM(D19:D24)</f>
        <v>88.98</v>
      </c>
      <c r="E25" s="73"/>
      <c r="F25" s="35"/>
      <c r="G25" s="35">
        <f>SUM(G19:G24)</f>
        <v>91.860000000000014</v>
      </c>
      <c r="H25" s="35">
        <f t="shared" si="1"/>
        <v>2.8800000000000097</v>
      </c>
      <c r="I25" s="36">
        <f t="shared" si="2"/>
        <v>3.2366824005394576E-2</v>
      </c>
      <c r="J25" s="36">
        <f>G25/$G$46</f>
        <v>0.36818753321052755</v>
      </c>
      <c r="K25" s="111">
        <f t="shared" si="4"/>
        <v>0.36364610117248297</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3.1664288181615144E-3</v>
      </c>
      <c r="K26" s="108">
        <f t="shared" si="4"/>
        <v>3.1273723048798334E-3</v>
      </c>
    </row>
    <row r="27" spans="1:11" s="1" customFormat="1" x14ac:dyDescent="0.2">
      <c r="A27" s="119" t="s">
        <v>75</v>
      </c>
      <c r="B27" s="120">
        <f>B8-B4</f>
        <v>96</v>
      </c>
      <c r="C27" s="121">
        <f>IF(B4&gt;B7,C13,C12)</f>
        <v>0.121</v>
      </c>
      <c r="D27" s="22">
        <f>B27*C27</f>
        <v>11.616</v>
      </c>
      <c r="E27" s="73">
        <f>B27</f>
        <v>96</v>
      </c>
      <c r="F27" s="121">
        <f>C27</f>
        <v>0.121</v>
      </c>
      <c r="G27" s="22">
        <f>E27*F27</f>
        <v>11.616</v>
      </c>
      <c r="H27" s="22">
        <f t="shared" si="1"/>
        <v>0</v>
      </c>
      <c r="I27" s="23">
        <f>IF(ISERROR(H27/D27),0,(H27/D27))</f>
        <v>0</v>
      </c>
      <c r="J27" s="23">
        <f t="shared" ref="J27:J46" si="10">G27/$G$46</f>
        <v>4.6558528040207783E-2</v>
      </c>
      <c r="K27" s="108">
        <f t="shared" ref="K27:K41" si="11">G27/$G$51</f>
        <v>4.5984248979093853E-2</v>
      </c>
    </row>
    <row r="28" spans="1:11" s="1" customFormat="1" x14ac:dyDescent="0.2">
      <c r="A28" s="119" t="s">
        <v>74</v>
      </c>
      <c r="B28" s="120">
        <f>B8-B4</f>
        <v>96</v>
      </c>
      <c r="C28" s="121">
        <f>0.65*C15+0.17*C16+0.18*C17</f>
        <v>0.11139</v>
      </c>
      <c r="D28" s="22">
        <f>B28*C28</f>
        <v>10.693440000000001</v>
      </c>
      <c r="E28" s="73">
        <f>B28</f>
        <v>96</v>
      </c>
      <c r="F28" s="121">
        <f>C28</f>
        <v>0.11139</v>
      </c>
      <c r="G28" s="22">
        <f>E28*F28</f>
        <v>10.693440000000001</v>
      </c>
      <c r="H28" s="22">
        <f t="shared" si="1"/>
        <v>0</v>
      </c>
      <c r="I28" s="23">
        <f>IF(ISERROR(H28/D28),0,(H28/D28))</f>
        <v>0</v>
      </c>
      <c r="J28" s="23">
        <f t="shared" si="10"/>
        <v>4.286078048263426E-2</v>
      </c>
      <c r="K28" s="108">
        <f t="shared" si="11"/>
        <v>4.2332111518853431E-2</v>
      </c>
    </row>
    <row r="29" spans="1:11" s="1" customFormat="1" x14ac:dyDescent="0.2">
      <c r="A29" s="110" t="s">
        <v>78</v>
      </c>
      <c r="B29" s="74"/>
      <c r="C29" s="35"/>
      <c r="D29" s="35">
        <f>SUM(D25,D26:D27)</f>
        <v>101.38600000000001</v>
      </c>
      <c r="E29" s="73"/>
      <c r="F29" s="35"/>
      <c r="G29" s="35">
        <f>SUM(G25,G26:G27)</f>
        <v>104.26600000000002</v>
      </c>
      <c r="H29" s="35">
        <f t="shared" si="1"/>
        <v>2.8800000000000097</v>
      </c>
      <c r="I29" s="36">
        <f>IF(ISERROR(H29/D29),0,(H29/D29))</f>
        <v>2.8406288836723113E-2</v>
      </c>
      <c r="J29" s="36">
        <f t="shared" si="10"/>
        <v>0.41791249006889686</v>
      </c>
      <c r="K29" s="111">
        <f t="shared" si="11"/>
        <v>0.4127577224564567</v>
      </c>
    </row>
    <row r="30" spans="1:11" s="1" customFormat="1" x14ac:dyDescent="0.2">
      <c r="A30" s="110" t="s">
        <v>77</v>
      </c>
      <c r="B30" s="74"/>
      <c r="C30" s="35"/>
      <c r="D30" s="35">
        <f>SUM(D25,D26,D28)</f>
        <v>100.46344000000001</v>
      </c>
      <c r="E30" s="73"/>
      <c r="F30" s="35"/>
      <c r="G30" s="35">
        <f>SUM(G25,G26,G28)</f>
        <v>103.34344000000002</v>
      </c>
      <c r="H30" s="35">
        <f t="shared" si="1"/>
        <v>2.8800000000000097</v>
      </c>
      <c r="I30" s="36">
        <f>IF(ISERROR(H30/D30),0,(H30/D30))</f>
        <v>2.8667144983289539E-2</v>
      </c>
      <c r="J30" s="36">
        <f t="shared" si="10"/>
        <v>0.41421474251132334</v>
      </c>
      <c r="K30" s="111">
        <f t="shared" si="11"/>
        <v>0.40910558499621624</v>
      </c>
    </row>
    <row r="31" spans="1:11" x14ac:dyDescent="0.2">
      <c r="A31" s="107" t="s">
        <v>40</v>
      </c>
      <c r="B31" s="73">
        <f>B8</f>
        <v>1096</v>
      </c>
      <c r="C31" s="126">
        <f>VLOOKUP($B$3,'Data for Bill Impacts'!$A$3:$Y$15,15,0)</f>
        <v>5.6930000000000001E-3</v>
      </c>
      <c r="D31" s="22">
        <f>B31*C31</f>
        <v>6.239528</v>
      </c>
      <c r="E31" s="73">
        <f t="shared" si="6"/>
        <v>1096</v>
      </c>
      <c r="F31" s="126">
        <f>VLOOKUP($B$3,'Data for Bill Impacts'!$A$3:$Y$15,24,0)</f>
        <v>5.6930000000000001E-3</v>
      </c>
      <c r="G31" s="22">
        <f>E31*F31</f>
        <v>6.239528</v>
      </c>
      <c r="H31" s="22">
        <f t="shared" si="1"/>
        <v>0</v>
      </c>
      <c r="I31" s="23">
        <f t="shared" si="2"/>
        <v>0</v>
      </c>
      <c r="J31" s="23">
        <f t="shared" si="10"/>
        <v>2.5008887684716048E-2</v>
      </c>
      <c r="K31" s="108">
        <f t="shared" si="11"/>
        <v>2.4700414003445897E-2</v>
      </c>
    </row>
    <row r="32" spans="1:11" x14ac:dyDescent="0.2">
      <c r="A32" s="107" t="s">
        <v>41</v>
      </c>
      <c r="B32" s="73">
        <f>B8</f>
        <v>1096</v>
      </c>
      <c r="C32" s="126">
        <f>VLOOKUP($B$3,'Data for Bill Impacts'!$A$3:$Y$15,16,0)</f>
        <v>4.4740000000000005E-3</v>
      </c>
      <c r="D32" s="22">
        <f>B32*C32</f>
        <v>4.9035040000000008</v>
      </c>
      <c r="E32" s="73">
        <f t="shared" si="6"/>
        <v>1096</v>
      </c>
      <c r="F32" s="126">
        <f>VLOOKUP($B$3,'Data for Bill Impacts'!$A$3:$Y$15,25,0)</f>
        <v>4.4740000000000005E-3</v>
      </c>
      <c r="G32" s="22">
        <f>E32*F32</f>
        <v>4.9035040000000008</v>
      </c>
      <c r="H32" s="22">
        <f t="shared" si="1"/>
        <v>0</v>
      </c>
      <c r="I32" s="23">
        <f t="shared" si="2"/>
        <v>0</v>
      </c>
      <c r="J32" s="23">
        <f t="shared" si="10"/>
        <v>1.9653919462747166E-2</v>
      </c>
      <c r="K32" s="108">
        <f t="shared" si="11"/>
        <v>1.9411496970212008E-2</v>
      </c>
    </row>
    <row r="33" spans="1:11" s="1" customFormat="1" x14ac:dyDescent="0.2">
      <c r="A33" s="110" t="s">
        <v>76</v>
      </c>
      <c r="B33" s="74"/>
      <c r="C33" s="35"/>
      <c r="D33" s="35">
        <f>SUM(D31:D32)</f>
        <v>11.143032000000002</v>
      </c>
      <c r="E33" s="73"/>
      <c r="F33" s="35"/>
      <c r="G33" s="35">
        <f>SUM(G31:G32)</f>
        <v>11.143032000000002</v>
      </c>
      <c r="H33" s="35">
        <f t="shared" si="1"/>
        <v>0</v>
      </c>
      <c r="I33" s="36">
        <f t="shared" si="2"/>
        <v>0</v>
      </c>
      <c r="J33" s="36">
        <f t="shared" si="10"/>
        <v>4.4662807147463214E-2</v>
      </c>
      <c r="K33" s="111">
        <f t="shared" si="11"/>
        <v>4.4111910973657908E-2</v>
      </c>
    </row>
    <row r="34" spans="1:11" s="1" customFormat="1" x14ac:dyDescent="0.2">
      <c r="A34" s="110" t="s">
        <v>91</v>
      </c>
      <c r="B34" s="74"/>
      <c r="C34" s="35"/>
      <c r="D34" s="35">
        <f>D29+D33</f>
        <v>112.52903200000002</v>
      </c>
      <c r="E34" s="73"/>
      <c r="F34" s="35"/>
      <c r="G34" s="35">
        <f>G29+G33</f>
        <v>115.40903200000002</v>
      </c>
      <c r="H34" s="35">
        <f t="shared" si="1"/>
        <v>2.8800000000000097</v>
      </c>
      <c r="I34" s="36">
        <f t="shared" si="2"/>
        <v>2.5593395311531777E-2</v>
      </c>
      <c r="J34" s="36">
        <f t="shared" si="10"/>
        <v>0.46257529721636009</v>
      </c>
      <c r="K34" s="111">
        <f t="shared" si="11"/>
        <v>0.45686963343011461</v>
      </c>
    </row>
    <row r="35" spans="1:11" s="1" customFormat="1" x14ac:dyDescent="0.2">
      <c r="A35" s="110" t="s">
        <v>92</v>
      </c>
      <c r="B35" s="74"/>
      <c r="C35" s="35"/>
      <c r="D35" s="35">
        <f>D30+D33</f>
        <v>111.60647200000001</v>
      </c>
      <c r="E35" s="73"/>
      <c r="F35" s="35"/>
      <c r="G35" s="35">
        <f>G30+G33</f>
        <v>114.48647200000002</v>
      </c>
      <c r="H35" s="35">
        <f t="shared" si="1"/>
        <v>2.8800000000000097</v>
      </c>
      <c r="I35" s="36">
        <f t="shared" si="2"/>
        <v>2.5804955110488657E-2</v>
      </c>
      <c r="J35" s="36">
        <f t="shared" si="10"/>
        <v>0.45887754965878658</v>
      </c>
      <c r="K35" s="111">
        <f t="shared" si="11"/>
        <v>0.45321749596987415</v>
      </c>
    </row>
    <row r="36" spans="1:11" x14ac:dyDescent="0.2">
      <c r="A36" s="107" t="s">
        <v>42</v>
      </c>
      <c r="B36" s="73">
        <f>B8</f>
        <v>1096</v>
      </c>
      <c r="C36" s="34">
        <v>3.5999999999999999E-3</v>
      </c>
      <c r="D36" s="22">
        <f>B36*C36</f>
        <v>3.9455999999999998</v>
      </c>
      <c r="E36" s="73">
        <f t="shared" si="6"/>
        <v>1096</v>
      </c>
      <c r="F36" s="34">
        <v>3.5999999999999999E-3</v>
      </c>
      <c r="G36" s="22">
        <f>E36*F36</f>
        <v>3.9455999999999998</v>
      </c>
      <c r="H36" s="22">
        <f t="shared" si="1"/>
        <v>0</v>
      </c>
      <c r="I36" s="23">
        <f t="shared" si="2"/>
        <v>0</v>
      </c>
      <c r="J36" s="23">
        <f t="shared" si="10"/>
        <v>1.5814508284731736E-2</v>
      </c>
      <c r="K36" s="108">
        <f t="shared" si="11"/>
        <v>1.5619443248270722E-2</v>
      </c>
    </row>
    <row r="37" spans="1:11" x14ac:dyDescent="0.2">
      <c r="A37" s="107" t="s">
        <v>43</v>
      </c>
      <c r="B37" s="73">
        <f>B8</f>
        <v>1096</v>
      </c>
      <c r="C37" s="34">
        <v>2.0999999999999999E-3</v>
      </c>
      <c r="D37" s="22">
        <f>B37*C37</f>
        <v>2.3015999999999996</v>
      </c>
      <c r="E37" s="73">
        <f t="shared" si="6"/>
        <v>1096</v>
      </c>
      <c r="F37" s="34">
        <v>2.0999999999999999E-3</v>
      </c>
      <c r="G37" s="22">
        <f>E37*F37</f>
        <v>2.3015999999999996</v>
      </c>
      <c r="H37" s="22">
        <f>G37-D37</f>
        <v>0</v>
      </c>
      <c r="I37" s="23">
        <f t="shared" si="2"/>
        <v>0</v>
      </c>
      <c r="J37" s="23">
        <f t="shared" si="10"/>
        <v>9.2251298327601771E-3</v>
      </c>
      <c r="K37" s="108">
        <f t="shared" si="11"/>
        <v>9.1113418948245862E-3</v>
      </c>
    </row>
    <row r="38" spans="1:11" x14ac:dyDescent="0.2">
      <c r="A38" s="107" t="s">
        <v>96</v>
      </c>
      <c r="B38" s="73">
        <f>B8</f>
        <v>1096</v>
      </c>
      <c r="C38" s="34">
        <v>1.1000000000000001E-3</v>
      </c>
      <c r="D38" s="22">
        <f>B38*C38</f>
        <v>1.2056</v>
      </c>
      <c r="E38" s="73">
        <f t="shared" si="6"/>
        <v>1096</v>
      </c>
      <c r="F38" s="34">
        <v>1.1000000000000001E-3</v>
      </c>
      <c r="G38" s="22">
        <f>E38*F38</f>
        <v>1.2056</v>
      </c>
      <c r="H38" s="22">
        <f>G38-D38</f>
        <v>0</v>
      </c>
      <c r="I38" s="23">
        <f t="shared" ref="I38" si="12">IF(ISERROR(H38/D38),0,(H38/D38))</f>
        <v>0</v>
      </c>
      <c r="J38" s="23">
        <f t="shared" ref="J38" si="13">G38/$G$46</f>
        <v>4.8322108647791415E-3</v>
      </c>
      <c r="K38" s="108">
        <f t="shared" ref="K38" si="14">G38/$G$51</f>
        <v>4.7726076591938322E-3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1.0020344361270615E-3</v>
      </c>
      <c r="K39" s="108">
        <f t="shared" si="11"/>
        <v>9.8967478002526385E-4</v>
      </c>
    </row>
    <row r="40" spans="1:11" s="1" customFormat="1" x14ac:dyDescent="0.2">
      <c r="A40" s="110" t="s">
        <v>45</v>
      </c>
      <c r="B40" s="74"/>
      <c r="C40" s="35"/>
      <c r="D40" s="35">
        <f>SUM(D36:D39)</f>
        <v>7.7027999999999999</v>
      </c>
      <c r="E40" s="73"/>
      <c r="F40" s="35"/>
      <c r="G40" s="35">
        <f>SUM(G36:G39)</f>
        <v>7.7027999999999999</v>
      </c>
      <c r="H40" s="35">
        <f t="shared" si="1"/>
        <v>0</v>
      </c>
      <c r="I40" s="36">
        <f t="shared" si="2"/>
        <v>0</v>
      </c>
      <c r="J40" s="36">
        <f t="shared" si="10"/>
        <v>3.0873883418398116E-2</v>
      </c>
      <c r="K40" s="111">
        <f t="shared" si="11"/>
        <v>3.0493067582314407E-2</v>
      </c>
    </row>
    <row r="41" spans="1:11" s="1" customFormat="1" ht="13.5" thickBot="1" x14ac:dyDescent="0.25">
      <c r="A41" s="112" t="s">
        <v>46</v>
      </c>
      <c r="B41" s="113">
        <f>B4</f>
        <v>1000</v>
      </c>
      <c r="C41" s="114">
        <v>7.0000000000000001E-3</v>
      </c>
      <c r="D41" s="115">
        <f>B41*C41</f>
        <v>7</v>
      </c>
      <c r="E41" s="116">
        <f t="shared" si="6"/>
        <v>1000</v>
      </c>
      <c r="F41" s="114">
        <f>C41</f>
        <v>7.0000000000000001E-3</v>
      </c>
      <c r="G41" s="115">
        <f>E41*F41</f>
        <v>7</v>
      </c>
      <c r="H41" s="115">
        <f t="shared" si="1"/>
        <v>0</v>
      </c>
      <c r="I41" s="117">
        <f t="shared" si="2"/>
        <v>0</v>
      </c>
      <c r="J41" s="117">
        <f t="shared" si="10"/>
        <v>2.8056964211557723E-2</v>
      </c>
      <c r="K41" s="118">
        <f t="shared" si="11"/>
        <v>2.7710893840707386E-2</v>
      </c>
    </row>
    <row r="42" spans="1:11" s="1" customFormat="1" x14ac:dyDescent="0.2">
      <c r="A42" s="37" t="s">
        <v>101</v>
      </c>
      <c r="B42" s="38"/>
      <c r="C42" s="39"/>
      <c r="D42" s="39">
        <f>SUM(D14,D25,D26,D27,D33,D40,D41)</f>
        <v>234.73183200000003</v>
      </c>
      <c r="E42" s="38"/>
      <c r="F42" s="39"/>
      <c r="G42" s="39">
        <f>SUM(G14,G25,G26,G27,G33,G40,G41)</f>
        <v>237.61183200000002</v>
      </c>
      <c r="H42" s="39">
        <f t="shared" si="1"/>
        <v>2.8799999999999955</v>
      </c>
      <c r="I42" s="40">
        <f>IF(ISERROR(H42/D42),0,(H42/D42))</f>
        <v>1.2269320166171561E-2</v>
      </c>
      <c r="J42" s="40">
        <f t="shared" si="10"/>
        <v>0.95238095238095233</v>
      </c>
      <c r="K42" s="41"/>
    </row>
    <row r="43" spans="1:11" x14ac:dyDescent="0.2">
      <c r="A43" s="155" t="s">
        <v>102</v>
      </c>
      <c r="B43" s="43"/>
      <c r="C43" s="26">
        <v>0.13</v>
      </c>
      <c r="D43" s="26">
        <f>D42*C43</f>
        <v>30.515138160000003</v>
      </c>
      <c r="E43" s="26"/>
      <c r="F43" s="26">
        <f>C43</f>
        <v>0.13</v>
      </c>
      <c r="G43" s="26">
        <f>G42*F43</f>
        <v>30.889538160000004</v>
      </c>
      <c r="H43" s="26">
        <f t="shared" si="1"/>
        <v>0.3744000000000014</v>
      </c>
      <c r="I43" s="44">
        <f t="shared" si="2"/>
        <v>1.2269320166171627E-2</v>
      </c>
      <c r="J43" s="44">
        <f t="shared" si="10"/>
        <v>0.12380952380952381</v>
      </c>
      <c r="K43" s="45"/>
    </row>
    <row r="44" spans="1:11" s="1" customFormat="1" x14ac:dyDescent="0.2">
      <c r="A44" s="46" t="s">
        <v>103</v>
      </c>
      <c r="B44" s="24"/>
      <c r="C44" s="25"/>
      <c r="D44" s="25">
        <f>SUM(D42:D43)</f>
        <v>265.24697016000005</v>
      </c>
      <c r="E44" s="25"/>
      <c r="F44" s="25"/>
      <c r="G44" s="25">
        <f>SUM(G42:G43)</f>
        <v>268.50137016000002</v>
      </c>
      <c r="H44" s="25">
        <f t="shared" si="1"/>
        <v>3.2543999999999755</v>
      </c>
      <c r="I44" s="27">
        <f t="shared" si="2"/>
        <v>1.2269320166171488E-2</v>
      </c>
      <c r="J44" s="27">
        <f t="shared" si="10"/>
        <v>1.0761904761904761</v>
      </c>
      <c r="K44" s="47"/>
    </row>
    <row r="45" spans="1:11" x14ac:dyDescent="0.2">
      <c r="A45" s="42" t="s">
        <v>104</v>
      </c>
      <c r="B45" s="43"/>
      <c r="C45" s="26">
        <v>-0.08</v>
      </c>
      <c r="D45" s="26">
        <f>D42*C45</f>
        <v>-18.778546560000002</v>
      </c>
      <c r="E45" s="26"/>
      <c r="F45" s="26">
        <f>C45</f>
        <v>-0.08</v>
      </c>
      <c r="G45" s="26">
        <f>G42*F45</f>
        <v>-19.008946560000002</v>
      </c>
      <c r="H45" s="26">
        <f t="shared" si="1"/>
        <v>-0.23039999999999949</v>
      </c>
      <c r="I45" s="44">
        <f t="shared" si="2"/>
        <v>1.2269320166171554E-2</v>
      </c>
      <c r="J45" s="44">
        <f t="shared" si="10"/>
        <v>-7.6190476190476197E-2</v>
      </c>
      <c r="K45" s="45"/>
    </row>
    <row r="46" spans="1:11" s="1" customFormat="1" ht="13.5" thickBot="1" x14ac:dyDescent="0.25">
      <c r="A46" s="48" t="s">
        <v>105</v>
      </c>
      <c r="B46" s="49"/>
      <c r="C46" s="50"/>
      <c r="D46" s="50">
        <f>SUM(D44:D45)</f>
        <v>246.46842360000005</v>
      </c>
      <c r="E46" s="50"/>
      <c r="F46" s="50"/>
      <c r="G46" s="50">
        <f>SUM(G44:G45)</f>
        <v>249.49242360000002</v>
      </c>
      <c r="H46" s="50">
        <f t="shared" si="1"/>
        <v>3.0239999999999725</v>
      </c>
      <c r="I46" s="51">
        <f t="shared" si="2"/>
        <v>1.2269320166171469E-2</v>
      </c>
      <c r="J46" s="51">
        <f t="shared" si="10"/>
        <v>1</v>
      </c>
      <c r="K46" s="52"/>
    </row>
    <row r="47" spans="1:11" x14ac:dyDescent="0.2">
      <c r="A47" s="53" t="s">
        <v>106</v>
      </c>
      <c r="B47" s="54"/>
      <c r="C47" s="55"/>
      <c r="D47" s="55">
        <f>SUM(D18,D25,D26,D28,D33,D40,D41)</f>
        <v>237.69927200000001</v>
      </c>
      <c r="E47" s="55"/>
      <c r="F47" s="55"/>
      <c r="G47" s="55">
        <f>SUM(G18,G25,G26,G28,G33,G40,G41)</f>
        <v>240.579272</v>
      </c>
      <c r="H47" s="55">
        <f>G47-D47</f>
        <v>2.8799999999999955</v>
      </c>
      <c r="I47" s="56">
        <f>IF(ISERROR(H47/D47),0,(H47/D47))</f>
        <v>1.2116149855099243E-2</v>
      </c>
      <c r="J47" s="56"/>
      <c r="K47" s="57">
        <f>G47/$G$51</f>
        <v>0.95238095238095244</v>
      </c>
    </row>
    <row r="48" spans="1:11" x14ac:dyDescent="0.2">
      <c r="A48" s="156" t="s">
        <v>102</v>
      </c>
      <c r="B48" s="59"/>
      <c r="C48" s="31">
        <v>0.13</v>
      </c>
      <c r="D48" s="31">
        <f>D47*C48</f>
        <v>30.900905360000003</v>
      </c>
      <c r="E48" s="31"/>
      <c r="F48" s="31">
        <f>C48</f>
        <v>0.13</v>
      </c>
      <c r="G48" s="31">
        <f>G47*F48</f>
        <v>31.275305360000001</v>
      </c>
      <c r="H48" s="31">
        <f>G48-D48</f>
        <v>0.37439999999999785</v>
      </c>
      <c r="I48" s="32">
        <f>IF(ISERROR(H48/D48),0,(H48/D48))</f>
        <v>1.2116149855099191E-2</v>
      </c>
      <c r="J48" s="32"/>
      <c r="K48" s="60">
        <f>G48/$G$51</f>
        <v>0.12380952380952381</v>
      </c>
    </row>
    <row r="49" spans="1:11" x14ac:dyDescent="0.2">
      <c r="A49" s="151" t="s">
        <v>107</v>
      </c>
      <c r="B49" s="29"/>
      <c r="C49" s="30"/>
      <c r="D49" s="30">
        <f>SUM(D47:D48)</f>
        <v>268.60017736000003</v>
      </c>
      <c r="E49" s="30"/>
      <c r="F49" s="30"/>
      <c r="G49" s="30">
        <f>SUM(G47:G48)</f>
        <v>271.85457736000001</v>
      </c>
      <c r="H49" s="30">
        <f>G49-D49</f>
        <v>3.2543999999999755</v>
      </c>
      <c r="I49" s="33">
        <f>IF(ISERROR(H49/D49),0,(H49/D49))</f>
        <v>1.211614985509917E-2</v>
      </c>
      <c r="J49" s="33"/>
      <c r="K49" s="62">
        <f>G49/$G$51</f>
        <v>1.0761904761904761</v>
      </c>
    </row>
    <row r="50" spans="1:11" x14ac:dyDescent="0.2">
      <c r="A50" s="58" t="s">
        <v>104</v>
      </c>
      <c r="B50" s="59"/>
      <c r="C50" s="31">
        <v>-0.08</v>
      </c>
      <c r="D50" s="31">
        <f>D47*C50</f>
        <v>-19.01594176</v>
      </c>
      <c r="E50" s="31"/>
      <c r="F50" s="31">
        <f>C50</f>
        <v>-0.08</v>
      </c>
      <c r="G50" s="31">
        <f>G47*F50</f>
        <v>-19.24634176</v>
      </c>
      <c r="H50" s="31">
        <f>G50-D50</f>
        <v>-0.23039999999999949</v>
      </c>
      <c r="I50" s="32">
        <f>IF(ISERROR(H50/D50),0,(H50/D50))</f>
        <v>1.2116149855099234E-2</v>
      </c>
      <c r="J50" s="32"/>
      <c r="K50" s="60">
        <f>G50/$G$51</f>
        <v>-7.6190476190476183E-2</v>
      </c>
    </row>
    <row r="51" spans="1:11" ht="13.5" thickBot="1" x14ac:dyDescent="0.25">
      <c r="A51" s="63" t="s">
        <v>116</v>
      </c>
      <c r="B51" s="64"/>
      <c r="C51" s="65"/>
      <c r="D51" s="65">
        <f>SUM(D49:D50)</f>
        <v>249.58423560000003</v>
      </c>
      <c r="E51" s="65"/>
      <c r="F51" s="65"/>
      <c r="G51" s="65">
        <f>SUM(G49:G50)</f>
        <v>252.6082356</v>
      </c>
      <c r="H51" s="65">
        <f>G51-D51</f>
        <v>3.0239999999999725</v>
      </c>
      <c r="I51" s="66">
        <f>IF(ISERROR(H51/D51),0,(H51/D51))</f>
        <v>1.2116149855099151E-2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9"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1" tint="0.499984740745262"/>
    <pageSetUpPr fitToPage="1"/>
  </sheetPr>
  <dimension ref="A1:K68"/>
  <sheetViews>
    <sheetView tabSelected="1" view="pageBreakPreview"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119</v>
      </c>
      <c r="B1" s="188"/>
      <c r="C1" s="188"/>
      <c r="D1" s="188"/>
      <c r="E1" s="188"/>
      <c r="F1" s="188"/>
      <c r="G1" s="188"/>
      <c r="H1" s="188"/>
      <c r="I1" s="188"/>
      <c r="J1" s="188"/>
      <c r="K1" s="189"/>
    </row>
    <row r="3" spans="1:11" x14ac:dyDescent="0.2">
      <c r="A3" s="13" t="s">
        <v>13</v>
      </c>
      <c r="B3" s="13" t="s">
        <v>4</v>
      </c>
    </row>
    <row r="4" spans="1:11" x14ac:dyDescent="0.2">
      <c r="A4" s="15" t="s">
        <v>62</v>
      </c>
      <c r="B4" s="15">
        <v>2000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2192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0.16083870241446135</v>
      </c>
      <c r="K12" s="106"/>
    </row>
    <row r="13" spans="1:11" x14ac:dyDescent="0.2">
      <c r="A13" s="107" t="s">
        <v>32</v>
      </c>
      <c r="B13" s="73">
        <f>IF(B4&gt;B7,(B4)-B7,0)</f>
        <v>1250</v>
      </c>
      <c r="C13" s="21">
        <v>0.121</v>
      </c>
      <c r="D13" s="22">
        <f>B13*C13</f>
        <v>151.25</v>
      </c>
      <c r="E13" s="73">
        <f t="shared" ref="E13" si="0">B13</f>
        <v>1250</v>
      </c>
      <c r="F13" s="21">
        <f>C13</f>
        <v>0.121</v>
      </c>
      <c r="G13" s="22">
        <f>E13*F13</f>
        <v>151.25</v>
      </c>
      <c r="H13" s="22">
        <f t="shared" ref="H13:H46" si="1">G13-D13</f>
        <v>0</v>
      </c>
      <c r="I13" s="23">
        <f t="shared" ref="I13:I46" si="2">IF(ISERROR(H13/D13),0,(H13/D13))</f>
        <v>0</v>
      </c>
      <c r="J13" s="23">
        <f>G13/$G$46</f>
        <v>0.31491072802831427</v>
      </c>
      <c r="K13" s="108"/>
    </row>
    <row r="14" spans="1:11" s="1" customFormat="1" x14ac:dyDescent="0.2">
      <c r="A14" s="46" t="s">
        <v>33</v>
      </c>
      <c r="B14" s="24"/>
      <c r="C14" s="25"/>
      <c r="D14" s="25">
        <f>SUM(D12:D13)</f>
        <v>228.5</v>
      </c>
      <c r="E14" s="76"/>
      <c r="F14" s="25"/>
      <c r="G14" s="25">
        <f>SUM(G12:G13)</f>
        <v>228.5</v>
      </c>
      <c r="H14" s="25">
        <f t="shared" si="1"/>
        <v>0</v>
      </c>
      <c r="I14" s="27">
        <f t="shared" si="2"/>
        <v>0</v>
      </c>
      <c r="J14" s="27">
        <f>G14/$G$46</f>
        <v>0.47574943044277562</v>
      </c>
      <c r="K14" s="108"/>
    </row>
    <row r="15" spans="1:11" s="1" customFormat="1" x14ac:dyDescent="0.2">
      <c r="A15" s="109" t="s">
        <v>34</v>
      </c>
      <c r="B15" s="75">
        <f>B4*0.65</f>
        <v>1300</v>
      </c>
      <c r="C15" s="28">
        <v>8.6999999999999994E-2</v>
      </c>
      <c r="D15" s="22">
        <f>B15*C15</f>
        <v>113.1</v>
      </c>
      <c r="E15" s="73">
        <f t="shared" ref="E15:F17" si="3">B15</f>
        <v>1300</v>
      </c>
      <c r="F15" s="28">
        <f t="shared" si="3"/>
        <v>8.6999999999999994E-2</v>
      </c>
      <c r="G15" s="22">
        <f>E15*F15</f>
        <v>113.1</v>
      </c>
      <c r="H15" s="22">
        <f t="shared" si="1"/>
        <v>0</v>
      </c>
      <c r="I15" s="23">
        <f t="shared" si="2"/>
        <v>0</v>
      </c>
      <c r="J15" s="23"/>
      <c r="K15" s="108">
        <f t="shared" ref="K15:K26" si="4">G15/$G$51</f>
        <v>0.23944034663991109</v>
      </c>
    </row>
    <row r="16" spans="1:11" s="1" customFormat="1" x14ac:dyDescent="0.2">
      <c r="A16" s="109" t="s">
        <v>35</v>
      </c>
      <c r="B16" s="75">
        <f>B4*0.17</f>
        <v>340</v>
      </c>
      <c r="C16" s="28">
        <v>0.13200000000000001</v>
      </c>
      <c r="D16" s="22">
        <f>B16*C16</f>
        <v>44.88</v>
      </c>
      <c r="E16" s="73">
        <f t="shared" si="3"/>
        <v>340</v>
      </c>
      <c r="F16" s="28">
        <f t="shared" si="3"/>
        <v>0.13200000000000001</v>
      </c>
      <c r="G16" s="22">
        <f>E16*F16</f>
        <v>44.88</v>
      </c>
      <c r="H16" s="22">
        <f t="shared" si="1"/>
        <v>0</v>
      </c>
      <c r="I16" s="23">
        <f t="shared" si="2"/>
        <v>0</v>
      </c>
      <c r="J16" s="23"/>
      <c r="K16" s="108">
        <f t="shared" si="4"/>
        <v>9.5013994316527059E-2</v>
      </c>
    </row>
    <row r="17" spans="1:11" s="1" customFormat="1" x14ac:dyDescent="0.2">
      <c r="A17" s="109" t="s">
        <v>36</v>
      </c>
      <c r="B17" s="75">
        <f>B4*0.18</f>
        <v>360</v>
      </c>
      <c r="C17" s="28">
        <v>0.18</v>
      </c>
      <c r="D17" s="22">
        <f>B17*C17</f>
        <v>64.8</v>
      </c>
      <c r="E17" s="73">
        <f t="shared" si="3"/>
        <v>360</v>
      </c>
      <c r="F17" s="28">
        <f t="shared" si="3"/>
        <v>0.18</v>
      </c>
      <c r="G17" s="22">
        <f>E17*F17</f>
        <v>64.8</v>
      </c>
      <c r="H17" s="22">
        <f t="shared" si="1"/>
        <v>0</v>
      </c>
      <c r="I17" s="23">
        <f t="shared" si="2"/>
        <v>0</v>
      </c>
      <c r="J17" s="23"/>
      <c r="K17" s="108">
        <f t="shared" si="4"/>
        <v>0.1371859810987289</v>
      </c>
    </row>
    <row r="18" spans="1:11" s="1" customFormat="1" x14ac:dyDescent="0.2">
      <c r="A18" s="61" t="s">
        <v>37</v>
      </c>
      <c r="B18" s="29"/>
      <c r="C18" s="30"/>
      <c r="D18" s="30">
        <f>SUM(D15:D17)</f>
        <v>222.77999999999997</v>
      </c>
      <c r="E18" s="77"/>
      <c r="F18" s="30"/>
      <c r="G18" s="30">
        <f>SUM(G15:G17)</f>
        <v>222.77999999999997</v>
      </c>
      <c r="H18" s="31">
        <f t="shared" si="1"/>
        <v>0</v>
      </c>
      <c r="I18" s="32">
        <f t="shared" si="2"/>
        <v>0</v>
      </c>
      <c r="J18" s="33">
        <f t="shared" ref="J18:J23" si="5">G18/$G$46</f>
        <v>0.4638400792737048</v>
      </c>
      <c r="K18" s="62">
        <f t="shared" si="4"/>
        <v>0.47164032205516704</v>
      </c>
    </row>
    <row r="19" spans="1:11" x14ac:dyDescent="0.2">
      <c r="A19" s="107" t="s">
        <v>38</v>
      </c>
      <c r="B19" s="73">
        <v>1</v>
      </c>
      <c r="C19" s="78">
        <f>VLOOKUP($B$3,'Data for Bill Impacts'!$A$3:$Y$15,7,0)</f>
        <v>29.68</v>
      </c>
      <c r="D19" s="22">
        <f>B19*C19</f>
        <v>29.68</v>
      </c>
      <c r="E19" s="73">
        <f t="shared" ref="E19:E41" si="6">B19</f>
        <v>1</v>
      </c>
      <c r="F19" s="122">
        <f>VLOOKUP($B$3,'Data for Bill Impacts'!$A$3:$Y$15,17,0)</f>
        <v>30.26</v>
      </c>
      <c r="G19" s="22">
        <f>E19*F19</f>
        <v>30.26</v>
      </c>
      <c r="H19" s="22">
        <f t="shared" si="1"/>
        <v>0.58000000000000185</v>
      </c>
      <c r="I19" s="23">
        <f t="shared" si="2"/>
        <v>1.9541778975741303E-2</v>
      </c>
      <c r="J19" s="23">
        <f t="shared" si="5"/>
        <v>6.3002966149664733E-2</v>
      </c>
      <c r="K19" s="108">
        <f t="shared" si="4"/>
        <v>6.4062465864931126E-2</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110</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2000</v>
      </c>
      <c r="C23" s="78">
        <f>VLOOKUP($B$3,'Data for Bill Impacts'!$A$3:$Y$15,10,0)</f>
        <v>5.91E-2</v>
      </c>
      <c r="D23" s="22">
        <f>B23*C23</f>
        <v>118.2</v>
      </c>
      <c r="E23" s="73">
        <f t="shared" si="6"/>
        <v>2000</v>
      </c>
      <c r="F23" s="78">
        <f>VLOOKUP($B$3,'Data for Bill Impacts'!$A$3:$Y$15,19,0)</f>
        <v>6.1400000000000003E-2</v>
      </c>
      <c r="G23" s="22">
        <f>E23*F23</f>
        <v>122.80000000000001</v>
      </c>
      <c r="H23" s="22">
        <f t="shared" si="1"/>
        <v>4.6000000000000085</v>
      </c>
      <c r="I23" s="23">
        <f t="shared" si="2"/>
        <v>3.8917089678511069E-2</v>
      </c>
      <c r="J23" s="23">
        <f t="shared" si="5"/>
        <v>0.25567628034298839</v>
      </c>
      <c r="K23" s="108">
        <f t="shared" si="4"/>
        <v>0.25997590245252949</v>
      </c>
    </row>
    <row r="24" spans="1:11" x14ac:dyDescent="0.2">
      <c r="A24" s="107" t="s">
        <v>122</v>
      </c>
      <c r="B24" s="73">
        <f>IF($B$9="kWh",$B$4,$B$5)</f>
        <v>2000</v>
      </c>
      <c r="C24" s="126">
        <f>VLOOKUP($B$3,'Data for Bill Impacts'!$A$3:$Y$15,14,0)</f>
        <v>2.0000000000000001E-4</v>
      </c>
      <c r="D24" s="22">
        <f>B24*C24</f>
        <v>0.4</v>
      </c>
      <c r="E24" s="73">
        <f t="shared" si="6"/>
        <v>2000</v>
      </c>
      <c r="F24" s="126">
        <f>VLOOKUP($B$3,'Data for Bill Impacts'!$A$3:$Y$15,23,0)</f>
        <v>2.0000000000000001E-4</v>
      </c>
      <c r="G24" s="22">
        <f>E24*F24</f>
        <v>0.4</v>
      </c>
      <c r="H24" s="22">
        <f t="shared" si="1"/>
        <v>0</v>
      </c>
      <c r="I24" s="23">
        <f>IF(ISERROR(H24/D24),0,(H24/D24))</f>
        <v>0</v>
      </c>
      <c r="J24" s="23">
        <f t="shared" ref="J24" si="9">G24/$G$46</f>
        <v>8.3282176007488083E-4</v>
      </c>
      <c r="K24" s="108">
        <f t="shared" si="4"/>
        <v>8.4682704381931436E-4</v>
      </c>
    </row>
    <row r="25" spans="1:11" s="1" customFormat="1" x14ac:dyDescent="0.2">
      <c r="A25" s="110" t="s">
        <v>72</v>
      </c>
      <c r="B25" s="74"/>
      <c r="C25" s="35"/>
      <c r="D25" s="35">
        <f>SUM(D19:D24)</f>
        <v>148.28</v>
      </c>
      <c r="E25" s="73"/>
      <c r="F25" s="35"/>
      <c r="G25" s="35">
        <f>SUM(G19:G24)</f>
        <v>153.46</v>
      </c>
      <c r="H25" s="35">
        <f t="shared" si="1"/>
        <v>5.1800000000000068</v>
      </c>
      <c r="I25" s="36">
        <f t="shared" si="2"/>
        <v>3.4933908821149225E-2</v>
      </c>
      <c r="J25" s="36">
        <f>G25/$G$46</f>
        <v>0.31951206825272804</v>
      </c>
      <c r="K25" s="111">
        <f t="shared" si="4"/>
        <v>0.32488519536127991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1.6448229761478895E-3</v>
      </c>
      <c r="K26" s="108">
        <f t="shared" si="4"/>
        <v>1.6724834115431457E-3</v>
      </c>
    </row>
    <row r="27" spans="1:11" s="1" customFormat="1" x14ac:dyDescent="0.2">
      <c r="A27" s="119" t="s">
        <v>75</v>
      </c>
      <c r="B27" s="120">
        <f>B8-B4</f>
        <v>192</v>
      </c>
      <c r="C27" s="121">
        <f>IF(B4&gt;B7,C13,C12)</f>
        <v>0.121</v>
      </c>
      <c r="D27" s="22">
        <f>B27*C27</f>
        <v>23.231999999999999</v>
      </c>
      <c r="E27" s="73">
        <f>B27</f>
        <v>192</v>
      </c>
      <c r="F27" s="121">
        <f>C27</f>
        <v>0.121</v>
      </c>
      <c r="G27" s="22">
        <f>E27*F27</f>
        <v>23.231999999999999</v>
      </c>
      <c r="H27" s="22">
        <f t="shared" si="1"/>
        <v>0</v>
      </c>
      <c r="I27" s="23">
        <f>IF(ISERROR(H27/D27),0,(H27/D27))</f>
        <v>0</v>
      </c>
      <c r="J27" s="23">
        <f t="shared" ref="J27:J46" si="10">G27/$G$46</f>
        <v>4.8370287825149072E-2</v>
      </c>
      <c r="K27" s="108">
        <f t="shared" ref="K27:K41" si="11">G27/$G$51</f>
        <v>4.918371470502577E-2</v>
      </c>
    </row>
    <row r="28" spans="1:11" s="1" customFormat="1" x14ac:dyDescent="0.2">
      <c r="A28" s="119" t="s">
        <v>74</v>
      </c>
      <c r="B28" s="120">
        <f>B8-B4</f>
        <v>192</v>
      </c>
      <c r="C28" s="121">
        <f>0.65*C15+0.17*C16+0.18*C17</f>
        <v>0.11139</v>
      </c>
      <c r="D28" s="22">
        <f>B28*C28</f>
        <v>21.386880000000001</v>
      </c>
      <c r="E28" s="73">
        <f>B28</f>
        <v>192</v>
      </c>
      <c r="F28" s="121">
        <f>C28</f>
        <v>0.11139</v>
      </c>
      <c r="G28" s="22">
        <f>E28*F28</f>
        <v>21.386880000000001</v>
      </c>
      <c r="H28" s="22">
        <f t="shared" si="1"/>
        <v>0</v>
      </c>
      <c r="I28" s="23">
        <f>IF(ISERROR(H28/D28),0,(H28/D28))</f>
        <v>0</v>
      </c>
      <c r="J28" s="23">
        <f t="shared" si="10"/>
        <v>4.4528647610275668E-2</v>
      </c>
      <c r="K28" s="108">
        <f t="shared" si="11"/>
        <v>4.5277470917296045E-2</v>
      </c>
    </row>
    <row r="29" spans="1:11" s="1" customFormat="1" x14ac:dyDescent="0.2">
      <c r="A29" s="110" t="s">
        <v>78</v>
      </c>
      <c r="B29" s="74"/>
      <c r="C29" s="35"/>
      <c r="D29" s="35">
        <f>SUM(D25,D26:D27)</f>
        <v>172.30199999999999</v>
      </c>
      <c r="E29" s="73"/>
      <c r="F29" s="35"/>
      <c r="G29" s="35">
        <f>SUM(G25,G26:G27)</f>
        <v>177.482</v>
      </c>
      <c r="H29" s="35">
        <f t="shared" si="1"/>
        <v>5.1800000000000068</v>
      </c>
      <c r="I29" s="36">
        <f>IF(ISERROR(H29/D29),0,(H29/D29))</f>
        <v>3.0063493168970803E-2</v>
      </c>
      <c r="J29" s="36">
        <f t="shared" si="10"/>
        <v>0.36952717905402499</v>
      </c>
      <c r="K29" s="111">
        <f t="shared" si="11"/>
        <v>0.37574139347784885</v>
      </c>
    </row>
    <row r="30" spans="1:11" s="1" customFormat="1" x14ac:dyDescent="0.2">
      <c r="A30" s="110" t="s">
        <v>77</v>
      </c>
      <c r="B30" s="74"/>
      <c r="C30" s="35"/>
      <c r="D30" s="35">
        <f>SUM(D25,D26,D28)</f>
        <v>170.45687999999998</v>
      </c>
      <c r="E30" s="73"/>
      <c r="F30" s="35"/>
      <c r="G30" s="35">
        <f>SUM(G25,G26,G28)</f>
        <v>175.63687999999999</v>
      </c>
      <c r="H30" s="35">
        <f t="shared" si="1"/>
        <v>5.1800000000000068</v>
      </c>
      <c r="I30" s="36">
        <f>IF(ISERROR(H30/D30),0,(H30/D30))</f>
        <v>3.038891712672441E-2</v>
      </c>
      <c r="J30" s="36">
        <f t="shared" si="10"/>
        <v>0.36568553883915156</v>
      </c>
      <c r="K30" s="111">
        <f t="shared" si="11"/>
        <v>0.3718351496901191</v>
      </c>
    </row>
    <row r="31" spans="1:11" x14ac:dyDescent="0.2">
      <c r="A31" s="107" t="s">
        <v>40</v>
      </c>
      <c r="B31" s="73">
        <f>B8</f>
        <v>2192</v>
      </c>
      <c r="C31" s="126">
        <f>VLOOKUP($B$3,'Data for Bill Impacts'!$A$3:$Y$15,15,0)</f>
        <v>5.6930000000000001E-3</v>
      </c>
      <c r="D31" s="22">
        <f>B31*C31</f>
        <v>12.479056</v>
      </c>
      <c r="E31" s="73">
        <f t="shared" si="6"/>
        <v>2192</v>
      </c>
      <c r="F31" s="126">
        <f>VLOOKUP($B$3,'Data for Bill Impacts'!$A$3:$Y$15,24,0)</f>
        <v>5.6930000000000001E-3</v>
      </c>
      <c r="G31" s="22">
        <f>E31*F31</f>
        <v>12.479056</v>
      </c>
      <c r="H31" s="22">
        <f t="shared" si="1"/>
        <v>0</v>
      </c>
      <c r="I31" s="23">
        <f t="shared" si="2"/>
        <v>0</v>
      </c>
      <c r="J31" s="23">
        <f t="shared" si="10"/>
        <v>2.5982073454982501E-2</v>
      </c>
      <c r="K31" s="108">
        <f t="shared" si="11"/>
        <v>2.641900525533919E-2</v>
      </c>
    </row>
    <row r="32" spans="1:11" x14ac:dyDescent="0.2">
      <c r="A32" s="107" t="s">
        <v>41</v>
      </c>
      <c r="B32" s="73">
        <f>B8</f>
        <v>2192</v>
      </c>
      <c r="C32" s="126">
        <f>VLOOKUP($B$3,'Data for Bill Impacts'!$A$3:$Y$15,16,0)</f>
        <v>4.4740000000000005E-3</v>
      </c>
      <c r="D32" s="22">
        <f>B32*C32</f>
        <v>9.8070080000000015</v>
      </c>
      <c r="E32" s="73">
        <f t="shared" si="6"/>
        <v>2192</v>
      </c>
      <c r="F32" s="126">
        <f>VLOOKUP($B$3,'Data for Bill Impacts'!$A$3:$Y$15,25,0)</f>
        <v>4.4740000000000005E-3</v>
      </c>
      <c r="G32" s="22">
        <f>E32*F32</f>
        <v>9.8070080000000015</v>
      </c>
      <c r="H32" s="22">
        <f t="shared" si="1"/>
        <v>0</v>
      </c>
      <c r="I32" s="23">
        <f t="shared" si="2"/>
        <v>0</v>
      </c>
      <c r="J32" s="23">
        <f t="shared" si="10"/>
        <v>2.0418724159071092E-2</v>
      </c>
      <c r="K32" s="108">
        <f t="shared" si="11"/>
        <v>2.0762098983380918E-2</v>
      </c>
    </row>
    <row r="33" spans="1:11" s="1" customFormat="1" x14ac:dyDescent="0.2">
      <c r="A33" s="110" t="s">
        <v>76</v>
      </c>
      <c r="B33" s="74"/>
      <c r="C33" s="35"/>
      <c r="D33" s="35">
        <f>SUM(D31:D32)</f>
        <v>22.286064000000003</v>
      </c>
      <c r="E33" s="73"/>
      <c r="F33" s="35"/>
      <c r="G33" s="35">
        <f>SUM(G31:G32)</f>
        <v>22.286064000000003</v>
      </c>
      <c r="H33" s="35">
        <f t="shared" si="1"/>
        <v>0</v>
      </c>
      <c r="I33" s="36">
        <f t="shared" si="2"/>
        <v>0</v>
      </c>
      <c r="J33" s="36">
        <f t="shared" si="10"/>
        <v>4.64007976140536E-2</v>
      </c>
      <c r="K33" s="111">
        <f t="shared" si="11"/>
        <v>4.7181104238720115E-2</v>
      </c>
    </row>
    <row r="34" spans="1:11" s="1" customFormat="1" x14ac:dyDescent="0.2">
      <c r="A34" s="110" t="s">
        <v>91</v>
      </c>
      <c r="B34" s="74"/>
      <c r="C34" s="35"/>
      <c r="D34" s="35">
        <f>D29+D33</f>
        <v>194.588064</v>
      </c>
      <c r="E34" s="73"/>
      <c r="F34" s="35"/>
      <c r="G34" s="35">
        <f>G29+G33</f>
        <v>199.76806400000001</v>
      </c>
      <c r="H34" s="35">
        <f t="shared" si="1"/>
        <v>5.1800000000000068</v>
      </c>
      <c r="I34" s="36">
        <f t="shared" si="2"/>
        <v>2.6620337822981819E-2</v>
      </c>
      <c r="J34" s="36">
        <f t="shared" si="10"/>
        <v>0.41592797666807857</v>
      </c>
      <c r="K34" s="111">
        <f t="shared" si="11"/>
        <v>0.42292249771656898</v>
      </c>
    </row>
    <row r="35" spans="1:11" s="1" customFormat="1" x14ac:dyDescent="0.2">
      <c r="A35" s="110" t="s">
        <v>92</v>
      </c>
      <c r="B35" s="74"/>
      <c r="C35" s="35"/>
      <c r="D35" s="35">
        <f>D30+D33</f>
        <v>192.74294399999999</v>
      </c>
      <c r="E35" s="73"/>
      <c r="F35" s="35"/>
      <c r="G35" s="35">
        <f>G30+G33</f>
        <v>197.922944</v>
      </c>
      <c r="H35" s="35">
        <f t="shared" si="1"/>
        <v>5.1800000000000068</v>
      </c>
      <c r="I35" s="36">
        <f t="shared" si="2"/>
        <v>2.6875173184031095E-2</v>
      </c>
      <c r="J35" s="36">
        <f t="shared" si="10"/>
        <v>0.41208633645320514</v>
      </c>
      <c r="K35" s="111">
        <f t="shared" si="11"/>
        <v>0.41901625392883923</v>
      </c>
    </row>
    <row r="36" spans="1:11" x14ac:dyDescent="0.2">
      <c r="A36" s="107" t="s">
        <v>42</v>
      </c>
      <c r="B36" s="73">
        <f>B8</f>
        <v>2192</v>
      </c>
      <c r="C36" s="34">
        <v>3.5999999999999999E-3</v>
      </c>
      <c r="D36" s="22">
        <f>B36*C36</f>
        <v>7.8911999999999995</v>
      </c>
      <c r="E36" s="73">
        <f t="shared" si="6"/>
        <v>2192</v>
      </c>
      <c r="F36" s="34">
        <v>3.5999999999999999E-3</v>
      </c>
      <c r="G36" s="22">
        <f>E36*F36</f>
        <v>7.8911999999999995</v>
      </c>
      <c r="H36" s="22">
        <f t="shared" si="1"/>
        <v>0</v>
      </c>
      <c r="I36" s="23">
        <f t="shared" si="2"/>
        <v>0</v>
      </c>
      <c r="J36" s="23">
        <f t="shared" si="10"/>
        <v>1.6429907682757247E-2</v>
      </c>
      <c r="K36" s="108">
        <f t="shared" si="11"/>
        <v>1.6706203920467431E-2</v>
      </c>
    </row>
    <row r="37" spans="1:11" x14ac:dyDescent="0.2">
      <c r="A37" s="107" t="s">
        <v>43</v>
      </c>
      <c r="B37" s="73">
        <f>B8</f>
        <v>2192</v>
      </c>
      <c r="C37" s="34">
        <v>2.0999999999999999E-3</v>
      </c>
      <c r="D37" s="22">
        <f>B37*C37</f>
        <v>4.6031999999999993</v>
      </c>
      <c r="E37" s="73">
        <f t="shared" si="6"/>
        <v>2192</v>
      </c>
      <c r="F37" s="34">
        <v>2.0999999999999999E-3</v>
      </c>
      <c r="G37" s="22">
        <f>E37*F37</f>
        <v>4.6031999999999993</v>
      </c>
      <c r="H37" s="22">
        <f>G37-D37</f>
        <v>0</v>
      </c>
      <c r="I37" s="23">
        <f t="shared" si="2"/>
        <v>0</v>
      </c>
      <c r="J37" s="23">
        <f t="shared" si="10"/>
        <v>9.5841128149417257E-3</v>
      </c>
      <c r="K37" s="108">
        <f t="shared" si="11"/>
        <v>9.7452856202726677E-3</v>
      </c>
    </row>
    <row r="38" spans="1:11" x14ac:dyDescent="0.2">
      <c r="A38" s="107" t="s">
        <v>96</v>
      </c>
      <c r="B38" s="73">
        <f>B8</f>
        <v>2192</v>
      </c>
      <c r="C38" s="34">
        <v>1.1000000000000001E-3</v>
      </c>
      <c r="D38" s="22">
        <f>B38*C38</f>
        <v>2.4112</v>
      </c>
      <c r="E38" s="73">
        <f t="shared" si="6"/>
        <v>2192</v>
      </c>
      <c r="F38" s="34">
        <v>1.1000000000000001E-3</v>
      </c>
      <c r="G38" s="22">
        <f>E38*F38</f>
        <v>2.4112</v>
      </c>
      <c r="H38" s="22">
        <f>G38-D38</f>
        <v>0</v>
      </c>
      <c r="I38" s="23">
        <f t="shared" ref="I38" si="12">IF(ISERROR(H38/D38),0,(H38/D38))</f>
        <v>0</v>
      </c>
      <c r="J38" s="23">
        <f t="shared" ref="J38" si="13">G38/$G$46</f>
        <v>5.0202495697313811E-3</v>
      </c>
      <c r="K38" s="108">
        <f t="shared" ref="K38" si="14">G38/$G$51</f>
        <v>5.1046734201428265E-3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5.2051360004680045E-4</v>
      </c>
      <c r="K39" s="108">
        <f t="shared" si="11"/>
        <v>5.2926690238707145E-4</v>
      </c>
    </row>
    <row r="40" spans="1:11" s="1" customFormat="1" x14ac:dyDescent="0.2">
      <c r="A40" s="110" t="s">
        <v>45</v>
      </c>
      <c r="B40" s="74"/>
      <c r="C40" s="35"/>
      <c r="D40" s="35">
        <f>SUM(D36:D39)</f>
        <v>15.1556</v>
      </c>
      <c r="E40" s="73"/>
      <c r="F40" s="35"/>
      <c r="G40" s="35">
        <f>SUM(G36:G39)</f>
        <v>15.1556</v>
      </c>
      <c r="H40" s="35">
        <f t="shared" si="1"/>
        <v>0</v>
      </c>
      <c r="I40" s="36">
        <f t="shared" si="2"/>
        <v>0</v>
      </c>
      <c r="J40" s="36">
        <f t="shared" si="10"/>
        <v>3.1554783667477153E-2</v>
      </c>
      <c r="K40" s="111">
        <f t="shared" si="11"/>
        <v>3.2085429863269996E-2</v>
      </c>
    </row>
    <row r="41" spans="1:11" s="1" customFormat="1" ht="13.5" thickBot="1" x14ac:dyDescent="0.25">
      <c r="A41" s="112" t="s">
        <v>46</v>
      </c>
      <c r="B41" s="113">
        <f>B4</f>
        <v>2000</v>
      </c>
      <c r="C41" s="114">
        <v>7.0000000000000001E-3</v>
      </c>
      <c r="D41" s="115">
        <f>B41*C41</f>
        <v>14</v>
      </c>
      <c r="E41" s="116">
        <f t="shared" si="6"/>
        <v>2000</v>
      </c>
      <c r="F41" s="114">
        <f>C41</f>
        <v>7.0000000000000001E-3</v>
      </c>
      <c r="G41" s="115">
        <f>E41*F41</f>
        <v>14</v>
      </c>
      <c r="H41" s="115">
        <f t="shared" si="1"/>
        <v>0</v>
      </c>
      <c r="I41" s="117">
        <f t="shared" si="2"/>
        <v>0</v>
      </c>
      <c r="J41" s="117">
        <f t="shared" si="10"/>
        <v>2.9148761602620827E-2</v>
      </c>
      <c r="K41" s="118">
        <f t="shared" si="11"/>
        <v>2.9638946533675999E-2</v>
      </c>
    </row>
    <row r="42" spans="1:11" s="1" customFormat="1" x14ac:dyDescent="0.2">
      <c r="A42" s="37" t="s">
        <v>101</v>
      </c>
      <c r="B42" s="38"/>
      <c r="C42" s="39"/>
      <c r="D42" s="39">
        <f>SUM(D14,D25,D26,D27,D33,D40,D41)</f>
        <v>452.24366400000002</v>
      </c>
      <c r="E42" s="38"/>
      <c r="F42" s="39"/>
      <c r="G42" s="39">
        <f>SUM(G14,G25,G26,G27,G33,G40,G41)</f>
        <v>457.42366400000009</v>
      </c>
      <c r="H42" s="39">
        <f t="shared" si="1"/>
        <v>5.1800000000000637</v>
      </c>
      <c r="I42" s="40">
        <f>IF(ISERROR(H42/D42),0,(H42/D42))</f>
        <v>1.1454002371606611E-2</v>
      </c>
      <c r="J42" s="40">
        <f t="shared" si="10"/>
        <v>0.95238095238095233</v>
      </c>
      <c r="K42" s="41"/>
    </row>
    <row r="43" spans="1:11" x14ac:dyDescent="0.2">
      <c r="A43" s="155" t="s">
        <v>102</v>
      </c>
      <c r="B43" s="43"/>
      <c r="C43" s="26">
        <v>0.13</v>
      </c>
      <c r="D43" s="26">
        <f>D42*C43</f>
        <v>58.791676320000008</v>
      </c>
      <c r="E43" s="26"/>
      <c r="F43" s="26">
        <f>C43</f>
        <v>0.13</v>
      </c>
      <c r="G43" s="26">
        <f>G42*F43</f>
        <v>59.465076320000016</v>
      </c>
      <c r="H43" s="26">
        <f t="shared" si="1"/>
        <v>0.67340000000000799</v>
      </c>
      <c r="I43" s="44">
        <f t="shared" si="2"/>
        <v>1.1454002371606606E-2</v>
      </c>
      <c r="J43" s="44">
        <f t="shared" si="10"/>
        <v>0.12380952380952381</v>
      </c>
      <c r="K43" s="45"/>
    </row>
    <row r="44" spans="1:11" s="1" customFormat="1" x14ac:dyDescent="0.2">
      <c r="A44" s="46" t="s">
        <v>103</v>
      </c>
      <c r="B44" s="24"/>
      <c r="C44" s="25"/>
      <c r="D44" s="25">
        <f>SUM(D42:D43)</f>
        <v>511.03534032000005</v>
      </c>
      <c r="E44" s="25"/>
      <c r="F44" s="25"/>
      <c r="G44" s="25">
        <f>SUM(G42:G43)</f>
        <v>516.88874032000012</v>
      </c>
      <c r="H44" s="25">
        <f t="shared" si="1"/>
        <v>5.8534000000000788</v>
      </c>
      <c r="I44" s="27">
        <f t="shared" si="2"/>
        <v>1.1454002371606624E-2</v>
      </c>
      <c r="J44" s="27">
        <f t="shared" si="10"/>
        <v>1.0761904761904761</v>
      </c>
      <c r="K44" s="47"/>
    </row>
    <row r="45" spans="1:11" x14ac:dyDescent="0.2">
      <c r="A45" s="42" t="s">
        <v>104</v>
      </c>
      <c r="B45" s="43"/>
      <c r="C45" s="26">
        <v>-0.08</v>
      </c>
      <c r="D45" s="26">
        <f>D42*C45</f>
        <v>-36.179493120000004</v>
      </c>
      <c r="E45" s="26"/>
      <c r="F45" s="26">
        <f>C45</f>
        <v>-0.08</v>
      </c>
      <c r="G45" s="26">
        <f>G42*F45</f>
        <v>-36.593893120000011</v>
      </c>
      <c r="H45" s="26">
        <f t="shared" si="1"/>
        <v>-0.41440000000000765</v>
      </c>
      <c r="I45" s="44">
        <f t="shared" si="2"/>
        <v>1.1454002371606681E-2</v>
      </c>
      <c r="J45" s="44">
        <f t="shared" si="10"/>
        <v>-7.6190476190476197E-2</v>
      </c>
      <c r="K45" s="45"/>
    </row>
    <row r="46" spans="1:11" s="1" customFormat="1" ht="13.5" thickBot="1" x14ac:dyDescent="0.25">
      <c r="A46" s="48" t="s">
        <v>105</v>
      </c>
      <c r="B46" s="49"/>
      <c r="C46" s="50"/>
      <c r="D46" s="50">
        <f>SUM(D44:D45)</f>
        <v>474.85584720000003</v>
      </c>
      <c r="E46" s="50"/>
      <c r="F46" s="50"/>
      <c r="G46" s="50">
        <f>SUM(G44:G45)</f>
        <v>480.29484720000011</v>
      </c>
      <c r="H46" s="50">
        <f t="shared" si="1"/>
        <v>5.4390000000000782</v>
      </c>
      <c r="I46" s="51">
        <f t="shared" si="2"/>
        <v>1.1454002371606636E-2</v>
      </c>
      <c r="J46" s="51">
        <f t="shared" si="10"/>
        <v>1</v>
      </c>
      <c r="K46" s="52"/>
    </row>
    <row r="47" spans="1:11" x14ac:dyDescent="0.2">
      <c r="A47" s="53" t="s">
        <v>106</v>
      </c>
      <c r="B47" s="54"/>
      <c r="C47" s="55"/>
      <c r="D47" s="55">
        <f>SUM(D18,D25,D26,D28,D33,D40,D41)</f>
        <v>444.67854399999999</v>
      </c>
      <c r="E47" s="55"/>
      <c r="F47" s="55"/>
      <c r="G47" s="55">
        <f>SUM(G18,G25,G26,G28,G33,G40,G41)</f>
        <v>449.85854400000005</v>
      </c>
      <c r="H47" s="55">
        <f>G47-D47</f>
        <v>5.1800000000000637</v>
      </c>
      <c r="I47" s="56">
        <f>IF(ISERROR(H47/D47),0,(H47/D47))</f>
        <v>1.1648864263619753E-2</v>
      </c>
      <c r="J47" s="56"/>
      <c r="K47" s="57">
        <f>G47/$G$51</f>
        <v>0.95238095238095244</v>
      </c>
    </row>
    <row r="48" spans="1:11" x14ac:dyDescent="0.2">
      <c r="A48" s="58" t="s">
        <v>102</v>
      </c>
      <c r="B48" s="59"/>
      <c r="C48" s="31">
        <v>0.13</v>
      </c>
      <c r="D48" s="31">
        <f>D47*C48</f>
        <v>57.808210719999998</v>
      </c>
      <c r="E48" s="31"/>
      <c r="F48" s="31">
        <f>C48</f>
        <v>0.13</v>
      </c>
      <c r="G48" s="31">
        <f>G47*F48</f>
        <v>58.481610720000006</v>
      </c>
      <c r="H48" s="31">
        <f>G48-D48</f>
        <v>0.67340000000000799</v>
      </c>
      <c r="I48" s="32">
        <f>IF(ISERROR(H48/D48),0,(H48/D48))</f>
        <v>1.1648864263619748E-2</v>
      </c>
      <c r="J48" s="32"/>
      <c r="K48" s="60">
        <f>G48/$G$51</f>
        <v>0.12380952380952381</v>
      </c>
    </row>
    <row r="49" spans="1:11" x14ac:dyDescent="0.2">
      <c r="A49" s="151" t="s">
        <v>107</v>
      </c>
      <c r="B49" s="29"/>
      <c r="C49" s="30"/>
      <c r="D49" s="30">
        <f>SUM(D47:D48)</f>
        <v>502.48675471999996</v>
      </c>
      <c r="E49" s="30"/>
      <c r="F49" s="30"/>
      <c r="G49" s="30">
        <f>SUM(G47:G48)</f>
        <v>508.34015472000004</v>
      </c>
      <c r="H49" s="30">
        <f>G49-D49</f>
        <v>5.8534000000000788</v>
      </c>
      <c r="I49" s="33">
        <f>IF(ISERROR(H49/D49),0,(H49/D49))</f>
        <v>1.1648864263619767E-2</v>
      </c>
      <c r="J49" s="33"/>
      <c r="K49" s="62">
        <f>G49/$G$51</f>
        <v>1.0761904761904761</v>
      </c>
    </row>
    <row r="50" spans="1:11" x14ac:dyDescent="0.2">
      <c r="A50" s="58" t="s">
        <v>104</v>
      </c>
      <c r="B50" s="59"/>
      <c r="C50" s="31">
        <v>-0.08</v>
      </c>
      <c r="D50" s="31">
        <f>D47*C50</f>
        <v>-35.574283520000002</v>
      </c>
      <c r="E50" s="31"/>
      <c r="F50" s="31">
        <f>C50</f>
        <v>-0.08</v>
      </c>
      <c r="G50" s="31">
        <f>G47*F50</f>
        <v>-35.988683520000002</v>
      </c>
      <c r="H50" s="31">
        <f>G50-D50</f>
        <v>-0.41440000000000055</v>
      </c>
      <c r="I50" s="32">
        <f>IF(ISERROR(H50/D50),0,(H50/D50))</f>
        <v>1.1648864263619624E-2</v>
      </c>
      <c r="J50" s="32"/>
      <c r="K50" s="60">
        <f>G50/$G$51</f>
        <v>-7.6190476190476183E-2</v>
      </c>
    </row>
    <row r="51" spans="1:11" ht="13.5" thickBot="1" x14ac:dyDescent="0.25">
      <c r="A51" s="63" t="s">
        <v>116</v>
      </c>
      <c r="B51" s="64"/>
      <c r="C51" s="65"/>
      <c r="D51" s="65">
        <f>SUM(D49:D50)</f>
        <v>466.91247119999997</v>
      </c>
      <c r="E51" s="65"/>
      <c r="F51" s="65"/>
      <c r="G51" s="65">
        <f>SUM(G49:G50)</f>
        <v>472.35147120000005</v>
      </c>
      <c r="H51" s="65">
        <f>G51-D51</f>
        <v>5.4390000000000782</v>
      </c>
      <c r="I51" s="66">
        <f>IF(ISERROR(H51/D51),0,(H51/D51))</f>
        <v>1.1648864263619777E-2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9"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1" tint="0.499984740745262"/>
    <pageSetUpPr fitToPage="1"/>
  </sheetPr>
  <dimension ref="A1:K68"/>
  <sheetViews>
    <sheetView tabSelected="1" view="pageBreakPreview"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120</v>
      </c>
      <c r="B1" s="188"/>
      <c r="C1" s="188"/>
      <c r="D1" s="188"/>
      <c r="E1" s="188"/>
      <c r="F1" s="188"/>
      <c r="G1" s="188"/>
      <c r="H1" s="188"/>
      <c r="I1" s="188"/>
      <c r="J1" s="188"/>
      <c r="K1" s="189"/>
    </row>
    <row r="3" spans="1:11" x14ac:dyDescent="0.2">
      <c r="A3" s="13" t="s">
        <v>13</v>
      </c>
      <c r="B3" s="13" t="s">
        <v>4</v>
      </c>
    </row>
    <row r="4" spans="1:11" x14ac:dyDescent="0.2">
      <c r="A4" s="15" t="s">
        <v>62</v>
      </c>
      <c r="B4" s="169">
        <f>VLOOKUP(B3,'Data for Bill Impacts'!A19:D32,3,FALSE)</f>
        <v>1982</v>
      </c>
    </row>
    <row r="5" spans="1:11" x14ac:dyDescent="0.2">
      <c r="A5" s="15" t="s">
        <v>16</v>
      </c>
      <c r="B5" s="169">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69">
        <f>B4*B6</f>
        <v>2172.2720000000004</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0.16224206015694567</v>
      </c>
      <c r="K12" s="106"/>
    </row>
    <row r="13" spans="1:11" x14ac:dyDescent="0.2">
      <c r="A13" s="107" t="s">
        <v>32</v>
      </c>
      <c r="B13" s="73">
        <f>IF(B4&gt;B7,(B4)-B7,0)</f>
        <v>1232</v>
      </c>
      <c r="C13" s="21">
        <v>0.121</v>
      </c>
      <c r="D13" s="22">
        <f>B13*C13</f>
        <v>149.072</v>
      </c>
      <c r="E13" s="73">
        <f t="shared" ref="E13" si="0">B13</f>
        <v>1232</v>
      </c>
      <c r="F13" s="21">
        <f>C13</f>
        <v>0.121</v>
      </c>
      <c r="G13" s="22">
        <f>E13*F13</f>
        <v>149.072</v>
      </c>
      <c r="H13" s="22">
        <f t="shared" ref="H13:H46" si="1">G13-D13</f>
        <v>0</v>
      </c>
      <c r="I13" s="23">
        <f t="shared" ref="I13:I46" si="2">IF(ISERROR(H13/D13),0,(H13/D13))</f>
        <v>0</v>
      </c>
      <c r="J13" s="23">
        <f>G13/$G$46</f>
        <v>0.31308412157561433</v>
      </c>
      <c r="K13" s="108"/>
    </row>
    <row r="14" spans="1:11" s="1" customFormat="1" x14ac:dyDescent="0.2">
      <c r="A14" s="46" t="s">
        <v>33</v>
      </c>
      <c r="B14" s="24"/>
      <c r="C14" s="25"/>
      <c r="D14" s="25">
        <f>SUM(D12:D13)</f>
        <v>226.322</v>
      </c>
      <c r="E14" s="76"/>
      <c r="F14" s="25"/>
      <c r="G14" s="25">
        <f>SUM(G12:G13)</f>
        <v>226.322</v>
      </c>
      <c r="H14" s="25">
        <f t="shared" si="1"/>
        <v>0</v>
      </c>
      <c r="I14" s="27">
        <f t="shared" si="2"/>
        <v>0</v>
      </c>
      <c r="J14" s="27">
        <f>G14/$G$46</f>
        <v>0.47532618173255997</v>
      </c>
      <c r="K14" s="108"/>
    </row>
    <row r="15" spans="1:11" s="1" customFormat="1" x14ac:dyDescent="0.2">
      <c r="A15" s="109" t="s">
        <v>34</v>
      </c>
      <c r="B15" s="75">
        <f>B4*0.65</f>
        <v>1288.3</v>
      </c>
      <c r="C15" s="28">
        <v>8.6999999999999994E-2</v>
      </c>
      <c r="D15" s="22">
        <f>B15*C15</f>
        <v>112.08209999999998</v>
      </c>
      <c r="E15" s="73">
        <f t="shared" ref="E15:F17" si="3">B15</f>
        <v>1288.3</v>
      </c>
      <c r="F15" s="28">
        <f t="shared" si="3"/>
        <v>8.6999999999999994E-2</v>
      </c>
      <c r="G15" s="22">
        <f>E15*F15</f>
        <v>112.08209999999998</v>
      </c>
      <c r="H15" s="22">
        <f t="shared" si="1"/>
        <v>0</v>
      </c>
      <c r="I15" s="23">
        <f t="shared" si="2"/>
        <v>0</v>
      </c>
      <c r="J15" s="23"/>
      <c r="K15" s="108">
        <f t="shared" ref="K15:K26" si="4">G15/$G$51</f>
        <v>0.23928914370718921</v>
      </c>
    </row>
    <row r="16" spans="1:11" s="1" customFormat="1" x14ac:dyDescent="0.2">
      <c r="A16" s="109" t="s">
        <v>35</v>
      </c>
      <c r="B16" s="75">
        <f>B4*0.17</f>
        <v>336.94</v>
      </c>
      <c r="C16" s="28">
        <v>0.13200000000000001</v>
      </c>
      <c r="D16" s="22">
        <f>B16*C16</f>
        <v>44.476080000000003</v>
      </c>
      <c r="E16" s="73">
        <f t="shared" si="3"/>
        <v>336.94</v>
      </c>
      <c r="F16" s="28">
        <f t="shared" si="3"/>
        <v>0.13200000000000001</v>
      </c>
      <c r="G16" s="22">
        <f>E16*F16</f>
        <v>44.476080000000003</v>
      </c>
      <c r="H16" s="22">
        <f t="shared" si="1"/>
        <v>0</v>
      </c>
      <c r="I16" s="23">
        <f t="shared" si="2"/>
        <v>0</v>
      </c>
      <c r="J16" s="23"/>
      <c r="K16" s="108">
        <f t="shared" si="4"/>
        <v>9.4953994425982791E-2</v>
      </c>
    </row>
    <row r="17" spans="1:11" s="1" customFormat="1" x14ac:dyDescent="0.2">
      <c r="A17" s="109" t="s">
        <v>36</v>
      </c>
      <c r="B17" s="75">
        <f>B4*0.18</f>
        <v>356.76</v>
      </c>
      <c r="C17" s="28">
        <v>0.18</v>
      </c>
      <c r="D17" s="22">
        <f>B17*C17</f>
        <v>64.216799999999992</v>
      </c>
      <c r="E17" s="73">
        <f t="shared" si="3"/>
        <v>356.76</v>
      </c>
      <c r="F17" s="28">
        <f t="shared" si="3"/>
        <v>0.18</v>
      </c>
      <c r="G17" s="22">
        <f>E17*F17</f>
        <v>64.216799999999992</v>
      </c>
      <c r="H17" s="22">
        <f t="shared" si="1"/>
        <v>0</v>
      </c>
      <c r="I17" s="23">
        <f t="shared" si="2"/>
        <v>0</v>
      </c>
      <c r="J17" s="23"/>
      <c r="K17" s="108">
        <f t="shared" si="4"/>
        <v>0.13709935024072378</v>
      </c>
    </row>
    <row r="18" spans="1:11" s="1" customFormat="1" x14ac:dyDescent="0.2">
      <c r="A18" s="61" t="s">
        <v>37</v>
      </c>
      <c r="B18" s="29"/>
      <c r="C18" s="30"/>
      <c r="D18" s="30">
        <f>SUM(D15:D17)</f>
        <v>220.77497999999997</v>
      </c>
      <c r="E18" s="77"/>
      <c r="F18" s="30"/>
      <c r="G18" s="30">
        <f>SUM(G15:G17)</f>
        <v>220.77497999999997</v>
      </c>
      <c r="H18" s="31">
        <f t="shared" si="1"/>
        <v>0</v>
      </c>
      <c r="I18" s="32">
        <f t="shared" si="2"/>
        <v>0</v>
      </c>
      <c r="J18" s="33">
        <f t="shared" ref="J18:J23" si="5">G18/$G$46</f>
        <v>0.46367621470949477</v>
      </c>
      <c r="K18" s="62">
        <f t="shared" si="4"/>
        <v>0.47134248837389581</v>
      </c>
    </row>
    <row r="19" spans="1:11" x14ac:dyDescent="0.2">
      <c r="A19" s="107" t="s">
        <v>38</v>
      </c>
      <c r="B19" s="73">
        <v>1</v>
      </c>
      <c r="C19" s="78">
        <f>VLOOKUP($B$3,'Data for Bill Impacts'!$A$3:$Y$15,7,0)</f>
        <v>29.68</v>
      </c>
      <c r="D19" s="22">
        <f>B19*C19</f>
        <v>29.68</v>
      </c>
      <c r="E19" s="73">
        <f t="shared" ref="E19:E41" si="6">B19</f>
        <v>1</v>
      </c>
      <c r="F19" s="78">
        <f>VLOOKUP($B$3,'Data for Bill Impacts'!$A$3:$Y$15,17,0)</f>
        <v>30.26</v>
      </c>
      <c r="G19" s="22">
        <f>E19*F19</f>
        <v>30.26</v>
      </c>
      <c r="H19" s="22">
        <f t="shared" si="1"/>
        <v>0.58000000000000185</v>
      </c>
      <c r="I19" s="23">
        <f t="shared" si="2"/>
        <v>1.9541778975741303E-2</v>
      </c>
      <c r="J19" s="23">
        <f t="shared" si="5"/>
        <v>6.3552682722966686E-2</v>
      </c>
      <c r="K19" s="108">
        <f t="shared" si="4"/>
        <v>6.4603442374648115E-2</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110</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1982</v>
      </c>
      <c r="C23" s="78">
        <f>VLOOKUP($B$3,'Data for Bill Impacts'!$A$3:$Y$15,10,0)</f>
        <v>5.91E-2</v>
      </c>
      <c r="D23" s="22">
        <f>B23*C23</f>
        <v>117.1362</v>
      </c>
      <c r="E23" s="73">
        <f t="shared" si="6"/>
        <v>1982</v>
      </c>
      <c r="F23" s="78">
        <f>VLOOKUP($B$3,'Data for Bill Impacts'!$A$3:$Y$15,19,0)</f>
        <v>6.1400000000000003E-2</v>
      </c>
      <c r="G23" s="22">
        <f>E23*F23</f>
        <v>121.6948</v>
      </c>
      <c r="H23" s="22">
        <f t="shared" si="1"/>
        <v>4.5585999999999984</v>
      </c>
      <c r="I23" s="23">
        <f t="shared" si="2"/>
        <v>3.8917089678510985E-2</v>
      </c>
      <c r="J23" s="23">
        <f t="shared" si="5"/>
        <v>0.25558595550016144</v>
      </c>
      <c r="K23" s="108">
        <f t="shared" si="4"/>
        <v>0.25981173162902599</v>
      </c>
    </row>
    <row r="24" spans="1:11" x14ac:dyDescent="0.2">
      <c r="A24" s="107" t="s">
        <v>122</v>
      </c>
      <c r="B24" s="73">
        <f>IF($B$9="kWh",$B$4,$B$5)</f>
        <v>1982</v>
      </c>
      <c r="C24" s="126">
        <f>VLOOKUP($B$3,'Data for Bill Impacts'!$A$3:$Y$15,14,0)</f>
        <v>2.0000000000000001E-4</v>
      </c>
      <c r="D24" s="22">
        <f>B24*C24</f>
        <v>0.39640000000000003</v>
      </c>
      <c r="E24" s="73">
        <f t="shared" si="6"/>
        <v>1982</v>
      </c>
      <c r="F24" s="126">
        <f>VLOOKUP($B$3,'Data for Bill Impacts'!$A$3:$Y$15,23,0)</f>
        <v>2.0000000000000001E-4</v>
      </c>
      <c r="G24" s="22">
        <f>E24*F24</f>
        <v>0.39640000000000003</v>
      </c>
      <c r="H24" s="22">
        <f t="shared" si="1"/>
        <v>0</v>
      </c>
      <c r="I24" s="23">
        <f>IF(ISERROR(H24/D24),0,(H24/D24))</f>
        <v>0</v>
      </c>
      <c r="J24" s="23">
        <f t="shared" ref="J24" si="9">G24/$G$46</f>
        <v>8.3252754234580282E-4</v>
      </c>
      <c r="K24" s="108">
        <f t="shared" si="4"/>
        <v>8.4629228543656686E-4</v>
      </c>
    </row>
    <row r="25" spans="1:11" s="1" customFormat="1" x14ac:dyDescent="0.2">
      <c r="A25" s="110" t="s">
        <v>72</v>
      </c>
      <c r="B25" s="74"/>
      <c r="C25" s="35"/>
      <c r="D25" s="35">
        <f>SUM(D19:D24)</f>
        <v>147.21260000000001</v>
      </c>
      <c r="E25" s="73"/>
      <c r="F25" s="35"/>
      <c r="G25" s="35">
        <f>SUM(G19:G24)</f>
        <v>152.35120000000001</v>
      </c>
      <c r="H25" s="35">
        <f t="shared" si="1"/>
        <v>5.1385999999999967</v>
      </c>
      <c r="I25" s="36">
        <f t="shared" si="2"/>
        <v>3.4905979515340371E-2</v>
      </c>
      <c r="J25" s="36">
        <f>G25/$G$46</f>
        <v>0.31997116576547396</v>
      </c>
      <c r="K25" s="111">
        <f t="shared" si="4"/>
        <v>0.32526146628911068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1.65917446632993E-3</v>
      </c>
      <c r="K26" s="108">
        <f t="shared" si="4"/>
        <v>1.6866067242555191E-3</v>
      </c>
    </row>
    <row r="27" spans="1:11" s="1" customFormat="1" x14ac:dyDescent="0.2">
      <c r="A27" s="119" t="s">
        <v>75</v>
      </c>
      <c r="B27" s="120">
        <f>B8-B4</f>
        <v>190.27200000000039</v>
      </c>
      <c r="C27" s="121">
        <f>IF(B4&gt;B7,C13,C12)</f>
        <v>0.121</v>
      </c>
      <c r="D27" s="22">
        <f>B27*C27</f>
        <v>23.022912000000048</v>
      </c>
      <c r="E27" s="73">
        <f>B27</f>
        <v>190.27200000000039</v>
      </c>
      <c r="F27" s="121">
        <f>C27</f>
        <v>0.121</v>
      </c>
      <c r="G27" s="22">
        <f>E27*F27</f>
        <v>23.022912000000048</v>
      </c>
      <c r="H27" s="22">
        <f t="shared" si="1"/>
        <v>0</v>
      </c>
      <c r="I27" s="23">
        <f>IF(ISERROR(H27/D27),0,(H27/D27))</f>
        <v>0</v>
      </c>
      <c r="J27" s="23">
        <f t="shared" ref="J27:J46" si="10">G27/$G$46</f>
        <v>4.8353199659444325E-2</v>
      </c>
      <c r="K27" s="108">
        <f t="shared" ref="K27:K41" si="11">G27/$G$51</f>
        <v>4.9152655938155897E-2</v>
      </c>
    </row>
    <row r="28" spans="1:11" s="1" customFormat="1" x14ac:dyDescent="0.2">
      <c r="A28" s="119" t="s">
        <v>74</v>
      </c>
      <c r="B28" s="120">
        <f>B8-B4</f>
        <v>190.27200000000039</v>
      </c>
      <c r="C28" s="121">
        <f>0.65*C15+0.17*C16+0.18*C17</f>
        <v>0.11139</v>
      </c>
      <c r="D28" s="22">
        <f>B28*C28</f>
        <v>21.194398080000045</v>
      </c>
      <c r="E28" s="73">
        <f>B28</f>
        <v>190.27200000000039</v>
      </c>
      <c r="F28" s="121">
        <f>C28</f>
        <v>0.11139</v>
      </c>
      <c r="G28" s="22">
        <f>E28*F28</f>
        <v>21.194398080000045</v>
      </c>
      <c r="H28" s="22">
        <f t="shared" si="1"/>
        <v>0</v>
      </c>
      <c r="I28" s="23">
        <f>IF(ISERROR(H28/D28),0,(H28/D28))</f>
        <v>0</v>
      </c>
      <c r="J28" s="23">
        <f t="shared" si="10"/>
        <v>4.4512916612111597E-2</v>
      </c>
      <c r="K28" s="108">
        <f t="shared" si="11"/>
        <v>4.5248878883894096E-2</v>
      </c>
    </row>
    <row r="29" spans="1:11" s="1" customFormat="1" x14ac:dyDescent="0.2">
      <c r="A29" s="110" t="s">
        <v>78</v>
      </c>
      <c r="B29" s="74"/>
      <c r="C29" s="35"/>
      <c r="D29" s="35">
        <f>SUM(D25,D26:D27)</f>
        <v>171.02551200000005</v>
      </c>
      <c r="E29" s="73"/>
      <c r="F29" s="35"/>
      <c r="G29" s="35">
        <f>SUM(G25,G26:G27)</f>
        <v>176.16411200000005</v>
      </c>
      <c r="H29" s="35">
        <f t="shared" si="1"/>
        <v>5.1385999999999967</v>
      </c>
      <c r="I29" s="36">
        <f>IF(ISERROR(H29/D29),0,(H29/D29))</f>
        <v>3.0045809773690344E-2</v>
      </c>
      <c r="J29" s="36">
        <f t="shared" si="10"/>
        <v>0.36998353989124816</v>
      </c>
      <c r="K29" s="111">
        <f t="shared" si="11"/>
        <v>0.37610072895152208</v>
      </c>
    </row>
    <row r="30" spans="1:11" s="1" customFormat="1" x14ac:dyDescent="0.2">
      <c r="A30" s="110" t="s">
        <v>77</v>
      </c>
      <c r="B30" s="74"/>
      <c r="C30" s="35"/>
      <c r="D30" s="35">
        <f>SUM(D25,D26,D28)</f>
        <v>169.19699808000004</v>
      </c>
      <c r="E30" s="73"/>
      <c r="F30" s="35"/>
      <c r="G30" s="35">
        <f>SUM(G25,G26,G28)</f>
        <v>174.33559808000004</v>
      </c>
      <c r="H30" s="35">
        <f t="shared" si="1"/>
        <v>5.1385999999999967</v>
      </c>
      <c r="I30" s="36">
        <f>IF(ISERROR(H30/D30),0,(H30/D30))</f>
        <v>3.0370515188279844E-2</v>
      </c>
      <c r="J30" s="36">
        <f t="shared" si="10"/>
        <v>0.36614325684391547</v>
      </c>
      <c r="K30" s="111">
        <f t="shared" si="11"/>
        <v>0.37219695189726026</v>
      </c>
    </row>
    <row r="31" spans="1:11" x14ac:dyDescent="0.2">
      <c r="A31" s="107" t="s">
        <v>40</v>
      </c>
      <c r="B31" s="73">
        <f>B8</f>
        <v>2172.2720000000004</v>
      </c>
      <c r="C31" s="126">
        <f>VLOOKUP($B$3,'Data for Bill Impacts'!$A$3:$Y$15,15,0)</f>
        <v>5.6930000000000001E-3</v>
      </c>
      <c r="D31" s="22">
        <f>B31*C31</f>
        <v>12.366744496000003</v>
      </c>
      <c r="E31" s="73">
        <f t="shared" si="6"/>
        <v>2172.2720000000004</v>
      </c>
      <c r="F31" s="126">
        <f>VLOOKUP($B$3,'Data for Bill Impacts'!$A$3:$Y$15,24,0)</f>
        <v>5.6930000000000001E-3</v>
      </c>
      <c r="G31" s="22">
        <f>E31*F31</f>
        <v>12.366744496000003</v>
      </c>
      <c r="H31" s="22">
        <f t="shared" si="1"/>
        <v>0</v>
      </c>
      <c r="I31" s="23">
        <f t="shared" si="2"/>
        <v>0</v>
      </c>
      <c r="J31" s="23">
        <f t="shared" si="10"/>
        <v>2.5972894556189115E-2</v>
      </c>
      <c r="K31" s="108">
        <f t="shared" si="11"/>
        <v>2.6402322055827258E-2</v>
      </c>
    </row>
    <row r="32" spans="1:11" x14ac:dyDescent="0.2">
      <c r="A32" s="107" t="s">
        <v>41</v>
      </c>
      <c r="B32" s="73">
        <f>B8</f>
        <v>2172.2720000000004</v>
      </c>
      <c r="C32" s="126">
        <f>VLOOKUP($B$3,'Data for Bill Impacts'!$A$3:$Y$15,16,0)</f>
        <v>4.4740000000000005E-3</v>
      </c>
      <c r="D32" s="22">
        <f>B32*C32</f>
        <v>9.7187449280000031</v>
      </c>
      <c r="E32" s="73">
        <f t="shared" si="6"/>
        <v>2172.2720000000004</v>
      </c>
      <c r="F32" s="126">
        <f>VLOOKUP($B$3,'Data for Bill Impacts'!$A$3:$Y$15,25,0)</f>
        <v>4.4740000000000005E-3</v>
      </c>
      <c r="G32" s="22">
        <f>E32*F32</f>
        <v>9.7187449280000031</v>
      </c>
      <c r="H32" s="22">
        <f t="shared" si="1"/>
        <v>0</v>
      </c>
      <c r="I32" s="23">
        <f t="shared" si="2"/>
        <v>0</v>
      </c>
      <c r="J32" s="23">
        <f t="shared" si="10"/>
        <v>2.0411510670014073E-2</v>
      </c>
      <c r="K32" s="108">
        <f t="shared" si="11"/>
        <v>2.0748988034036742E-2</v>
      </c>
    </row>
    <row r="33" spans="1:11" s="1" customFormat="1" x14ac:dyDescent="0.2">
      <c r="A33" s="110" t="s">
        <v>76</v>
      </c>
      <c r="B33" s="74"/>
      <c r="C33" s="35"/>
      <c r="D33" s="35">
        <f>SUM(D31:D32)</f>
        <v>22.085489424000006</v>
      </c>
      <c r="E33" s="73"/>
      <c r="F33" s="35"/>
      <c r="G33" s="35">
        <f>SUM(G31:G32)</f>
        <v>22.085489424000006</v>
      </c>
      <c r="H33" s="35">
        <f t="shared" si="1"/>
        <v>0</v>
      </c>
      <c r="I33" s="36">
        <f t="shared" si="2"/>
        <v>0</v>
      </c>
      <c r="J33" s="36">
        <f t="shared" si="10"/>
        <v>4.6384405226203185E-2</v>
      </c>
      <c r="K33" s="111">
        <f t="shared" si="11"/>
        <v>4.7151310089864E-2</v>
      </c>
    </row>
    <row r="34" spans="1:11" s="1" customFormat="1" x14ac:dyDescent="0.2">
      <c r="A34" s="110" t="s">
        <v>91</v>
      </c>
      <c r="B34" s="74"/>
      <c r="C34" s="35"/>
      <c r="D34" s="35">
        <f>D29+D33</f>
        <v>193.11100142400005</v>
      </c>
      <c r="E34" s="73"/>
      <c r="F34" s="35"/>
      <c r="G34" s="35">
        <f>G29+G33</f>
        <v>198.24960142400005</v>
      </c>
      <c r="H34" s="35">
        <f t="shared" si="1"/>
        <v>5.1385999999999967</v>
      </c>
      <c r="I34" s="36">
        <f t="shared" si="2"/>
        <v>2.6609566322519033E-2</v>
      </c>
      <c r="J34" s="36">
        <f t="shared" si="10"/>
        <v>0.41636794511745134</v>
      </c>
      <c r="K34" s="111">
        <f t="shared" si="11"/>
        <v>0.42325203904138609</v>
      </c>
    </row>
    <row r="35" spans="1:11" s="1" customFormat="1" x14ac:dyDescent="0.2">
      <c r="A35" s="110" t="s">
        <v>92</v>
      </c>
      <c r="B35" s="74"/>
      <c r="C35" s="35"/>
      <c r="D35" s="35">
        <f>D30+D33</f>
        <v>191.28248750400004</v>
      </c>
      <c r="E35" s="73"/>
      <c r="F35" s="35"/>
      <c r="G35" s="35">
        <f>G30+G33</f>
        <v>196.42108750400004</v>
      </c>
      <c r="H35" s="35">
        <f t="shared" si="1"/>
        <v>5.1385999999999967</v>
      </c>
      <c r="I35" s="36">
        <f t="shared" si="2"/>
        <v>2.6863933374415887E-2</v>
      </c>
      <c r="J35" s="36">
        <f t="shared" si="10"/>
        <v>0.41252766207011865</v>
      </c>
      <c r="K35" s="111">
        <f t="shared" si="11"/>
        <v>0.41934826198712427</v>
      </c>
    </row>
    <row r="36" spans="1:11" x14ac:dyDescent="0.2">
      <c r="A36" s="107" t="s">
        <v>42</v>
      </c>
      <c r="B36" s="73">
        <f>B8</f>
        <v>2172.2720000000004</v>
      </c>
      <c r="C36" s="34">
        <v>3.5999999999999999E-3</v>
      </c>
      <c r="D36" s="22">
        <f>B36*C36</f>
        <v>7.820179200000001</v>
      </c>
      <c r="E36" s="73">
        <f t="shared" si="6"/>
        <v>2172.2720000000004</v>
      </c>
      <c r="F36" s="34">
        <v>3.5999999999999999E-3</v>
      </c>
      <c r="G36" s="22">
        <f>E36*F36</f>
        <v>7.820179200000001</v>
      </c>
      <c r="H36" s="22">
        <f t="shared" si="1"/>
        <v>0</v>
      </c>
      <c r="I36" s="23">
        <f t="shared" si="2"/>
        <v>0</v>
      </c>
      <c r="J36" s="23">
        <f t="shared" si="10"/>
        <v>1.6424103355397998E-2</v>
      </c>
      <c r="K36" s="108">
        <f t="shared" si="11"/>
        <v>1.669565420709259E-2</v>
      </c>
    </row>
    <row r="37" spans="1:11" x14ac:dyDescent="0.2">
      <c r="A37" s="107" t="s">
        <v>43</v>
      </c>
      <c r="B37" s="73">
        <f>B8</f>
        <v>2172.2720000000004</v>
      </c>
      <c r="C37" s="34">
        <v>2.0999999999999999E-3</v>
      </c>
      <c r="D37" s="22">
        <f>B37*C37</f>
        <v>4.5617712000000008</v>
      </c>
      <c r="E37" s="73">
        <f t="shared" si="6"/>
        <v>2172.2720000000004</v>
      </c>
      <c r="F37" s="34">
        <v>2.0999999999999999E-3</v>
      </c>
      <c r="G37" s="22">
        <f>E37*F37</f>
        <v>4.5617712000000008</v>
      </c>
      <c r="H37" s="22">
        <f>G37-D37</f>
        <v>0</v>
      </c>
      <c r="I37" s="23">
        <f t="shared" si="2"/>
        <v>0</v>
      </c>
      <c r="J37" s="23">
        <f t="shared" si="10"/>
        <v>9.5807269573155007E-3</v>
      </c>
      <c r="K37" s="108">
        <f t="shared" si="11"/>
        <v>9.7391316208040122E-3</v>
      </c>
    </row>
    <row r="38" spans="1:11" x14ac:dyDescent="0.2">
      <c r="A38" s="107" t="s">
        <v>96</v>
      </c>
      <c r="B38" s="73">
        <f>B8</f>
        <v>2172.2720000000004</v>
      </c>
      <c r="C38" s="34">
        <v>1.1000000000000001E-3</v>
      </c>
      <c r="D38" s="22">
        <f>B38*C38</f>
        <v>2.3894992000000004</v>
      </c>
      <c r="E38" s="73">
        <f t="shared" si="6"/>
        <v>2172.2720000000004</v>
      </c>
      <c r="F38" s="34">
        <v>1.1000000000000001E-3</v>
      </c>
      <c r="G38" s="22">
        <f>E38*F38</f>
        <v>2.3894992000000004</v>
      </c>
      <c r="H38" s="22">
        <f>G38-D38</f>
        <v>0</v>
      </c>
      <c r="I38" s="23">
        <f t="shared" si="2"/>
        <v>0</v>
      </c>
      <c r="J38" s="23">
        <f t="shared" si="10"/>
        <v>5.0184760252604994E-3</v>
      </c>
      <c r="K38" s="108">
        <f t="shared" si="11"/>
        <v>5.1014498966116253E-3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5.2505521086390183E-4</v>
      </c>
      <c r="K39" s="108">
        <f t="shared" si="11"/>
        <v>5.3373630514415152E-4</v>
      </c>
    </row>
    <row r="40" spans="1:11" s="1" customFormat="1" x14ac:dyDescent="0.2">
      <c r="A40" s="110" t="s">
        <v>45</v>
      </c>
      <c r="B40" s="74"/>
      <c r="C40" s="35"/>
      <c r="D40" s="35">
        <f>SUM(D36:D39)</f>
        <v>15.0214496</v>
      </c>
      <c r="E40" s="73"/>
      <c r="F40" s="35"/>
      <c r="G40" s="35">
        <f>SUM(G36:G39)</f>
        <v>15.0214496</v>
      </c>
      <c r="H40" s="35">
        <f t="shared" si="1"/>
        <v>0</v>
      </c>
      <c r="I40" s="36">
        <f t="shared" si="2"/>
        <v>0</v>
      </c>
      <c r="J40" s="36">
        <f t="shared" si="10"/>
        <v>3.1548361548837896E-2</v>
      </c>
      <c r="K40" s="111">
        <f t="shared" si="11"/>
        <v>3.2069972029652373E-2</v>
      </c>
    </row>
    <row r="41" spans="1:11" s="1" customFormat="1" ht="13.5" thickBot="1" x14ac:dyDescent="0.25">
      <c r="A41" s="112" t="s">
        <v>46</v>
      </c>
      <c r="B41" s="113">
        <f>B4</f>
        <v>1982</v>
      </c>
      <c r="C41" s="114">
        <v>7.0000000000000001E-3</v>
      </c>
      <c r="D41" s="115">
        <f>B41*C41</f>
        <v>13.874000000000001</v>
      </c>
      <c r="E41" s="116">
        <f t="shared" si="6"/>
        <v>1982</v>
      </c>
      <c r="F41" s="114">
        <f>C41</f>
        <v>7.0000000000000001E-3</v>
      </c>
      <c r="G41" s="115">
        <f>E41*F41</f>
        <v>13.874000000000001</v>
      </c>
      <c r="H41" s="115">
        <f t="shared" si="1"/>
        <v>0</v>
      </c>
      <c r="I41" s="117">
        <f t="shared" si="2"/>
        <v>0</v>
      </c>
      <c r="J41" s="117">
        <f t="shared" si="10"/>
        <v>2.9138463982103097E-2</v>
      </c>
      <c r="K41" s="118">
        <f t="shared" si="11"/>
        <v>2.9620229990279839E-2</v>
      </c>
    </row>
    <row r="42" spans="1:11" s="1" customFormat="1" x14ac:dyDescent="0.2">
      <c r="A42" s="37" t="s">
        <v>101</v>
      </c>
      <c r="B42" s="38"/>
      <c r="C42" s="39"/>
      <c r="D42" s="39">
        <f>SUM(D14,D25,D26,D27,D33,D40,D41)</f>
        <v>448.32845102400006</v>
      </c>
      <c r="E42" s="38"/>
      <c r="F42" s="39"/>
      <c r="G42" s="39">
        <f>SUM(G14,G25,G26,G27,G33,G40,G41)</f>
        <v>453.46705102400006</v>
      </c>
      <c r="H42" s="39">
        <f t="shared" si="1"/>
        <v>5.1385999999999967</v>
      </c>
      <c r="I42" s="40">
        <f>IF(ISERROR(H42/D42),0,(H42/D42))</f>
        <v>1.1461686155012535E-2</v>
      </c>
      <c r="J42" s="40">
        <f t="shared" si="10"/>
        <v>0.95238095238095233</v>
      </c>
      <c r="K42" s="41"/>
    </row>
    <row r="43" spans="1:11" x14ac:dyDescent="0.2">
      <c r="A43" s="155" t="s">
        <v>102</v>
      </c>
      <c r="B43" s="43"/>
      <c r="C43" s="26">
        <v>0.13</v>
      </c>
      <c r="D43" s="26">
        <f>D42*C43</f>
        <v>58.282698633120013</v>
      </c>
      <c r="E43" s="26"/>
      <c r="F43" s="26">
        <f>C43</f>
        <v>0.13</v>
      </c>
      <c r="G43" s="26">
        <f>G42*F43</f>
        <v>58.95071663312001</v>
      </c>
      <c r="H43" s="26">
        <f t="shared" si="1"/>
        <v>0.66801799999999645</v>
      </c>
      <c r="I43" s="44">
        <f t="shared" si="2"/>
        <v>1.1461686155012481E-2</v>
      </c>
      <c r="J43" s="44">
        <f t="shared" si="10"/>
        <v>0.12380952380952381</v>
      </c>
      <c r="K43" s="45"/>
    </row>
    <row r="44" spans="1:11" s="1" customFormat="1" x14ac:dyDescent="0.2">
      <c r="A44" s="46" t="s">
        <v>103</v>
      </c>
      <c r="B44" s="24"/>
      <c r="C44" s="25"/>
      <c r="D44" s="25">
        <f>SUM(D42:D43)</f>
        <v>506.61114965712005</v>
      </c>
      <c r="E44" s="25"/>
      <c r="F44" s="25"/>
      <c r="G44" s="25">
        <f>SUM(G42:G43)</f>
        <v>512.41776765712007</v>
      </c>
      <c r="H44" s="25">
        <f t="shared" si="1"/>
        <v>5.8066180000000145</v>
      </c>
      <c r="I44" s="27">
        <f t="shared" si="2"/>
        <v>1.1461686155012571E-2</v>
      </c>
      <c r="J44" s="27">
        <f t="shared" si="10"/>
        <v>1.0761904761904761</v>
      </c>
      <c r="K44" s="47"/>
    </row>
    <row r="45" spans="1:11" x14ac:dyDescent="0.2">
      <c r="A45" s="42" t="s">
        <v>104</v>
      </c>
      <c r="B45" s="43"/>
      <c r="C45" s="26">
        <v>-0.08</v>
      </c>
      <c r="D45" s="26">
        <f>D42*C45</f>
        <v>-35.866276081920006</v>
      </c>
      <c r="E45" s="26"/>
      <c r="F45" s="26">
        <f>C45</f>
        <v>-0.08</v>
      </c>
      <c r="G45" s="26">
        <f>G42*F45</f>
        <v>-36.277364081920005</v>
      </c>
      <c r="H45" s="26">
        <f t="shared" si="1"/>
        <v>-0.41108799999999945</v>
      </c>
      <c r="I45" s="44">
        <f t="shared" si="2"/>
        <v>1.1461686155012526E-2</v>
      </c>
      <c r="J45" s="44">
        <f t="shared" si="10"/>
        <v>-7.6190476190476183E-2</v>
      </c>
      <c r="K45" s="45"/>
    </row>
    <row r="46" spans="1:11" s="1" customFormat="1" ht="13.5" thickBot="1" x14ac:dyDescent="0.25">
      <c r="A46" s="48" t="s">
        <v>105</v>
      </c>
      <c r="B46" s="49"/>
      <c r="C46" s="50"/>
      <c r="D46" s="50">
        <f>SUM(D44:D45)</f>
        <v>470.74487357520002</v>
      </c>
      <c r="E46" s="50"/>
      <c r="F46" s="50"/>
      <c r="G46" s="50">
        <f>SUM(G44:G45)</f>
        <v>476.14040357520008</v>
      </c>
      <c r="H46" s="50">
        <f t="shared" si="1"/>
        <v>5.3955300000000648</v>
      </c>
      <c r="I46" s="51">
        <f t="shared" si="2"/>
        <v>1.146168615501268E-2</v>
      </c>
      <c r="J46" s="51">
        <f t="shared" si="10"/>
        <v>1</v>
      </c>
      <c r="K46" s="52"/>
    </row>
    <row r="47" spans="1:11" x14ac:dyDescent="0.2">
      <c r="A47" s="53" t="s">
        <v>106</v>
      </c>
      <c r="B47" s="54"/>
      <c r="C47" s="55"/>
      <c r="D47" s="55">
        <f>SUM(D18,D25,D26,D28,D33,D40,D41)</f>
        <v>440.95291710400005</v>
      </c>
      <c r="E47" s="55"/>
      <c r="F47" s="55"/>
      <c r="G47" s="55">
        <f>SUM(G18,G25,G26,G28,G33,G40,G41)</f>
        <v>446.09151710400005</v>
      </c>
      <c r="H47" s="55">
        <f>G47-D47</f>
        <v>5.1385999999999967</v>
      </c>
      <c r="I47" s="56">
        <f>IF(ISERROR(H47/D47),0,(H47/D47))</f>
        <v>1.1653398357693691E-2</v>
      </c>
      <c r="J47" s="56"/>
      <c r="K47" s="57">
        <f>G47/$G$51</f>
        <v>0.95238095238095233</v>
      </c>
    </row>
    <row r="48" spans="1:11" x14ac:dyDescent="0.2">
      <c r="A48" s="58" t="s">
        <v>102</v>
      </c>
      <c r="B48" s="59"/>
      <c r="C48" s="31">
        <v>0.13</v>
      </c>
      <c r="D48" s="31">
        <f>D47*C48</f>
        <v>57.323879223520009</v>
      </c>
      <c r="E48" s="31"/>
      <c r="F48" s="31">
        <f>C48</f>
        <v>0.13</v>
      </c>
      <c r="G48" s="31">
        <f>G47*F48</f>
        <v>57.991897223520006</v>
      </c>
      <c r="H48" s="31">
        <f>G48-D48</f>
        <v>0.66801799999999645</v>
      </c>
      <c r="I48" s="32">
        <f>IF(ISERROR(H48/D48),0,(H48/D48))</f>
        <v>1.1653398357693636E-2</v>
      </c>
      <c r="J48" s="32"/>
      <c r="K48" s="60">
        <f>G48/$G$51</f>
        <v>0.1238095238095238</v>
      </c>
    </row>
    <row r="49" spans="1:11" x14ac:dyDescent="0.2">
      <c r="A49" s="151" t="s">
        <v>107</v>
      </c>
      <c r="B49" s="29"/>
      <c r="C49" s="30"/>
      <c r="D49" s="30">
        <f>SUM(D47:D48)</f>
        <v>498.27679632752006</v>
      </c>
      <c r="E49" s="30"/>
      <c r="F49" s="30"/>
      <c r="G49" s="30">
        <f>SUM(G47:G48)</f>
        <v>504.08341432752007</v>
      </c>
      <c r="H49" s="30">
        <f>G49-D49</f>
        <v>5.8066180000000145</v>
      </c>
      <c r="I49" s="33">
        <f>IF(ISERROR(H49/D49),0,(H49/D49))</f>
        <v>1.1653398357693728E-2</v>
      </c>
      <c r="J49" s="33"/>
      <c r="K49" s="62">
        <f>G49/$G$51</f>
        <v>1.0761904761904761</v>
      </c>
    </row>
    <row r="50" spans="1:11" x14ac:dyDescent="0.2">
      <c r="A50" s="58" t="s">
        <v>104</v>
      </c>
      <c r="B50" s="59"/>
      <c r="C50" s="31">
        <v>-0.08</v>
      </c>
      <c r="D50" s="31">
        <f>D47*C50</f>
        <v>-35.276233368320007</v>
      </c>
      <c r="E50" s="31"/>
      <c r="F50" s="31">
        <f>C50</f>
        <v>-0.08</v>
      </c>
      <c r="G50" s="31">
        <f>G47*F50</f>
        <v>-35.687321368320006</v>
      </c>
      <c r="H50" s="31">
        <f>G50-D50</f>
        <v>-0.41108799999999945</v>
      </c>
      <c r="I50" s="32">
        <f>IF(ISERROR(H50/D50),0,(H50/D50))</f>
        <v>1.1653398357693683E-2</v>
      </c>
      <c r="J50" s="32"/>
      <c r="K50" s="60">
        <f>G50/$G$51</f>
        <v>-7.6190476190476197E-2</v>
      </c>
    </row>
    <row r="51" spans="1:11" ht="13.5" thickBot="1" x14ac:dyDescent="0.25">
      <c r="A51" s="63" t="s">
        <v>116</v>
      </c>
      <c r="B51" s="64"/>
      <c r="C51" s="65"/>
      <c r="D51" s="65">
        <f>SUM(D49:D50)</f>
        <v>463.00056295920007</v>
      </c>
      <c r="E51" s="65"/>
      <c r="F51" s="65"/>
      <c r="G51" s="65">
        <f>SUM(G49:G50)</f>
        <v>468.39609295920008</v>
      </c>
      <c r="H51" s="65">
        <f>G51-D51</f>
        <v>5.3955300000000079</v>
      </c>
      <c r="I51" s="66">
        <f>IF(ISERROR(H51/D51),0,(H51/D51))</f>
        <v>1.1653398357693716E-2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5">
    <tabColor theme="1" tint="0.499984740745262"/>
    <pageSetUpPr fitToPage="1"/>
  </sheetPr>
  <dimension ref="A1:K68"/>
  <sheetViews>
    <sheetView tabSelected="1" view="pageBreakPreview"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121</v>
      </c>
      <c r="B1" s="188"/>
      <c r="C1" s="188"/>
      <c r="D1" s="188"/>
      <c r="E1" s="188"/>
      <c r="F1" s="188"/>
      <c r="G1" s="188"/>
      <c r="H1" s="188"/>
      <c r="I1" s="188"/>
      <c r="J1" s="188"/>
      <c r="K1" s="189"/>
    </row>
    <row r="3" spans="1:11" x14ac:dyDescent="0.2">
      <c r="A3" s="13" t="s">
        <v>13</v>
      </c>
      <c r="B3" s="13" t="s">
        <v>4</v>
      </c>
    </row>
    <row r="4" spans="1:11" x14ac:dyDescent="0.2">
      <c r="A4" s="15" t="s">
        <v>62</v>
      </c>
      <c r="B4" s="15">
        <v>15000</v>
      </c>
    </row>
    <row r="5" spans="1:11" x14ac:dyDescent="0.2">
      <c r="A5" s="15" t="s">
        <v>16</v>
      </c>
      <c r="B5" s="15">
        <f>VLOOKUP($B$3,'Data for Bill Impacts'!$A$3:$Y$15,5,0)</f>
        <v>0</v>
      </c>
    </row>
    <row r="6" spans="1:11" x14ac:dyDescent="0.2">
      <c r="A6" s="15" t="s">
        <v>20</v>
      </c>
      <c r="B6" s="15">
        <f>VLOOKUP($B$3,'Data for Bill Impacts'!$A$3:$Y$15,2,0)</f>
        <v>1.0960000000000001</v>
      </c>
    </row>
    <row r="7" spans="1:11" x14ac:dyDescent="0.2">
      <c r="A7" s="15" t="s">
        <v>15</v>
      </c>
      <c r="B7" s="15">
        <f>VLOOKUP($B$3,'Data for Bill Impacts'!$A$3:$Y$15,4,0)</f>
        <v>750</v>
      </c>
    </row>
    <row r="8" spans="1:11" x14ac:dyDescent="0.2">
      <c r="A8" s="15" t="s">
        <v>82</v>
      </c>
      <c r="B8" s="15">
        <f>B4*B6</f>
        <v>16440</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05">
        <f>G12/$G$46</f>
        <v>2.2193643551216093E-2</v>
      </c>
      <c r="K12" s="106"/>
    </row>
    <row r="13" spans="1:11" x14ac:dyDescent="0.2">
      <c r="A13" s="107" t="s">
        <v>32</v>
      </c>
      <c r="B13" s="73">
        <f>IF(B4&gt;B7,(B4)-B7,0)</f>
        <v>14250</v>
      </c>
      <c r="C13" s="21">
        <v>0.121</v>
      </c>
      <c r="D13" s="22">
        <f>B13*C13</f>
        <v>1724.25</v>
      </c>
      <c r="E13" s="73">
        <f t="shared" ref="E13" si="0">B13</f>
        <v>14250</v>
      </c>
      <c r="F13" s="21">
        <f>C13</f>
        <v>0.121</v>
      </c>
      <c r="G13" s="22">
        <f>E13*F13</f>
        <v>1724.25</v>
      </c>
      <c r="H13" s="22">
        <f t="shared" ref="H13:H46" si="1">G13-D13</f>
        <v>0</v>
      </c>
      <c r="I13" s="23">
        <f t="shared" ref="I13:I46" si="2">IF(ISERROR(H13/D13),0,(H13/D13))</f>
        <v>0</v>
      </c>
      <c r="J13" s="23">
        <f>G13/$G$46</f>
        <v>0.4953707429538427</v>
      </c>
      <c r="K13" s="108"/>
    </row>
    <row r="14" spans="1:11" s="1" customFormat="1" x14ac:dyDescent="0.2">
      <c r="A14" s="46" t="s">
        <v>33</v>
      </c>
      <c r="B14" s="24"/>
      <c r="C14" s="25"/>
      <c r="D14" s="25">
        <f>SUM(D12:D13)</f>
        <v>1801.5</v>
      </c>
      <c r="E14" s="76"/>
      <c r="F14" s="25"/>
      <c r="G14" s="25">
        <f>SUM(G12:G13)</f>
        <v>1801.5</v>
      </c>
      <c r="H14" s="25">
        <f t="shared" si="1"/>
        <v>0</v>
      </c>
      <c r="I14" s="27">
        <f t="shared" si="2"/>
        <v>0</v>
      </c>
      <c r="J14" s="27">
        <f>G14/$G$46</f>
        <v>0.51756438650505876</v>
      </c>
      <c r="K14" s="108"/>
    </row>
    <row r="15" spans="1:11" s="1" customFormat="1" x14ac:dyDescent="0.2">
      <c r="A15" s="109" t="s">
        <v>34</v>
      </c>
      <c r="B15" s="75">
        <f>B4*0.65</f>
        <v>9750</v>
      </c>
      <c r="C15" s="28">
        <v>8.6999999999999994E-2</v>
      </c>
      <c r="D15" s="22">
        <f>B15*C15</f>
        <v>848.24999999999989</v>
      </c>
      <c r="E15" s="73">
        <f t="shared" ref="E15:F17" si="3">B15</f>
        <v>9750</v>
      </c>
      <c r="F15" s="28">
        <f t="shared" si="3"/>
        <v>8.6999999999999994E-2</v>
      </c>
      <c r="G15" s="22">
        <f>E15*F15</f>
        <v>848.24999999999989</v>
      </c>
      <c r="H15" s="22">
        <f t="shared" si="1"/>
        <v>0</v>
      </c>
      <c r="I15" s="23">
        <f t="shared" si="2"/>
        <v>0</v>
      </c>
      <c r="J15" s="23"/>
      <c r="K15" s="108">
        <f t="shared" ref="K15:K26" si="4">G15/$G$51</f>
        <v>0.2548052122157578</v>
      </c>
    </row>
    <row r="16" spans="1:11" s="1" customFormat="1" x14ac:dyDescent="0.2">
      <c r="A16" s="109" t="s">
        <v>35</v>
      </c>
      <c r="B16" s="75">
        <f>B4*0.17</f>
        <v>2550</v>
      </c>
      <c r="C16" s="28">
        <v>0.13200000000000001</v>
      </c>
      <c r="D16" s="22">
        <f>B16*C16</f>
        <v>336.6</v>
      </c>
      <c r="E16" s="73">
        <f t="shared" si="3"/>
        <v>2550</v>
      </c>
      <c r="F16" s="28">
        <f t="shared" si="3"/>
        <v>0.13200000000000001</v>
      </c>
      <c r="G16" s="22">
        <f>E16*F16</f>
        <v>336.6</v>
      </c>
      <c r="H16" s="22">
        <f t="shared" si="1"/>
        <v>0</v>
      </c>
      <c r="I16" s="23">
        <f t="shared" si="2"/>
        <v>0</v>
      </c>
      <c r="J16" s="23"/>
      <c r="K16" s="108">
        <f t="shared" si="4"/>
        <v>0.10111103381293733</v>
      </c>
    </row>
    <row r="17" spans="1:11" s="1" customFormat="1" x14ac:dyDescent="0.2">
      <c r="A17" s="109" t="s">
        <v>36</v>
      </c>
      <c r="B17" s="75">
        <f>B4*0.18</f>
        <v>2700</v>
      </c>
      <c r="C17" s="28">
        <v>0.18</v>
      </c>
      <c r="D17" s="22">
        <f>B17*C17</f>
        <v>486</v>
      </c>
      <c r="E17" s="73">
        <f t="shared" si="3"/>
        <v>2700</v>
      </c>
      <c r="F17" s="28">
        <f t="shared" si="3"/>
        <v>0.18</v>
      </c>
      <c r="G17" s="22">
        <f>E17*F17</f>
        <v>486</v>
      </c>
      <c r="H17" s="22">
        <f t="shared" si="1"/>
        <v>0</v>
      </c>
      <c r="I17" s="23">
        <f t="shared" si="2"/>
        <v>0</v>
      </c>
      <c r="J17" s="23"/>
      <c r="K17" s="108">
        <f t="shared" si="4"/>
        <v>0.14598919320584533</v>
      </c>
    </row>
    <row r="18" spans="1:11" s="1" customFormat="1" x14ac:dyDescent="0.2">
      <c r="A18" s="61" t="s">
        <v>37</v>
      </c>
      <c r="B18" s="29"/>
      <c r="C18" s="30"/>
      <c r="D18" s="30">
        <f>SUM(D15:D17)</f>
        <v>1670.85</v>
      </c>
      <c r="E18" s="77"/>
      <c r="F18" s="30"/>
      <c r="G18" s="30">
        <f>SUM(G15:G17)</f>
        <v>1670.85</v>
      </c>
      <c r="H18" s="31">
        <f t="shared" si="1"/>
        <v>0</v>
      </c>
      <c r="I18" s="32">
        <f t="shared" si="2"/>
        <v>0</v>
      </c>
      <c r="J18" s="33">
        <f t="shared" ref="J18:J23" si="5">G18/$G$46</f>
        <v>0.48002911750873017</v>
      </c>
      <c r="K18" s="62">
        <f t="shared" si="4"/>
        <v>0.50190543923454045</v>
      </c>
    </row>
    <row r="19" spans="1:11" x14ac:dyDescent="0.2">
      <c r="A19" s="107" t="s">
        <v>38</v>
      </c>
      <c r="B19" s="73">
        <v>1</v>
      </c>
      <c r="C19" s="78">
        <f>VLOOKUP($B$3,'Data for Bill Impacts'!$A$3:$Y$15,7,0)</f>
        <v>29.68</v>
      </c>
      <c r="D19" s="22">
        <f>B19*C19</f>
        <v>29.68</v>
      </c>
      <c r="E19" s="73">
        <f t="shared" ref="E19:E41" si="6">B19</f>
        <v>1</v>
      </c>
      <c r="F19" s="78">
        <f>VLOOKUP($B$3,'Data for Bill Impacts'!$A$3:$Y$15,17,0)</f>
        <v>30.26</v>
      </c>
      <c r="G19" s="22">
        <f>E19*F19</f>
        <v>30.26</v>
      </c>
      <c r="H19" s="22">
        <f t="shared" si="1"/>
        <v>0.58000000000000185</v>
      </c>
      <c r="I19" s="23">
        <f t="shared" si="2"/>
        <v>1.9541778975741303E-2</v>
      </c>
      <c r="J19" s="23">
        <f t="shared" si="5"/>
        <v>8.6935877522304073E-3</v>
      </c>
      <c r="K19" s="108">
        <f t="shared" si="4"/>
        <v>9.0897798074256794E-3</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110</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122">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15000</v>
      </c>
      <c r="C23" s="78">
        <f>VLOOKUP($B$3,'Data for Bill Impacts'!$A$3:$Y$15,10,0)</f>
        <v>5.91E-2</v>
      </c>
      <c r="D23" s="22">
        <f>B23*C23</f>
        <v>886.5</v>
      </c>
      <c r="E23" s="73">
        <f t="shared" si="6"/>
        <v>15000</v>
      </c>
      <c r="F23" s="78">
        <f>VLOOKUP($B$3,'Data for Bill Impacts'!$A$3:$Y$15,19,0)</f>
        <v>6.1400000000000003E-2</v>
      </c>
      <c r="G23" s="22">
        <f>E23*F23</f>
        <v>921</v>
      </c>
      <c r="H23" s="22">
        <f t="shared" si="1"/>
        <v>34.5</v>
      </c>
      <c r="I23" s="23">
        <f t="shared" si="2"/>
        <v>3.8917089678510999E-2</v>
      </c>
      <c r="J23" s="23">
        <f t="shared" si="5"/>
        <v>0.26459994447469282</v>
      </c>
      <c r="K23" s="108">
        <f t="shared" si="4"/>
        <v>0.27665853280366987</v>
      </c>
    </row>
    <row r="24" spans="1:11" x14ac:dyDescent="0.2">
      <c r="A24" s="107" t="s">
        <v>122</v>
      </c>
      <c r="B24" s="73">
        <f>IF($B$9="kWh",$B$4,$B$5)</f>
        <v>15000</v>
      </c>
      <c r="C24" s="126">
        <f>VLOOKUP($B$3,'Data for Bill Impacts'!$A$3:$Y$15,14,0)</f>
        <v>2.0000000000000001E-4</v>
      </c>
      <c r="D24" s="22">
        <f>B24*C24</f>
        <v>3</v>
      </c>
      <c r="E24" s="73">
        <f t="shared" si="6"/>
        <v>15000</v>
      </c>
      <c r="F24" s="126">
        <f>VLOOKUP($B$3,'Data for Bill Impacts'!$A$3:$Y$15,23,0)</f>
        <v>2.0000000000000001E-4</v>
      </c>
      <c r="G24" s="22">
        <f>E24*F24</f>
        <v>3</v>
      </c>
      <c r="H24" s="22">
        <f t="shared" si="1"/>
        <v>0</v>
      </c>
      <c r="I24" s="23">
        <f>IF(ISERROR(H24/D24),0,(H24/D24))</f>
        <v>0</v>
      </c>
      <c r="J24" s="23">
        <f t="shared" ref="J24" si="9">G24/$G$46</f>
        <v>8.6188906995013955E-4</v>
      </c>
      <c r="K24" s="108">
        <f t="shared" si="4"/>
        <v>9.0116785929534161E-4</v>
      </c>
    </row>
    <row r="25" spans="1:11" s="1" customFormat="1" x14ac:dyDescent="0.2">
      <c r="A25" s="110" t="s">
        <v>72</v>
      </c>
      <c r="B25" s="74"/>
      <c r="C25" s="35"/>
      <c r="D25" s="35">
        <f>SUM(D19:D24)</f>
        <v>919.18</v>
      </c>
      <c r="E25" s="73"/>
      <c r="F25" s="35"/>
      <c r="G25" s="35">
        <f>SUM(G19:G24)</f>
        <v>954.26</v>
      </c>
      <c r="H25" s="35">
        <f t="shared" si="1"/>
        <v>35.080000000000041</v>
      </c>
      <c r="I25" s="36">
        <f t="shared" si="2"/>
        <v>3.8164450923649389E-2</v>
      </c>
      <c r="J25" s="36">
        <f>G25/$G$46</f>
        <v>0.27415542129687337</v>
      </c>
      <c r="K25" s="111">
        <f t="shared" si="4"/>
        <v>0.2866494804703909</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G26/$G$46</f>
        <v>2.2696412175353674E-4</v>
      </c>
      <c r="K26" s="108">
        <f t="shared" si="4"/>
        <v>2.3730753628110662E-4</v>
      </c>
    </row>
    <row r="27" spans="1:11" s="1" customFormat="1" x14ac:dyDescent="0.2">
      <c r="A27" s="119" t="s">
        <v>75</v>
      </c>
      <c r="B27" s="120">
        <f>B8-B4</f>
        <v>1440</v>
      </c>
      <c r="C27" s="121">
        <f>IF(B4&gt;B7,C13,C12)</f>
        <v>0.121</v>
      </c>
      <c r="D27" s="22">
        <f>B27*C27</f>
        <v>174.24</v>
      </c>
      <c r="E27" s="73">
        <f>B27</f>
        <v>1440</v>
      </c>
      <c r="F27" s="121">
        <f>C27</f>
        <v>0.121</v>
      </c>
      <c r="G27" s="22">
        <f>E27*F27</f>
        <v>174.24</v>
      </c>
      <c r="H27" s="22">
        <f t="shared" si="1"/>
        <v>0</v>
      </c>
      <c r="I27" s="23">
        <f>IF(ISERROR(H27/D27),0,(H27/D27))</f>
        <v>0</v>
      </c>
      <c r="J27" s="23">
        <f t="shared" ref="J27:J46" si="10">G27/$G$46</f>
        <v>5.0058517182704106E-2</v>
      </c>
      <c r="K27" s="108">
        <f t="shared" ref="K27:K41" si="11">G27/$G$51</f>
        <v>5.2339829267873443E-2</v>
      </c>
    </row>
    <row r="28" spans="1:11" s="1" customFormat="1" x14ac:dyDescent="0.2">
      <c r="A28" s="119" t="s">
        <v>74</v>
      </c>
      <c r="B28" s="120">
        <f>B8-B4</f>
        <v>1440</v>
      </c>
      <c r="C28" s="121">
        <f>0.65*C15+0.17*C16+0.18*C17</f>
        <v>0.11139</v>
      </c>
      <c r="D28" s="22">
        <f>B28*C28</f>
        <v>160.4016</v>
      </c>
      <c r="E28" s="73">
        <f>B28</f>
        <v>1440</v>
      </c>
      <c r="F28" s="121">
        <f>C28</f>
        <v>0.11139</v>
      </c>
      <c r="G28" s="22">
        <f>E28*F28</f>
        <v>160.4016</v>
      </c>
      <c r="H28" s="22">
        <f t="shared" si="1"/>
        <v>0</v>
      </c>
      <c r="I28" s="23">
        <f>IF(ISERROR(H28/D28),0,(H28/D28))</f>
        <v>0</v>
      </c>
      <c r="J28" s="23">
        <f t="shared" si="10"/>
        <v>4.6082795280838099E-2</v>
      </c>
      <c r="K28" s="108">
        <f t="shared" si="11"/>
        <v>4.8182922166515887E-2</v>
      </c>
    </row>
    <row r="29" spans="1:11" s="1" customFormat="1" x14ac:dyDescent="0.2">
      <c r="A29" s="110" t="s">
        <v>78</v>
      </c>
      <c r="B29" s="74"/>
      <c r="C29" s="35"/>
      <c r="D29" s="35">
        <f>SUM(D25,D26:D27)</f>
        <v>1094.21</v>
      </c>
      <c r="E29" s="73"/>
      <c r="F29" s="35"/>
      <c r="G29" s="35">
        <f>SUM(G25,G26:G27)</f>
        <v>1129.29</v>
      </c>
      <c r="H29" s="35">
        <f t="shared" si="1"/>
        <v>35.079999999999927</v>
      </c>
      <c r="I29" s="36">
        <f>IF(ISERROR(H29/D29),0,(H29/D29))</f>
        <v>3.2059659480355621E-2</v>
      </c>
      <c r="J29" s="36">
        <f t="shared" si="10"/>
        <v>0.32444090260133102</v>
      </c>
      <c r="K29" s="111">
        <f t="shared" si="11"/>
        <v>0.33922661727454545</v>
      </c>
    </row>
    <row r="30" spans="1:11" s="1" customFormat="1" x14ac:dyDescent="0.2">
      <c r="A30" s="110" t="s">
        <v>77</v>
      </c>
      <c r="B30" s="74"/>
      <c r="C30" s="35"/>
      <c r="D30" s="35">
        <f>SUM(D25,D26,D28)</f>
        <v>1080.3715999999999</v>
      </c>
      <c r="E30" s="73"/>
      <c r="F30" s="35"/>
      <c r="G30" s="35">
        <f>SUM(G25,G26,G28)</f>
        <v>1115.4515999999999</v>
      </c>
      <c r="H30" s="35">
        <f t="shared" si="1"/>
        <v>35.079999999999927</v>
      </c>
      <c r="I30" s="36">
        <f>IF(ISERROR(H30/D30),0,(H30/D30))</f>
        <v>3.2470309289877604E-2</v>
      </c>
      <c r="J30" s="36">
        <f t="shared" si="10"/>
        <v>0.320465180699465</v>
      </c>
      <c r="K30" s="111">
        <f t="shared" si="11"/>
        <v>0.33506971017318782</v>
      </c>
    </row>
    <row r="31" spans="1:11" x14ac:dyDescent="0.2">
      <c r="A31" s="107" t="s">
        <v>40</v>
      </c>
      <c r="B31" s="73">
        <f>B8</f>
        <v>16440</v>
      </c>
      <c r="C31" s="126">
        <f>VLOOKUP($B$3,'Data for Bill Impacts'!$A$3:$Y$15,15,0)</f>
        <v>5.6930000000000001E-3</v>
      </c>
      <c r="D31" s="22">
        <f>B31*C31</f>
        <v>93.592920000000007</v>
      </c>
      <c r="E31" s="73">
        <f t="shared" si="6"/>
        <v>16440</v>
      </c>
      <c r="F31" s="126">
        <f>VLOOKUP($B$3,'Data for Bill Impacts'!$A$3:$Y$15,24,0)</f>
        <v>5.6930000000000001E-3</v>
      </c>
      <c r="G31" s="22">
        <f>E31*F31</f>
        <v>93.592920000000007</v>
      </c>
      <c r="H31" s="22">
        <f t="shared" si="1"/>
        <v>0</v>
      </c>
      <c r="I31" s="23">
        <f t="shared" si="2"/>
        <v>0</v>
      </c>
      <c r="J31" s="23">
        <f t="shared" si="10"/>
        <v>2.6888904924239274E-2</v>
      </c>
      <c r="K31" s="108">
        <f t="shared" si="11"/>
        <v>2.8114310453866722E-2</v>
      </c>
    </row>
    <row r="32" spans="1:11" x14ac:dyDescent="0.2">
      <c r="A32" s="107" t="s">
        <v>41</v>
      </c>
      <c r="B32" s="73">
        <f>B8</f>
        <v>16440</v>
      </c>
      <c r="C32" s="126">
        <f>VLOOKUP($B$3,'Data for Bill Impacts'!$A$3:$Y$15,16,0)</f>
        <v>4.4740000000000005E-3</v>
      </c>
      <c r="D32" s="22">
        <f>B32*C32</f>
        <v>73.552560000000014</v>
      </c>
      <c r="E32" s="73">
        <f t="shared" si="6"/>
        <v>16440</v>
      </c>
      <c r="F32" s="126">
        <f>VLOOKUP($B$3,'Data for Bill Impacts'!$A$3:$Y$15,25,0)</f>
        <v>4.4740000000000005E-3</v>
      </c>
      <c r="G32" s="22">
        <f>E32*F32</f>
        <v>73.552560000000014</v>
      </c>
      <c r="H32" s="22">
        <f t="shared" si="1"/>
        <v>0</v>
      </c>
      <c r="I32" s="23">
        <f t="shared" si="2"/>
        <v>0</v>
      </c>
      <c r="J32" s="23">
        <f t="shared" si="10"/>
        <v>2.1131382510283948E-2</v>
      </c>
      <c r="K32" s="108">
        <f t="shared" si="11"/>
        <v>2.2094401013630728E-2</v>
      </c>
    </row>
    <row r="33" spans="1:11" s="1" customFormat="1" x14ac:dyDescent="0.2">
      <c r="A33" s="110" t="s">
        <v>76</v>
      </c>
      <c r="B33" s="74"/>
      <c r="C33" s="35"/>
      <c r="D33" s="35">
        <f>SUM(D31:D32)</f>
        <v>167.14548000000002</v>
      </c>
      <c r="E33" s="73"/>
      <c r="F33" s="35"/>
      <c r="G33" s="35">
        <f>SUM(G31:G32)</f>
        <v>167.14548000000002</v>
      </c>
      <c r="H33" s="35">
        <f t="shared" si="1"/>
        <v>0</v>
      </c>
      <c r="I33" s="36">
        <f t="shared" si="2"/>
        <v>0</v>
      </c>
      <c r="J33" s="36">
        <f t="shared" si="10"/>
        <v>4.8020287434523218E-2</v>
      </c>
      <c r="K33" s="111">
        <f t="shared" si="11"/>
        <v>5.0208711467497447E-2</v>
      </c>
    </row>
    <row r="34" spans="1:11" s="1" customFormat="1" x14ac:dyDescent="0.2">
      <c r="A34" s="110" t="s">
        <v>91</v>
      </c>
      <c r="B34" s="74"/>
      <c r="C34" s="35"/>
      <c r="D34" s="35">
        <f>D29+D33</f>
        <v>1261.3554800000002</v>
      </c>
      <c r="E34" s="73"/>
      <c r="F34" s="35"/>
      <c r="G34" s="35">
        <f>G29+G33</f>
        <v>1296.4354800000001</v>
      </c>
      <c r="H34" s="35">
        <f t="shared" si="1"/>
        <v>35.079999999999927</v>
      </c>
      <c r="I34" s="36">
        <f t="shared" si="2"/>
        <v>2.781135100788552E-2</v>
      </c>
      <c r="J34" s="36">
        <f t="shared" si="10"/>
        <v>0.37246119003585426</v>
      </c>
      <c r="K34" s="111">
        <f t="shared" si="11"/>
        <v>0.3894353287420429</v>
      </c>
    </row>
    <row r="35" spans="1:11" s="1" customFormat="1" x14ac:dyDescent="0.2">
      <c r="A35" s="110" t="s">
        <v>92</v>
      </c>
      <c r="B35" s="74"/>
      <c r="C35" s="35"/>
      <c r="D35" s="35">
        <f>D30+D33</f>
        <v>1247.5170800000001</v>
      </c>
      <c r="E35" s="73"/>
      <c r="F35" s="35"/>
      <c r="G35" s="35">
        <f>G30+G33</f>
        <v>1282.59708</v>
      </c>
      <c r="H35" s="35">
        <f t="shared" si="1"/>
        <v>35.079999999999927</v>
      </c>
      <c r="I35" s="36">
        <f t="shared" si="2"/>
        <v>2.8119855481257158E-2</v>
      </c>
      <c r="J35" s="36">
        <f t="shared" si="10"/>
        <v>0.36848546813398825</v>
      </c>
      <c r="K35" s="111">
        <f t="shared" si="11"/>
        <v>0.38527842164068532</v>
      </c>
    </row>
    <row r="36" spans="1:11" x14ac:dyDescent="0.2">
      <c r="A36" s="107" t="s">
        <v>42</v>
      </c>
      <c r="B36" s="73">
        <f>B8</f>
        <v>16440</v>
      </c>
      <c r="C36" s="34">
        <v>3.5999999999999999E-3</v>
      </c>
      <c r="D36" s="22">
        <f>B36*C36</f>
        <v>59.183999999999997</v>
      </c>
      <c r="E36" s="73">
        <f t="shared" si="6"/>
        <v>16440</v>
      </c>
      <c r="F36" s="34">
        <v>3.5999999999999999E-3</v>
      </c>
      <c r="G36" s="22">
        <f>E36*F36</f>
        <v>59.183999999999997</v>
      </c>
      <c r="H36" s="22">
        <f t="shared" si="1"/>
        <v>0</v>
      </c>
      <c r="I36" s="23">
        <f t="shared" si="2"/>
        <v>0</v>
      </c>
      <c r="J36" s="23">
        <f t="shared" si="10"/>
        <v>1.700334757197635E-2</v>
      </c>
      <c r="K36" s="108">
        <f t="shared" si="11"/>
        <v>1.7778239528178499E-2</v>
      </c>
    </row>
    <row r="37" spans="1:11" x14ac:dyDescent="0.2">
      <c r="A37" s="107" t="s">
        <v>43</v>
      </c>
      <c r="B37" s="73">
        <f>B8</f>
        <v>16440</v>
      </c>
      <c r="C37" s="34">
        <v>2.0999999999999999E-3</v>
      </c>
      <c r="D37" s="22">
        <f>B37*C37</f>
        <v>34.524000000000001</v>
      </c>
      <c r="E37" s="73">
        <f t="shared" si="6"/>
        <v>16440</v>
      </c>
      <c r="F37" s="34">
        <v>2.0999999999999999E-3</v>
      </c>
      <c r="G37" s="22">
        <f>E37*F37</f>
        <v>34.524000000000001</v>
      </c>
      <c r="H37" s="22">
        <f>G37-D37</f>
        <v>0</v>
      </c>
      <c r="I37" s="23">
        <f t="shared" si="2"/>
        <v>0</v>
      </c>
      <c r="J37" s="23">
        <f t="shared" si="10"/>
        <v>9.918619416986206E-3</v>
      </c>
      <c r="K37" s="108">
        <f t="shared" si="11"/>
        <v>1.0370639724770791E-2</v>
      </c>
    </row>
    <row r="38" spans="1:11" x14ac:dyDescent="0.2">
      <c r="A38" s="107" t="s">
        <v>96</v>
      </c>
      <c r="B38" s="73">
        <f>B8</f>
        <v>16440</v>
      </c>
      <c r="C38" s="34">
        <v>1.1000000000000001E-3</v>
      </c>
      <c r="D38" s="22">
        <f>B38*C38</f>
        <v>18.084</v>
      </c>
      <c r="E38" s="73">
        <f t="shared" si="6"/>
        <v>16440</v>
      </c>
      <c r="F38" s="34">
        <v>1.1000000000000001E-3</v>
      </c>
      <c r="G38" s="22">
        <f>E38*F38</f>
        <v>18.084</v>
      </c>
      <c r="H38" s="22">
        <f>G38-D38</f>
        <v>0</v>
      </c>
      <c r="I38" s="23">
        <f t="shared" ref="I38" si="12">IF(ISERROR(H38/D38),0,(H38/D38))</f>
        <v>0</v>
      </c>
      <c r="J38" s="23">
        <f t="shared" ref="J38" si="13">G38/$G$46</f>
        <v>5.1954673136594409E-3</v>
      </c>
      <c r="K38" s="108">
        <f t="shared" ref="K38" si="14">G38/$G$51</f>
        <v>5.4322398558323192E-3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10"/>
        <v>7.1824089162511625E-5</v>
      </c>
      <c r="K39" s="108">
        <f t="shared" si="11"/>
        <v>7.5097321607945139E-5</v>
      </c>
    </row>
    <row r="40" spans="1:11" s="1" customFormat="1" x14ac:dyDescent="0.2">
      <c r="A40" s="110" t="s">
        <v>45</v>
      </c>
      <c r="B40" s="74"/>
      <c r="C40" s="35"/>
      <c r="D40" s="35">
        <f>SUM(D36:D39)</f>
        <v>112.042</v>
      </c>
      <c r="E40" s="73"/>
      <c r="F40" s="35"/>
      <c r="G40" s="35">
        <f>SUM(G36:G39)</f>
        <v>112.042</v>
      </c>
      <c r="H40" s="35">
        <f t="shared" si="1"/>
        <v>0</v>
      </c>
      <c r="I40" s="36">
        <f t="shared" si="2"/>
        <v>0</v>
      </c>
      <c r="J40" s="36">
        <f t="shared" si="10"/>
        <v>3.2189258391784513E-2</v>
      </c>
      <c r="K40" s="111">
        <f t="shared" si="11"/>
        <v>3.3656216430389553E-2</v>
      </c>
    </row>
    <row r="41" spans="1:11" s="1" customFormat="1" ht="13.5" thickBot="1" x14ac:dyDescent="0.25">
      <c r="A41" s="112" t="s">
        <v>46</v>
      </c>
      <c r="B41" s="113">
        <f>B4</f>
        <v>15000</v>
      </c>
      <c r="C41" s="114">
        <v>7.0000000000000001E-3</v>
      </c>
      <c r="D41" s="115">
        <f>B41*C41</f>
        <v>105</v>
      </c>
      <c r="E41" s="116">
        <f t="shared" si="6"/>
        <v>15000</v>
      </c>
      <c r="F41" s="114">
        <f>C41</f>
        <v>7.0000000000000001E-3</v>
      </c>
      <c r="G41" s="115">
        <f>E41*F41</f>
        <v>105</v>
      </c>
      <c r="H41" s="115">
        <f t="shared" si="1"/>
        <v>0</v>
      </c>
      <c r="I41" s="117">
        <f t="shared" si="2"/>
        <v>0</v>
      </c>
      <c r="J41" s="117">
        <f t="shared" si="10"/>
        <v>3.0166117448254884E-2</v>
      </c>
      <c r="K41" s="118">
        <f t="shared" si="11"/>
        <v>3.1540875075336955E-2</v>
      </c>
    </row>
    <row r="42" spans="1:11" s="1" customFormat="1" x14ac:dyDescent="0.2">
      <c r="A42" s="37" t="s">
        <v>101</v>
      </c>
      <c r="B42" s="38"/>
      <c r="C42" s="39"/>
      <c r="D42" s="39">
        <f>SUM(D14,D25,D26,D27,D33,D40,D41)</f>
        <v>3279.8974800000001</v>
      </c>
      <c r="E42" s="38"/>
      <c r="F42" s="39"/>
      <c r="G42" s="39">
        <f>SUM(G14,G25,G26,G27,G33,G40,G41)</f>
        <v>3314.97748</v>
      </c>
      <c r="H42" s="39">
        <f t="shared" si="1"/>
        <v>35.079999999999927</v>
      </c>
      <c r="I42" s="40">
        <f>IF(ISERROR(H42/D42),0,(H42/D42))</f>
        <v>1.0695456249443482E-2</v>
      </c>
      <c r="J42" s="40">
        <f t="shared" si="10"/>
        <v>0.95238095238095244</v>
      </c>
      <c r="K42" s="41"/>
    </row>
    <row r="43" spans="1:11" x14ac:dyDescent="0.2">
      <c r="A43" s="155" t="s">
        <v>102</v>
      </c>
      <c r="B43" s="43"/>
      <c r="C43" s="26">
        <v>0.13</v>
      </c>
      <c r="D43" s="26">
        <f>D42*C43</f>
        <v>426.38667240000001</v>
      </c>
      <c r="E43" s="26"/>
      <c r="F43" s="26">
        <f>C43</f>
        <v>0.13</v>
      </c>
      <c r="G43" s="26">
        <f>G42*F43</f>
        <v>430.94707240000002</v>
      </c>
      <c r="H43" s="26">
        <f t="shared" si="1"/>
        <v>4.5604000000000156</v>
      </c>
      <c r="I43" s="44">
        <f t="shared" si="2"/>
        <v>1.0695456249443539E-2</v>
      </c>
      <c r="J43" s="44">
        <f t="shared" si="10"/>
        <v>0.12380952380952381</v>
      </c>
      <c r="K43" s="45"/>
    </row>
    <row r="44" spans="1:11" s="1" customFormat="1" x14ac:dyDescent="0.2">
      <c r="A44" s="46" t="s">
        <v>103</v>
      </c>
      <c r="B44" s="24"/>
      <c r="C44" s="25"/>
      <c r="D44" s="25">
        <f>SUM(D42:D43)</f>
        <v>3706.2841524</v>
      </c>
      <c r="E44" s="25"/>
      <c r="F44" s="25"/>
      <c r="G44" s="25">
        <f>SUM(G42:G43)</f>
        <v>3745.9245523999998</v>
      </c>
      <c r="H44" s="25">
        <f t="shared" si="1"/>
        <v>39.640399999999772</v>
      </c>
      <c r="I44" s="27">
        <f t="shared" si="2"/>
        <v>1.0695456249443442E-2</v>
      </c>
      <c r="J44" s="27">
        <f t="shared" si="10"/>
        <v>1.0761904761904761</v>
      </c>
      <c r="K44" s="47"/>
    </row>
    <row r="45" spans="1:11" x14ac:dyDescent="0.2">
      <c r="A45" s="42" t="s">
        <v>104</v>
      </c>
      <c r="B45" s="43"/>
      <c r="C45" s="26">
        <v>-0.08</v>
      </c>
      <c r="D45" s="26">
        <f>D42*C45</f>
        <v>-262.39179840000003</v>
      </c>
      <c r="E45" s="26"/>
      <c r="F45" s="26">
        <f>C45</f>
        <v>-0.08</v>
      </c>
      <c r="G45" s="26">
        <f>G42*F45</f>
        <v>-265.19819840000002</v>
      </c>
      <c r="H45" s="26">
        <f t="shared" si="1"/>
        <v>-2.8063999999999965</v>
      </c>
      <c r="I45" s="44">
        <f t="shared" si="2"/>
        <v>1.0695456249443489E-2</v>
      </c>
      <c r="J45" s="44">
        <f t="shared" si="10"/>
        <v>-7.6190476190476197E-2</v>
      </c>
      <c r="K45" s="45"/>
    </row>
    <row r="46" spans="1:11" s="1" customFormat="1" ht="13.5" thickBot="1" x14ac:dyDescent="0.25">
      <c r="A46" s="48" t="s">
        <v>105</v>
      </c>
      <c r="B46" s="49"/>
      <c r="C46" s="50"/>
      <c r="D46" s="50">
        <f>SUM(D44:D45)</f>
        <v>3443.8923540000001</v>
      </c>
      <c r="E46" s="50"/>
      <c r="F46" s="50"/>
      <c r="G46" s="50">
        <f>SUM(G44:G45)</f>
        <v>3480.7263539999999</v>
      </c>
      <c r="H46" s="50">
        <f t="shared" si="1"/>
        <v>36.833999999999833</v>
      </c>
      <c r="I46" s="51">
        <f t="shared" si="2"/>
        <v>1.0695456249443454E-2</v>
      </c>
      <c r="J46" s="51">
        <f t="shared" si="10"/>
        <v>1</v>
      </c>
      <c r="K46" s="52"/>
    </row>
    <row r="47" spans="1:11" x14ac:dyDescent="0.2">
      <c r="A47" s="53" t="s">
        <v>106</v>
      </c>
      <c r="B47" s="54"/>
      <c r="C47" s="55"/>
      <c r="D47" s="55">
        <f>SUM(D18,D25,D26,D28,D33,D40,D41)</f>
        <v>3135.4090799999999</v>
      </c>
      <c r="E47" s="55"/>
      <c r="F47" s="55"/>
      <c r="G47" s="55">
        <f>SUM(G18,G25,G26,G28,G33,G40,G41)</f>
        <v>3170.4890799999998</v>
      </c>
      <c r="H47" s="55">
        <f>G47-D47</f>
        <v>35.079999999999927</v>
      </c>
      <c r="I47" s="56">
        <f>IF(ISERROR(H47/D47),0,(H47/D47))</f>
        <v>1.1188332719888637E-2</v>
      </c>
      <c r="J47" s="56"/>
      <c r="K47" s="57">
        <f>G47/$G$51</f>
        <v>0.95238095238095233</v>
      </c>
    </row>
    <row r="48" spans="1:11" x14ac:dyDescent="0.2">
      <c r="A48" s="58" t="s">
        <v>102</v>
      </c>
      <c r="B48" s="59"/>
      <c r="C48" s="31">
        <v>0.13</v>
      </c>
      <c r="D48" s="31">
        <f>D47*C48</f>
        <v>407.60318039999999</v>
      </c>
      <c r="E48" s="31"/>
      <c r="F48" s="31">
        <f>C48</f>
        <v>0.13</v>
      </c>
      <c r="G48" s="31">
        <f>G47*F48</f>
        <v>412.1635804</v>
      </c>
      <c r="H48" s="31">
        <f>G48-D48</f>
        <v>4.5604000000000156</v>
      </c>
      <c r="I48" s="32">
        <f>IF(ISERROR(H48/D48),0,(H48/D48))</f>
        <v>1.1188332719888698E-2</v>
      </c>
      <c r="J48" s="32"/>
      <c r="K48" s="60">
        <f>G48/$G$51</f>
        <v>0.1238095238095238</v>
      </c>
    </row>
    <row r="49" spans="1:11" x14ac:dyDescent="0.2">
      <c r="A49" s="151" t="s">
        <v>107</v>
      </c>
      <c r="B49" s="29"/>
      <c r="C49" s="30"/>
      <c r="D49" s="30">
        <f>SUM(D47:D48)</f>
        <v>3543.0122603999998</v>
      </c>
      <c r="E49" s="30"/>
      <c r="F49" s="30"/>
      <c r="G49" s="30">
        <f>SUM(G47:G48)</f>
        <v>3582.6526604000001</v>
      </c>
      <c r="H49" s="30">
        <f>G49-D49</f>
        <v>39.640400000000227</v>
      </c>
      <c r="I49" s="33">
        <f>IF(ISERROR(H49/D49),0,(H49/D49))</f>
        <v>1.1188332719888724E-2</v>
      </c>
      <c r="J49" s="33"/>
      <c r="K49" s="62">
        <f>G49/$G$51</f>
        <v>1.0761904761904761</v>
      </c>
    </row>
    <row r="50" spans="1:11" x14ac:dyDescent="0.2">
      <c r="A50" s="58" t="s">
        <v>104</v>
      </c>
      <c r="B50" s="59"/>
      <c r="C50" s="31">
        <v>-0.08</v>
      </c>
      <c r="D50" s="31">
        <f>D47*C50</f>
        <v>-250.83272639999998</v>
      </c>
      <c r="E50" s="31"/>
      <c r="F50" s="31">
        <f>C50</f>
        <v>-0.08</v>
      </c>
      <c r="G50" s="31">
        <f>G47*F50</f>
        <v>-253.63912639999998</v>
      </c>
      <c r="H50" s="31">
        <f>G50-D50</f>
        <v>-2.8063999999999965</v>
      </c>
      <c r="I50" s="32">
        <f>IF(ISERROR(H50/D50),0,(H50/D50))</f>
        <v>1.1188332719888646E-2</v>
      </c>
      <c r="J50" s="32"/>
      <c r="K50" s="60">
        <f>G50/$G$51</f>
        <v>-7.6190476190476183E-2</v>
      </c>
    </row>
    <row r="51" spans="1:11" ht="13.5" thickBot="1" x14ac:dyDescent="0.25">
      <c r="A51" s="63" t="s">
        <v>116</v>
      </c>
      <c r="B51" s="64"/>
      <c r="C51" s="65"/>
      <c r="D51" s="65">
        <f>SUM(D49:D50)</f>
        <v>3292.1795339999999</v>
      </c>
      <c r="E51" s="65"/>
      <c r="F51" s="65"/>
      <c r="G51" s="65">
        <f>SUM(G49:G50)</f>
        <v>3329.0135340000002</v>
      </c>
      <c r="H51" s="65">
        <f>G51-D51</f>
        <v>36.834000000000287</v>
      </c>
      <c r="I51" s="66">
        <f>IF(ISERROR(H51/D51),0,(H51/D51))</f>
        <v>1.1188332719888748E-2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9" fitToHeight="0" orientation="landscape" r:id="rId1"/>
  <headerFooter>
    <oddHeader>&amp;RFiled: 2017-03-31
EB-2017-0049
Exhibit H1-4-1
Attachment 2
Page &amp;P of &amp;N</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theme="1" tint="0.499984740745262"/>
    <pageSetUpPr fitToPage="1"/>
  </sheetPr>
  <dimension ref="A1:J40"/>
  <sheetViews>
    <sheetView tabSelected="1" view="pageBreakPreview" topLeftCell="A10" zoomScaleNormal="100" zoomScaleSheetLayoutView="100" workbookViewId="0">
      <selection activeCell="E1" sqref="E1:E1048576"/>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118</v>
      </c>
      <c r="B1" s="188"/>
      <c r="C1" s="188"/>
      <c r="D1" s="188"/>
      <c r="E1" s="188"/>
      <c r="F1" s="188"/>
      <c r="G1" s="188"/>
      <c r="H1" s="188"/>
      <c r="I1" s="188"/>
      <c r="J1" s="189"/>
    </row>
    <row r="3" spans="1:10" x14ac:dyDescent="0.2">
      <c r="A3" s="13" t="s">
        <v>13</v>
      </c>
      <c r="B3" s="13" t="s">
        <v>7</v>
      </c>
    </row>
    <row r="4" spans="1:10" x14ac:dyDescent="0.2">
      <c r="A4" s="15" t="s">
        <v>62</v>
      </c>
      <c r="B4" s="79">
        <v>15000</v>
      </c>
    </row>
    <row r="5" spans="1:10" x14ac:dyDescent="0.2">
      <c r="A5" s="15" t="s">
        <v>16</v>
      </c>
      <c r="B5" s="79">
        <v>60</v>
      </c>
    </row>
    <row r="6" spans="1:10" x14ac:dyDescent="0.2">
      <c r="A6" s="15" t="s">
        <v>20</v>
      </c>
      <c r="B6" s="80">
        <f>VLOOKUP($B$3,'Data for Bill Impacts'!$A$3:$Y$15,2,0)</f>
        <v>1.05</v>
      </c>
    </row>
    <row r="7" spans="1:10" x14ac:dyDescent="0.2">
      <c r="A7" s="81" t="s">
        <v>48</v>
      </c>
      <c r="B7" s="82">
        <f>B4/(B5*730)</f>
        <v>0.34246575342465752</v>
      </c>
    </row>
    <row r="8" spans="1:10" x14ac:dyDescent="0.2">
      <c r="A8" s="15" t="s">
        <v>15</v>
      </c>
      <c r="B8" s="79">
        <f>VLOOKUP($B$3,'Data for Bill Impacts'!$A$3:$Y$15,4,0)</f>
        <v>0</v>
      </c>
    </row>
    <row r="9" spans="1:10" x14ac:dyDescent="0.2">
      <c r="A9" s="15" t="s">
        <v>82</v>
      </c>
      <c r="B9" s="79">
        <f>B4*B6</f>
        <v>15750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15750</v>
      </c>
      <c r="C13" s="103">
        <v>0.10299999999999999</v>
      </c>
      <c r="D13" s="104">
        <f>B13*C13</f>
        <v>1622.25</v>
      </c>
      <c r="E13" s="102">
        <f>B13</f>
        <v>15750</v>
      </c>
      <c r="F13" s="103">
        <f>C13</f>
        <v>0.10299999999999999</v>
      </c>
      <c r="G13" s="104">
        <f>E13*F13</f>
        <v>1622.25</v>
      </c>
      <c r="H13" s="104">
        <f>G13-D13</f>
        <v>0</v>
      </c>
      <c r="I13" s="105">
        <f>IF(ISERROR(H13/D13),0,(H13/D13))</f>
        <v>0</v>
      </c>
      <c r="J13" s="124">
        <f t="shared" ref="J13:J21" si="0">G13/$G$38</f>
        <v>0.51203659115461608</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1622.25</v>
      </c>
      <c r="E15" s="76"/>
      <c r="F15" s="25"/>
      <c r="G15" s="25">
        <f>SUM(G13:G14)</f>
        <v>1622.25</v>
      </c>
      <c r="H15" s="25">
        <f t="shared" si="2"/>
        <v>0</v>
      </c>
      <c r="I15" s="27">
        <f t="shared" si="3"/>
        <v>0</v>
      </c>
      <c r="J15" s="47">
        <f t="shared" si="0"/>
        <v>0.51203659115461608</v>
      </c>
    </row>
    <row r="16" spans="1:10" s="1" customFormat="1" x14ac:dyDescent="0.2">
      <c r="A16" s="107" t="s">
        <v>38</v>
      </c>
      <c r="B16" s="73">
        <v>1</v>
      </c>
      <c r="C16" s="78">
        <f>VLOOKUP($B$3,'Data for Bill Impacts'!$A$3:$Y$15,7,0)</f>
        <v>101.13</v>
      </c>
      <c r="D16" s="22">
        <f>B16*C16</f>
        <v>101.13</v>
      </c>
      <c r="E16" s="73">
        <f t="shared" ref="E16:E33" si="4">B16</f>
        <v>1</v>
      </c>
      <c r="F16" s="78">
        <f>VLOOKUP($B$3,'Data for Bill Impacts'!$A$3:$Y$15,17,0)</f>
        <v>102.94</v>
      </c>
      <c r="G16" s="22">
        <f>E16*F16</f>
        <v>102.94</v>
      </c>
      <c r="H16" s="22">
        <f t="shared" si="2"/>
        <v>1.8100000000000023</v>
      </c>
      <c r="I16" s="23">
        <f t="shared" si="3"/>
        <v>1.7897755364382501E-2</v>
      </c>
      <c r="J16" s="125">
        <f t="shared" si="0"/>
        <v>3.249132174045688E-2</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x14ac:dyDescent="0.2">
      <c r="A19" s="107" t="s">
        <v>85</v>
      </c>
      <c r="B19" s="73">
        <v>1</v>
      </c>
      <c r="C19" s="78">
        <f>VLOOKUP($B$3,'Data for Bill Impacts'!$A$3:$Y$15,13,0)</f>
        <v>0.01</v>
      </c>
      <c r="D19" s="22">
        <f t="shared" si="6"/>
        <v>0.01</v>
      </c>
      <c r="E19" s="73">
        <f t="shared" si="4"/>
        <v>1</v>
      </c>
      <c r="F19" s="78">
        <f>VLOOKUP($B$3,'Data for Bill Impacts'!$A$3:$Y$15,22,0)</f>
        <v>0.01</v>
      </c>
      <c r="G19" s="22">
        <f t="shared" si="5"/>
        <v>0.01</v>
      </c>
      <c r="H19" s="22">
        <f t="shared" si="2"/>
        <v>0</v>
      </c>
      <c r="I19" s="23">
        <f t="shared" si="3"/>
        <v>0</v>
      </c>
      <c r="J19" s="125">
        <f t="shared" si="0"/>
        <v>3.1563358986260816E-6</v>
      </c>
    </row>
    <row r="20" spans="1:10" x14ac:dyDescent="0.2">
      <c r="A20" s="107" t="s">
        <v>39</v>
      </c>
      <c r="B20" s="73">
        <f>IF($B$10="kWh",$B$4,$B$5)</f>
        <v>60</v>
      </c>
      <c r="C20" s="78">
        <f>VLOOKUP($B$3,'Data for Bill Impacts'!$A$3:$Y$15,10,0)</f>
        <v>9.5976999999999997</v>
      </c>
      <c r="D20" s="22">
        <f>B20*C20</f>
        <v>575.86199999999997</v>
      </c>
      <c r="E20" s="73">
        <f t="shared" si="4"/>
        <v>60</v>
      </c>
      <c r="F20" s="126">
        <f>VLOOKUP($B$3,'Data for Bill Impacts'!$A$3:$Y$15,19,0)</f>
        <v>9.9375</v>
      </c>
      <c r="G20" s="22">
        <f>E20*F20</f>
        <v>596.25</v>
      </c>
      <c r="H20" s="22">
        <f t="shared" si="2"/>
        <v>20.388000000000034</v>
      </c>
      <c r="I20" s="23">
        <f t="shared" si="3"/>
        <v>3.5404315617283369E-2</v>
      </c>
      <c r="J20" s="125">
        <f t="shared" si="0"/>
        <v>0.18819652795558009</v>
      </c>
    </row>
    <row r="21" spans="1:10" s="1" customFormat="1" x14ac:dyDescent="0.2">
      <c r="A21" s="107" t="s">
        <v>122</v>
      </c>
      <c r="B21" s="73">
        <f>IF($B$10="kWh",$B$4,$B$5)</f>
        <v>60</v>
      </c>
      <c r="C21" s="126">
        <f>VLOOKUP($B$3,'Data for Bill Impacts'!$A$3:$Y$15,14,0)</f>
        <v>6.4600000000000005E-2</v>
      </c>
      <c r="D21" s="22">
        <f>B21*C21</f>
        <v>3.8760000000000003</v>
      </c>
      <c r="E21" s="73">
        <f t="shared" si="4"/>
        <v>60</v>
      </c>
      <c r="F21" s="126">
        <f>VLOOKUP($B$3,'Data for Bill Impacts'!$A$3:$Y$15,23,0)</f>
        <v>6.4600000000000005E-2</v>
      </c>
      <c r="G21" s="22">
        <f>E21*F21</f>
        <v>3.8760000000000003</v>
      </c>
      <c r="H21" s="22">
        <f t="shared" si="2"/>
        <v>0</v>
      </c>
      <c r="I21" s="23">
        <f>IF(ISERROR(H21/D21),0,(H21/D21))</f>
        <v>0</v>
      </c>
      <c r="J21" s="125">
        <f t="shared" si="0"/>
        <v>1.2233957943074691E-3</v>
      </c>
    </row>
    <row r="22" spans="1:10" s="1" customFormat="1" x14ac:dyDescent="0.2">
      <c r="A22" s="107" t="s">
        <v>108</v>
      </c>
      <c r="B22" s="73">
        <f>B9</f>
        <v>15750</v>
      </c>
      <c r="C22" s="126">
        <f>VLOOKUP($B$3,'Data for Bill Impacts'!$A$3:$Y$15,20,0)</f>
        <v>1.9E-3</v>
      </c>
      <c r="D22" s="22">
        <f>B22*C22</f>
        <v>29.925000000000001</v>
      </c>
      <c r="E22" s="73">
        <f>B22</f>
        <v>15750</v>
      </c>
      <c r="F22" s="126">
        <f>VLOOKUP($B$3,'Data for Bill Impacts'!$A$3:$Y$15,21,0)</f>
        <v>1.9E-3</v>
      </c>
      <c r="G22" s="22">
        <f>E22*F22</f>
        <v>29.925000000000001</v>
      </c>
      <c r="H22" s="22">
        <f t="shared" ref="H22" si="7">G22-D22</f>
        <v>0</v>
      </c>
      <c r="I22" s="23">
        <f>IF(ISERROR(H22/D22),0,(H22/D22))</f>
        <v>0</v>
      </c>
      <c r="J22" s="125">
        <f t="shared" ref="J22" si="8">G22/$G$38</f>
        <v>9.4453351766385484E-3</v>
      </c>
    </row>
    <row r="23" spans="1:10" x14ac:dyDescent="0.2">
      <c r="A23" s="110" t="s">
        <v>93</v>
      </c>
      <c r="B23" s="74"/>
      <c r="C23" s="35"/>
      <c r="D23" s="35">
        <f>SUM(D16:D22)</f>
        <v>710.80299999999988</v>
      </c>
      <c r="E23" s="73"/>
      <c r="F23" s="35"/>
      <c r="G23" s="35">
        <f>SUM(G16:G22)</f>
        <v>733.00099999999998</v>
      </c>
      <c r="H23" s="35">
        <f t="shared" si="2"/>
        <v>22.198000000000093</v>
      </c>
      <c r="I23" s="36">
        <f t="shared" si="3"/>
        <v>3.1229468643210703E-2</v>
      </c>
      <c r="J23" s="111">
        <f t="shared" ref="J23:J29" si="9">G23/$G$38</f>
        <v>0.23135973700288162</v>
      </c>
    </row>
    <row r="24" spans="1:10" x14ac:dyDescent="0.2">
      <c r="A24" s="107" t="s">
        <v>40</v>
      </c>
      <c r="B24" s="73">
        <f>B5</f>
        <v>60</v>
      </c>
      <c r="C24" s="78">
        <f>VLOOKUP($B$3,'Data for Bill Impacts'!$A$3:$Y$15,15,0)</f>
        <v>2.2310400000000001</v>
      </c>
      <c r="D24" s="22">
        <f>B24*C24</f>
        <v>133.86240000000001</v>
      </c>
      <c r="E24" s="73">
        <f t="shared" si="4"/>
        <v>60</v>
      </c>
      <c r="F24" s="126">
        <f>VLOOKUP($B$3,'Data for Bill Impacts'!$A$3:$Y$15,24,0)</f>
        <v>2.2310400000000001</v>
      </c>
      <c r="G24" s="22">
        <f>E24*F24</f>
        <v>133.86240000000001</v>
      </c>
      <c r="H24" s="22">
        <f t="shared" si="2"/>
        <v>0</v>
      </c>
      <c r="I24" s="23">
        <f t="shared" si="3"/>
        <v>0</v>
      </c>
      <c r="J24" s="125">
        <f t="shared" si="9"/>
        <v>4.2251469859624399E-2</v>
      </c>
    </row>
    <row r="25" spans="1:10" s="1" customFormat="1" x14ac:dyDescent="0.2">
      <c r="A25" s="107" t="s">
        <v>41</v>
      </c>
      <c r="B25" s="73">
        <f>B5</f>
        <v>60</v>
      </c>
      <c r="C25" s="78">
        <f>VLOOKUP($B$3,'Data for Bill Impacts'!$A$3:$Y$15,16,0)</f>
        <v>1.7046749999999999</v>
      </c>
      <c r="D25" s="22">
        <f>B25*C25</f>
        <v>102.28049999999999</v>
      </c>
      <c r="E25" s="73">
        <f t="shared" si="4"/>
        <v>60</v>
      </c>
      <c r="F25" s="126">
        <f>VLOOKUP($B$3,'Data for Bill Impacts'!$A$3:$Y$15,25,0)</f>
        <v>1.7046749999999999</v>
      </c>
      <c r="G25" s="22">
        <f>E25*F25</f>
        <v>102.28049999999999</v>
      </c>
      <c r="H25" s="22">
        <f t="shared" si="2"/>
        <v>0</v>
      </c>
      <c r="I25" s="23">
        <f t="shared" si="3"/>
        <v>0</v>
      </c>
      <c r="J25" s="125">
        <f t="shared" si="9"/>
        <v>3.2283161387942488E-2</v>
      </c>
    </row>
    <row r="26" spans="1:10" x14ac:dyDescent="0.2">
      <c r="A26" s="110" t="s">
        <v>76</v>
      </c>
      <c r="B26" s="74"/>
      <c r="C26" s="35"/>
      <c r="D26" s="35">
        <f>SUM(D24:D25)</f>
        <v>236.1429</v>
      </c>
      <c r="E26" s="73"/>
      <c r="F26" s="35"/>
      <c r="G26" s="35">
        <f>SUM(G24:G25)</f>
        <v>236.1429</v>
      </c>
      <c r="H26" s="35">
        <f t="shared" si="2"/>
        <v>0</v>
      </c>
      <c r="I26" s="36">
        <f t="shared" si="3"/>
        <v>0</v>
      </c>
      <c r="J26" s="111">
        <f t="shared" si="9"/>
        <v>7.4534631247566888E-2</v>
      </c>
    </row>
    <row r="27" spans="1:10" s="1" customFormat="1" x14ac:dyDescent="0.2">
      <c r="A27" s="110" t="s">
        <v>80</v>
      </c>
      <c r="B27" s="74"/>
      <c r="C27" s="35"/>
      <c r="D27" s="35">
        <f>D23+D26</f>
        <v>946.94589999999994</v>
      </c>
      <c r="E27" s="73"/>
      <c r="F27" s="35"/>
      <c r="G27" s="35">
        <f>G23+G26</f>
        <v>969.14390000000003</v>
      </c>
      <c r="H27" s="35">
        <f t="shared" si="2"/>
        <v>22.198000000000093</v>
      </c>
      <c r="I27" s="36">
        <f t="shared" si="3"/>
        <v>2.344167707996845E-2</v>
      </c>
      <c r="J27" s="111">
        <f t="shared" si="9"/>
        <v>0.30589436825044852</v>
      </c>
    </row>
    <row r="28" spans="1:10" x14ac:dyDescent="0.2">
      <c r="A28" s="107" t="s">
        <v>42</v>
      </c>
      <c r="B28" s="73">
        <f>B9</f>
        <v>15750</v>
      </c>
      <c r="C28" s="34">
        <v>3.5999999999999999E-3</v>
      </c>
      <c r="D28" s="22">
        <f>B28*C28</f>
        <v>56.699999999999996</v>
      </c>
      <c r="E28" s="73">
        <f t="shared" si="4"/>
        <v>15750</v>
      </c>
      <c r="F28" s="34">
        <v>3.5999999999999999E-3</v>
      </c>
      <c r="G28" s="22">
        <f>E28*F28</f>
        <v>56.699999999999996</v>
      </c>
      <c r="H28" s="22">
        <f t="shared" si="2"/>
        <v>0</v>
      </c>
      <c r="I28" s="23">
        <f t="shared" si="3"/>
        <v>0</v>
      </c>
      <c r="J28" s="125">
        <f t="shared" si="9"/>
        <v>1.7896424545209878E-2</v>
      </c>
    </row>
    <row r="29" spans="1:10" x14ac:dyDescent="0.2">
      <c r="A29" s="107" t="s">
        <v>43</v>
      </c>
      <c r="B29" s="73">
        <f>B9</f>
        <v>15750</v>
      </c>
      <c r="C29" s="34">
        <v>2.0999999999999999E-3</v>
      </c>
      <c r="D29" s="22">
        <f>B29*C29</f>
        <v>33.074999999999996</v>
      </c>
      <c r="E29" s="73">
        <f t="shared" si="4"/>
        <v>15750</v>
      </c>
      <c r="F29" s="34">
        <v>2.0999999999999999E-3</v>
      </c>
      <c r="G29" s="22">
        <f>E29*F29</f>
        <v>33.074999999999996</v>
      </c>
      <c r="H29" s="22">
        <f>G29-D29</f>
        <v>0</v>
      </c>
      <c r="I29" s="23">
        <f t="shared" si="3"/>
        <v>0</v>
      </c>
      <c r="J29" s="125">
        <f t="shared" si="9"/>
        <v>1.0439580984705763E-2</v>
      </c>
    </row>
    <row r="30" spans="1:10" x14ac:dyDescent="0.2">
      <c r="A30" s="107" t="s">
        <v>96</v>
      </c>
      <c r="B30" s="73">
        <f>B9</f>
        <v>15750</v>
      </c>
      <c r="C30" s="34">
        <v>1.1000000000000001E-3</v>
      </c>
      <c r="D30" s="22">
        <f>B30*C30</f>
        <v>17.324999999999999</v>
      </c>
      <c r="E30" s="73">
        <f t="shared" si="4"/>
        <v>15750</v>
      </c>
      <c r="F30" s="34">
        <v>1.1000000000000001E-3</v>
      </c>
      <c r="G30" s="22">
        <f>E30*F30</f>
        <v>17.324999999999999</v>
      </c>
      <c r="H30" s="22">
        <f>G30-D30</f>
        <v>0</v>
      </c>
      <c r="I30" s="23">
        <f t="shared" ref="I30" si="10">IF(ISERROR(H30/D30),0,(H30/D30))</f>
        <v>0</v>
      </c>
      <c r="J30" s="125">
        <f t="shared" ref="J30" si="11">G30/$G$38</f>
        <v>5.4683519443696855E-3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2">G31/$G$38</f>
        <v>7.8908397465652036E-5</v>
      </c>
    </row>
    <row r="32" spans="1:10" x14ac:dyDescent="0.2">
      <c r="A32" s="110" t="s">
        <v>45</v>
      </c>
      <c r="B32" s="74"/>
      <c r="C32" s="35"/>
      <c r="D32" s="35">
        <f>SUM(D28:D31)</f>
        <v>107.35</v>
      </c>
      <c r="E32" s="73"/>
      <c r="F32" s="35"/>
      <c r="G32" s="35">
        <f>SUM(G28:G31)</f>
        <v>107.35</v>
      </c>
      <c r="H32" s="35">
        <f t="shared" si="2"/>
        <v>0</v>
      </c>
      <c r="I32" s="36">
        <f t="shared" si="3"/>
        <v>0</v>
      </c>
      <c r="J32" s="111">
        <f t="shared" si="12"/>
        <v>3.388326587175098E-2</v>
      </c>
    </row>
    <row r="33" spans="1:10" ht="13.5" thickBot="1" x14ac:dyDescent="0.25">
      <c r="A33" s="112" t="s">
        <v>46</v>
      </c>
      <c r="B33" s="113">
        <f>B4</f>
        <v>15000</v>
      </c>
      <c r="C33" s="114">
        <v>7.0000000000000001E-3</v>
      </c>
      <c r="D33" s="115">
        <f>B33*C33</f>
        <v>105</v>
      </c>
      <c r="E33" s="116">
        <f t="shared" si="4"/>
        <v>15000</v>
      </c>
      <c r="F33" s="114">
        <f>C33</f>
        <v>7.0000000000000001E-3</v>
      </c>
      <c r="G33" s="115">
        <f>E33*F33</f>
        <v>105</v>
      </c>
      <c r="H33" s="115">
        <f t="shared" si="2"/>
        <v>0</v>
      </c>
      <c r="I33" s="117">
        <f t="shared" si="3"/>
        <v>0</v>
      </c>
      <c r="J33" s="118">
        <f t="shared" si="12"/>
        <v>3.3141526935573852E-2</v>
      </c>
    </row>
    <row r="34" spans="1:10" x14ac:dyDescent="0.2">
      <c r="A34" s="37" t="s">
        <v>111</v>
      </c>
      <c r="B34" s="38"/>
      <c r="C34" s="39"/>
      <c r="D34" s="39">
        <f>SUM(D15,D23,D26,D32,D33)</f>
        <v>2781.5458999999996</v>
      </c>
      <c r="E34" s="38"/>
      <c r="F34" s="39"/>
      <c r="G34" s="39">
        <f>SUM(G15,G23,G26,G32,G33)</f>
        <v>2803.7438999999999</v>
      </c>
      <c r="H34" s="39">
        <f t="shared" si="2"/>
        <v>22.19800000000032</v>
      </c>
      <c r="I34" s="40">
        <f>IF(ISERROR(H34/D34),0,(H34/D34))</f>
        <v>7.9804543221811738E-3</v>
      </c>
      <c r="J34" s="41">
        <f t="shared" si="12"/>
        <v>0.88495575221238942</v>
      </c>
    </row>
    <row r="35" spans="1:10" x14ac:dyDescent="0.2">
      <c r="A35" s="46" t="s">
        <v>102</v>
      </c>
      <c r="B35" s="43"/>
      <c r="C35" s="26">
        <v>0.13</v>
      </c>
      <c r="D35" s="26">
        <f>D34*C35</f>
        <v>361.60096699999997</v>
      </c>
      <c r="E35" s="26"/>
      <c r="F35" s="26">
        <f>C35</f>
        <v>0.13</v>
      </c>
      <c r="G35" s="26">
        <f>G34*F35</f>
        <v>364.48670700000002</v>
      </c>
      <c r="H35" s="26">
        <f t="shared" si="2"/>
        <v>2.8857400000000553</v>
      </c>
      <c r="I35" s="44">
        <f t="shared" ref="I35:I38" si="13">IF(ISERROR(H35/D35),0,(H35/D35))</f>
        <v>7.9804543221812119E-3</v>
      </c>
      <c r="J35" s="45">
        <f t="shared" si="12"/>
        <v>0.11504424778761063</v>
      </c>
    </row>
    <row r="36" spans="1:10" x14ac:dyDescent="0.2">
      <c r="A36" s="46" t="s">
        <v>103</v>
      </c>
      <c r="B36" s="24"/>
      <c r="C36" s="25"/>
      <c r="D36" s="25">
        <f>SUM(D34:D35)</f>
        <v>3143.1468669999995</v>
      </c>
      <c r="E36" s="25"/>
      <c r="F36" s="25"/>
      <c r="G36" s="25">
        <f>SUM(G34:G35)</f>
        <v>3168.230607</v>
      </c>
      <c r="H36" s="25">
        <f t="shared" si="2"/>
        <v>25.083740000000489</v>
      </c>
      <c r="I36" s="27">
        <f t="shared" si="13"/>
        <v>7.9804543221812154E-3</v>
      </c>
      <c r="J36" s="47">
        <f t="shared" si="12"/>
        <v>1</v>
      </c>
    </row>
    <row r="37" spans="1:10" x14ac:dyDescent="0.2">
      <c r="A37" s="46" t="s">
        <v>104</v>
      </c>
      <c r="B37" s="43"/>
      <c r="C37" s="26">
        <v>0</v>
      </c>
      <c r="D37" s="26">
        <f>D34*C37</f>
        <v>0</v>
      </c>
      <c r="E37" s="26"/>
      <c r="F37" s="26">
        <f>C37</f>
        <v>0</v>
      </c>
      <c r="G37" s="26">
        <f>G34*F37</f>
        <v>0</v>
      </c>
      <c r="H37" s="26">
        <f t="shared" si="2"/>
        <v>0</v>
      </c>
      <c r="I37" s="44">
        <f t="shared" si="13"/>
        <v>0</v>
      </c>
      <c r="J37" s="45">
        <f t="shared" si="12"/>
        <v>0</v>
      </c>
    </row>
    <row r="38" spans="1:10" ht="13.5" thickBot="1" x14ac:dyDescent="0.25">
      <c r="A38" s="46" t="s">
        <v>105</v>
      </c>
      <c r="B38" s="49"/>
      <c r="C38" s="50"/>
      <c r="D38" s="50">
        <f>SUM(D36:D37)</f>
        <v>3143.1468669999995</v>
      </c>
      <c r="E38" s="50"/>
      <c r="F38" s="50"/>
      <c r="G38" s="50">
        <f>SUM(G36:G37)</f>
        <v>3168.230607</v>
      </c>
      <c r="H38" s="50">
        <f t="shared" si="2"/>
        <v>25.083740000000489</v>
      </c>
      <c r="I38" s="51">
        <f t="shared" si="13"/>
        <v>7.9804543221812154E-3</v>
      </c>
      <c r="J38" s="52">
        <f t="shared" si="12"/>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theme="1" tint="0.499984740745262"/>
    <pageSetUpPr fitToPage="1"/>
  </sheetPr>
  <dimension ref="A1:J40"/>
  <sheetViews>
    <sheetView tabSelected="1" view="pageBreakPreview" zoomScaleNormal="100" zoomScaleSheetLayoutView="100" workbookViewId="0">
      <selection activeCell="E1" sqref="E1:E1048576"/>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119</v>
      </c>
      <c r="B1" s="188"/>
      <c r="C1" s="188"/>
      <c r="D1" s="188"/>
      <c r="E1" s="188"/>
      <c r="F1" s="188"/>
      <c r="G1" s="188"/>
      <c r="H1" s="188"/>
      <c r="I1" s="188"/>
      <c r="J1" s="189"/>
    </row>
    <row r="3" spans="1:10" x14ac:dyDescent="0.2">
      <c r="A3" s="13" t="s">
        <v>13</v>
      </c>
      <c r="B3" s="13" t="s">
        <v>7</v>
      </c>
    </row>
    <row r="4" spans="1:10" x14ac:dyDescent="0.2">
      <c r="A4" s="15" t="s">
        <v>62</v>
      </c>
      <c r="B4" s="79">
        <f>VLOOKUP(B3,'Data for Bill Impacts'!A19:D31,3,FALSE)</f>
        <v>50525</v>
      </c>
    </row>
    <row r="5" spans="1:10" x14ac:dyDescent="0.2">
      <c r="A5" s="15" t="s">
        <v>16</v>
      </c>
      <c r="B5" s="79">
        <f>VLOOKUP(B3,'Data for Bill Impacts'!A19:D31,4,FALSE)</f>
        <v>135</v>
      </c>
    </row>
    <row r="6" spans="1:10" x14ac:dyDescent="0.2">
      <c r="A6" s="15" t="s">
        <v>20</v>
      </c>
      <c r="B6" s="80">
        <f>VLOOKUP($B$3,'Data for Bill Impacts'!$A$3:$Y$15,2,0)</f>
        <v>1.05</v>
      </c>
    </row>
    <row r="7" spans="1:10" x14ac:dyDescent="0.2">
      <c r="A7" s="81" t="s">
        <v>48</v>
      </c>
      <c r="B7" s="82">
        <f>B4/(B5*730)</f>
        <v>0.51268391679350589</v>
      </c>
    </row>
    <row r="8" spans="1:10" x14ac:dyDescent="0.2">
      <c r="A8" s="15" t="s">
        <v>15</v>
      </c>
      <c r="B8" s="79">
        <f>VLOOKUP($B$3,'Data for Bill Impacts'!$A$3:$Y$15,4,0)</f>
        <v>0</v>
      </c>
    </row>
    <row r="9" spans="1:10" x14ac:dyDescent="0.2">
      <c r="A9" s="15" t="s">
        <v>82</v>
      </c>
      <c r="B9" s="79">
        <f>B4*B6</f>
        <v>53051.25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53051.25</v>
      </c>
      <c r="C13" s="103">
        <v>0.10299999999999999</v>
      </c>
      <c r="D13" s="104">
        <f>B13*C13</f>
        <v>5464.2787499999995</v>
      </c>
      <c r="E13" s="102">
        <f>B13</f>
        <v>53051.25</v>
      </c>
      <c r="F13" s="103">
        <f>C13</f>
        <v>0.10299999999999999</v>
      </c>
      <c r="G13" s="104">
        <f>E13*F13</f>
        <v>5464.2787499999995</v>
      </c>
      <c r="H13" s="104">
        <f>G13-D13</f>
        <v>0</v>
      </c>
      <c r="I13" s="105">
        <f>IF(ISERROR(H13/D13),0,(H13/D13))</f>
        <v>0</v>
      </c>
      <c r="J13" s="124">
        <f t="shared" ref="J13:J21" si="0">G13/$G$38</f>
        <v>0.58512423201925701</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5464.2787499999995</v>
      </c>
      <c r="E15" s="76"/>
      <c r="F15" s="25"/>
      <c r="G15" s="25">
        <f>SUM(G13:G14)</f>
        <v>5464.2787499999995</v>
      </c>
      <c r="H15" s="25">
        <f t="shared" si="2"/>
        <v>0</v>
      </c>
      <c r="I15" s="27">
        <f t="shared" si="3"/>
        <v>0</v>
      </c>
      <c r="J15" s="47">
        <f t="shared" si="0"/>
        <v>0.58512423201925701</v>
      </c>
    </row>
    <row r="16" spans="1:10" s="1" customFormat="1" x14ac:dyDescent="0.2">
      <c r="A16" s="107" t="s">
        <v>38</v>
      </c>
      <c r="B16" s="73">
        <v>1</v>
      </c>
      <c r="C16" s="78">
        <f>VLOOKUP($B$3,'Data for Bill Impacts'!$A$3:$Y$15,7,0)</f>
        <v>101.13</v>
      </c>
      <c r="D16" s="22">
        <f>B16*C16</f>
        <v>101.13</v>
      </c>
      <c r="E16" s="73">
        <f t="shared" ref="E16:E33" si="4">B16</f>
        <v>1</v>
      </c>
      <c r="F16" s="78">
        <f>VLOOKUP($B$3,'Data for Bill Impacts'!$A$3:$Y$15,17,0)</f>
        <v>102.94</v>
      </c>
      <c r="G16" s="22">
        <f>E16*F16</f>
        <v>102.94</v>
      </c>
      <c r="H16" s="22">
        <f t="shared" si="2"/>
        <v>1.8100000000000023</v>
      </c>
      <c r="I16" s="23">
        <f t="shared" si="3"/>
        <v>1.7897755364382501E-2</v>
      </c>
      <c r="J16" s="125">
        <f t="shared" si="0"/>
        <v>1.102298971187411E-2</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x14ac:dyDescent="0.2">
      <c r="A19" s="107" t="s">
        <v>85</v>
      </c>
      <c r="B19" s="73">
        <v>1</v>
      </c>
      <c r="C19" s="78">
        <f>VLOOKUP($B$3,'Data for Bill Impacts'!$A$3:$Y$15,13,0)</f>
        <v>0.01</v>
      </c>
      <c r="D19" s="22">
        <f t="shared" si="6"/>
        <v>0.01</v>
      </c>
      <c r="E19" s="73">
        <f t="shared" si="4"/>
        <v>1</v>
      </c>
      <c r="F19" s="78">
        <f>VLOOKUP($B$3,'Data for Bill Impacts'!$A$3:$Y$15,22,0)</f>
        <v>0.01</v>
      </c>
      <c r="G19" s="22">
        <f t="shared" si="5"/>
        <v>0.01</v>
      </c>
      <c r="H19" s="22">
        <f t="shared" si="2"/>
        <v>0</v>
      </c>
      <c r="I19" s="23">
        <f t="shared" si="3"/>
        <v>0</v>
      </c>
      <c r="J19" s="125">
        <f t="shared" si="0"/>
        <v>1.0708169527758024E-6</v>
      </c>
    </row>
    <row r="20" spans="1:10" x14ac:dyDescent="0.2">
      <c r="A20" s="107" t="s">
        <v>39</v>
      </c>
      <c r="B20" s="73">
        <f>IF($B$10="kWh",$B$4,$B$5)</f>
        <v>135</v>
      </c>
      <c r="C20" s="78">
        <f>VLOOKUP($B$3,'Data for Bill Impacts'!$A$3:$Y$15,10,0)</f>
        <v>9.5976999999999997</v>
      </c>
      <c r="D20" s="22">
        <f>B20*C20</f>
        <v>1295.6895</v>
      </c>
      <c r="E20" s="73">
        <f t="shared" si="4"/>
        <v>135</v>
      </c>
      <c r="F20" s="126">
        <f>VLOOKUP($B$3,'Data for Bill Impacts'!$A$3:$Y$15,19,0)</f>
        <v>9.9375</v>
      </c>
      <c r="G20" s="22">
        <f>E20*F20</f>
        <v>1341.5625</v>
      </c>
      <c r="H20" s="22">
        <f t="shared" si="2"/>
        <v>45.873000000000047</v>
      </c>
      <c r="I20" s="23">
        <f t="shared" si="3"/>
        <v>3.5404315617283348E-2</v>
      </c>
      <c r="J20" s="125">
        <f t="shared" si="0"/>
        <v>0.14365678682082875</v>
      </c>
    </row>
    <row r="21" spans="1:10" s="1" customFormat="1" x14ac:dyDescent="0.2">
      <c r="A21" s="107" t="s">
        <v>122</v>
      </c>
      <c r="B21" s="73">
        <f>IF($B$10="kWh",$B$4,$B$5)</f>
        <v>135</v>
      </c>
      <c r="C21" s="126">
        <f>VLOOKUP($B$3,'Data for Bill Impacts'!$A$3:$Y$15,14,0)</f>
        <v>6.4600000000000005E-2</v>
      </c>
      <c r="D21" s="22">
        <f>B21*C21</f>
        <v>8.7210000000000001</v>
      </c>
      <c r="E21" s="73">
        <f t="shared" si="4"/>
        <v>135</v>
      </c>
      <c r="F21" s="126">
        <f>VLOOKUP($B$3,'Data for Bill Impacts'!$A$3:$Y$15,23,0)</f>
        <v>6.4600000000000005E-2</v>
      </c>
      <c r="G21" s="22">
        <f>E21*F21</f>
        <v>8.7210000000000001</v>
      </c>
      <c r="H21" s="22">
        <f t="shared" si="2"/>
        <v>0</v>
      </c>
      <c r="I21" s="23">
        <f>IF(ISERROR(H21/D21),0,(H21/D21))</f>
        <v>0</v>
      </c>
      <c r="J21" s="125">
        <f t="shared" si="0"/>
        <v>9.3385946451577729E-4</v>
      </c>
    </row>
    <row r="22" spans="1:10" s="1" customFormat="1" x14ac:dyDescent="0.2">
      <c r="A22" s="107" t="s">
        <v>108</v>
      </c>
      <c r="B22" s="73">
        <f>B9</f>
        <v>53051.25</v>
      </c>
      <c r="C22" s="126">
        <f>VLOOKUP($B$3,'Data for Bill Impacts'!$A$3:$Y$15,20,0)</f>
        <v>1.9E-3</v>
      </c>
      <c r="D22" s="22">
        <f>B22*C22</f>
        <v>100.797375</v>
      </c>
      <c r="E22" s="73">
        <f>B22</f>
        <v>53051.25</v>
      </c>
      <c r="F22" s="126">
        <f>VLOOKUP($B$3,'Data for Bill Impacts'!$A$3:$Y$15,21,0)</f>
        <v>1.9E-3</v>
      </c>
      <c r="G22" s="22">
        <f>E22*F22</f>
        <v>100.797375</v>
      </c>
      <c r="H22" s="22">
        <f t="shared" ref="H22" si="7">G22-D22</f>
        <v>0</v>
      </c>
      <c r="I22" s="23">
        <f>IF(ISERROR(H22/D22),0,(H22/D22))</f>
        <v>0</v>
      </c>
      <c r="J22" s="125">
        <f t="shared" ref="J22" si="8">G22/$G$38</f>
        <v>1.0793553794529984E-2</v>
      </c>
    </row>
    <row r="23" spans="1:10" x14ac:dyDescent="0.2">
      <c r="A23" s="110" t="s">
        <v>93</v>
      </c>
      <c r="B23" s="74"/>
      <c r="C23" s="35"/>
      <c r="D23" s="35">
        <f>SUM(D16:D22)</f>
        <v>1506.3478750000002</v>
      </c>
      <c r="E23" s="73"/>
      <c r="F23" s="35"/>
      <c r="G23" s="35">
        <f>SUM(G16:G22)</f>
        <v>1554.0308750000002</v>
      </c>
      <c r="H23" s="35">
        <f t="shared" si="2"/>
        <v>47.682999999999993</v>
      </c>
      <c r="I23" s="36">
        <f t="shared" si="3"/>
        <v>3.1654706586285712E-2</v>
      </c>
      <c r="J23" s="111">
        <f t="shared" ref="J23:J29" si="9">G23/$G$38</f>
        <v>0.1664082606087014</v>
      </c>
    </row>
    <row r="24" spans="1:10" x14ac:dyDescent="0.2">
      <c r="A24" s="107" t="s">
        <v>40</v>
      </c>
      <c r="B24" s="73">
        <f>B5</f>
        <v>135</v>
      </c>
      <c r="C24" s="78">
        <f>VLOOKUP($B$3,'Data for Bill Impacts'!$A$3:$Y$15,15,0)</f>
        <v>2.2310400000000001</v>
      </c>
      <c r="D24" s="22">
        <f>B24*C24</f>
        <v>301.19040000000001</v>
      </c>
      <c r="E24" s="73">
        <f t="shared" si="4"/>
        <v>135</v>
      </c>
      <c r="F24" s="126">
        <f>VLOOKUP($B$3,'Data for Bill Impacts'!$A$3:$Y$15,24,0)</f>
        <v>2.2310400000000001</v>
      </c>
      <c r="G24" s="22">
        <f>E24*F24</f>
        <v>301.19040000000001</v>
      </c>
      <c r="H24" s="22">
        <f t="shared" si="2"/>
        <v>0</v>
      </c>
      <c r="I24" s="23">
        <f t="shared" si="3"/>
        <v>0</v>
      </c>
      <c r="J24" s="125">
        <f t="shared" si="9"/>
        <v>3.2251978633332505E-2</v>
      </c>
    </row>
    <row r="25" spans="1:10" s="1" customFormat="1" x14ac:dyDescent="0.2">
      <c r="A25" s="107" t="s">
        <v>41</v>
      </c>
      <c r="B25" s="73">
        <f>B5</f>
        <v>135</v>
      </c>
      <c r="C25" s="78">
        <f>VLOOKUP($B$3,'Data for Bill Impacts'!$A$3:$Y$15,16,0)</f>
        <v>1.7046749999999999</v>
      </c>
      <c r="D25" s="22">
        <f>B25*C25</f>
        <v>230.131125</v>
      </c>
      <c r="E25" s="73">
        <f t="shared" si="4"/>
        <v>135</v>
      </c>
      <c r="F25" s="126">
        <f>VLOOKUP($B$3,'Data for Bill Impacts'!$A$3:$Y$15,25,0)</f>
        <v>1.7046749999999999</v>
      </c>
      <c r="G25" s="22">
        <f>E25*F25</f>
        <v>230.131125</v>
      </c>
      <c r="H25" s="22">
        <f t="shared" si="2"/>
        <v>0</v>
      </c>
      <c r="I25" s="23">
        <f t="shared" si="3"/>
        <v>0</v>
      </c>
      <c r="J25" s="125">
        <f t="shared" si="9"/>
        <v>2.4642831001136727E-2</v>
      </c>
    </row>
    <row r="26" spans="1:10" x14ac:dyDescent="0.2">
      <c r="A26" s="110" t="s">
        <v>76</v>
      </c>
      <c r="B26" s="74"/>
      <c r="C26" s="35"/>
      <c r="D26" s="35">
        <f>SUM(D24:D25)</f>
        <v>531.32152500000007</v>
      </c>
      <c r="E26" s="73"/>
      <c r="F26" s="35"/>
      <c r="G26" s="35">
        <f>SUM(G24:G25)</f>
        <v>531.32152500000007</v>
      </c>
      <c r="H26" s="35">
        <f t="shared" si="2"/>
        <v>0</v>
      </c>
      <c r="I26" s="36">
        <f t="shared" si="3"/>
        <v>0</v>
      </c>
      <c r="J26" s="111">
        <f t="shared" si="9"/>
        <v>5.6894809634469239E-2</v>
      </c>
    </row>
    <row r="27" spans="1:10" s="1" customFormat="1" x14ac:dyDescent="0.2">
      <c r="A27" s="110" t="s">
        <v>80</v>
      </c>
      <c r="B27" s="74"/>
      <c r="C27" s="35"/>
      <c r="D27" s="35">
        <f>D23+D26</f>
        <v>2037.6694000000002</v>
      </c>
      <c r="E27" s="73"/>
      <c r="F27" s="35"/>
      <c r="G27" s="35">
        <f>G23+G26</f>
        <v>2085.3524000000002</v>
      </c>
      <c r="H27" s="35">
        <f t="shared" si="2"/>
        <v>47.682999999999993</v>
      </c>
      <c r="I27" s="36">
        <f t="shared" si="3"/>
        <v>2.3400753821988977E-2</v>
      </c>
      <c r="J27" s="111">
        <f t="shared" si="9"/>
        <v>0.22330307024317064</v>
      </c>
    </row>
    <row r="28" spans="1:10" x14ac:dyDescent="0.2">
      <c r="A28" s="107" t="s">
        <v>42</v>
      </c>
      <c r="B28" s="73">
        <f>B9</f>
        <v>53051.25</v>
      </c>
      <c r="C28" s="34">
        <v>3.5999999999999999E-3</v>
      </c>
      <c r="D28" s="22">
        <f>B28*C28</f>
        <v>190.9845</v>
      </c>
      <c r="E28" s="73">
        <f t="shared" si="4"/>
        <v>53051.25</v>
      </c>
      <c r="F28" s="34">
        <v>3.5999999999999999E-3</v>
      </c>
      <c r="G28" s="22">
        <f>E28*F28</f>
        <v>190.9845</v>
      </c>
      <c r="H28" s="22">
        <f t="shared" si="2"/>
        <v>0</v>
      </c>
      <c r="I28" s="23">
        <f t="shared" si="3"/>
        <v>0</v>
      </c>
      <c r="J28" s="125">
        <f t="shared" si="9"/>
        <v>2.0450944031741022E-2</v>
      </c>
    </row>
    <row r="29" spans="1:10" x14ac:dyDescent="0.2">
      <c r="A29" s="107" t="s">
        <v>43</v>
      </c>
      <c r="B29" s="73">
        <f>B9</f>
        <v>53051.25</v>
      </c>
      <c r="C29" s="34">
        <v>2.0999999999999999E-3</v>
      </c>
      <c r="D29" s="22">
        <f>B29*C29</f>
        <v>111.407625</v>
      </c>
      <c r="E29" s="73">
        <f t="shared" si="4"/>
        <v>53051.25</v>
      </c>
      <c r="F29" s="34">
        <v>2.0999999999999999E-3</v>
      </c>
      <c r="G29" s="22">
        <f>E29*F29</f>
        <v>111.407625</v>
      </c>
      <c r="H29" s="22">
        <f>G29-D29</f>
        <v>0</v>
      </c>
      <c r="I29" s="23">
        <f t="shared" si="3"/>
        <v>0</v>
      </c>
      <c r="J29" s="125">
        <f t="shared" si="9"/>
        <v>1.192971735184893E-2</v>
      </c>
    </row>
    <row r="30" spans="1:10" x14ac:dyDescent="0.2">
      <c r="A30" s="107" t="s">
        <v>96</v>
      </c>
      <c r="B30" s="73">
        <f>B9</f>
        <v>53051.25</v>
      </c>
      <c r="C30" s="34">
        <v>1.1000000000000001E-3</v>
      </c>
      <c r="D30" s="22">
        <f>B30*C30</f>
        <v>58.356375000000007</v>
      </c>
      <c r="E30" s="73">
        <f t="shared" si="4"/>
        <v>53051.25</v>
      </c>
      <c r="F30" s="34">
        <v>1.1000000000000001E-3</v>
      </c>
      <c r="G30" s="22">
        <f>E30*F30</f>
        <v>58.356375000000007</v>
      </c>
      <c r="H30" s="22">
        <f>G30-D30</f>
        <v>0</v>
      </c>
      <c r="I30" s="23">
        <f t="shared" ref="I30" si="10">IF(ISERROR(H30/D30),0,(H30/D30))</f>
        <v>0</v>
      </c>
      <c r="J30" s="125">
        <f t="shared" ref="J30" si="11">G30/$G$38</f>
        <v>6.2488995652542024E-3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2">G31/$G$38</f>
        <v>2.6770423819395062E-5</v>
      </c>
    </row>
    <row r="32" spans="1:10" x14ac:dyDescent="0.2">
      <c r="A32" s="110" t="s">
        <v>45</v>
      </c>
      <c r="B32" s="74"/>
      <c r="C32" s="35"/>
      <c r="D32" s="35">
        <f>SUM(D28:D31)</f>
        <v>360.99849999999998</v>
      </c>
      <c r="E32" s="73"/>
      <c r="F32" s="35"/>
      <c r="G32" s="35">
        <f>SUM(G28:G31)</f>
        <v>360.99849999999998</v>
      </c>
      <c r="H32" s="35">
        <f t="shared" si="2"/>
        <v>0</v>
      </c>
      <c r="I32" s="36">
        <f t="shared" si="3"/>
        <v>0</v>
      </c>
      <c r="J32" s="111">
        <f t="shared" si="12"/>
        <v>3.8656331372663548E-2</v>
      </c>
    </row>
    <row r="33" spans="1:10" ht="13.5" thickBot="1" x14ac:dyDescent="0.25">
      <c r="A33" s="112" t="s">
        <v>46</v>
      </c>
      <c r="B33" s="113">
        <f>B4</f>
        <v>50525</v>
      </c>
      <c r="C33" s="114">
        <v>7.0000000000000001E-3</v>
      </c>
      <c r="D33" s="115">
        <f>B33*C33</f>
        <v>353.67500000000001</v>
      </c>
      <c r="E33" s="116">
        <f t="shared" si="4"/>
        <v>50525</v>
      </c>
      <c r="F33" s="114">
        <f>C33</f>
        <v>7.0000000000000001E-3</v>
      </c>
      <c r="G33" s="115">
        <f>E33*F33</f>
        <v>353.67500000000001</v>
      </c>
      <c r="H33" s="115">
        <f t="shared" si="2"/>
        <v>0</v>
      </c>
      <c r="I33" s="117">
        <f t="shared" si="3"/>
        <v>0</v>
      </c>
      <c r="J33" s="118">
        <f t="shared" si="12"/>
        <v>3.7872118577298192E-2</v>
      </c>
    </row>
    <row r="34" spans="1:10" x14ac:dyDescent="0.2">
      <c r="A34" s="37" t="s">
        <v>111</v>
      </c>
      <c r="B34" s="38"/>
      <c r="C34" s="39"/>
      <c r="D34" s="39">
        <f>SUM(D15,D23,D26,D32,D33)</f>
        <v>8216.6216499999991</v>
      </c>
      <c r="E34" s="38"/>
      <c r="F34" s="39"/>
      <c r="G34" s="39">
        <f>SUM(G15,G23,G26,G32,G33)</f>
        <v>8264.30465</v>
      </c>
      <c r="H34" s="39">
        <f t="shared" si="2"/>
        <v>47.683000000000902</v>
      </c>
      <c r="I34" s="40">
        <f>IF(ISERROR(H34/D34),0,(H34/D34))</f>
        <v>5.8032366623575644E-3</v>
      </c>
      <c r="J34" s="41">
        <f t="shared" si="12"/>
        <v>0.88495575221238942</v>
      </c>
    </row>
    <row r="35" spans="1:10" x14ac:dyDescent="0.2">
      <c r="A35" s="46" t="s">
        <v>102</v>
      </c>
      <c r="B35" s="43"/>
      <c r="C35" s="26">
        <v>0.13</v>
      </c>
      <c r="D35" s="26">
        <f>D34*C35</f>
        <v>1068.1608145</v>
      </c>
      <c r="E35" s="26"/>
      <c r="F35" s="26">
        <f>C35</f>
        <v>0.13</v>
      </c>
      <c r="G35" s="26">
        <f>G34*F35</f>
        <v>1074.3596044999999</v>
      </c>
      <c r="H35" s="26">
        <f t="shared" si="2"/>
        <v>6.1987899999999172</v>
      </c>
      <c r="I35" s="44">
        <f t="shared" ref="I35:I38" si="13">IF(ISERROR(H35/D35),0,(H35/D35))</f>
        <v>5.8032366623573771E-3</v>
      </c>
      <c r="J35" s="45">
        <f t="shared" si="12"/>
        <v>0.11504424778761062</v>
      </c>
    </row>
    <row r="36" spans="1:10" x14ac:dyDescent="0.2">
      <c r="A36" s="46" t="s">
        <v>103</v>
      </c>
      <c r="B36" s="24"/>
      <c r="C36" s="25"/>
      <c r="D36" s="25">
        <f>SUM(D34:D35)</f>
        <v>9284.7824645000001</v>
      </c>
      <c r="E36" s="25"/>
      <c r="F36" s="25"/>
      <c r="G36" s="25">
        <f>SUM(G34:G35)</f>
        <v>9338.6642544999995</v>
      </c>
      <c r="H36" s="25">
        <f t="shared" si="2"/>
        <v>53.881789999999455</v>
      </c>
      <c r="I36" s="27">
        <f t="shared" si="13"/>
        <v>5.8032366623573953E-3</v>
      </c>
      <c r="J36" s="47">
        <f t="shared" si="12"/>
        <v>1</v>
      </c>
    </row>
    <row r="37" spans="1:10" x14ac:dyDescent="0.2">
      <c r="A37" s="46" t="s">
        <v>104</v>
      </c>
      <c r="B37" s="43"/>
      <c r="C37" s="26">
        <v>0</v>
      </c>
      <c r="D37" s="26">
        <f>D34*C37</f>
        <v>0</v>
      </c>
      <c r="E37" s="26"/>
      <c r="F37" s="26">
        <f>C37</f>
        <v>0</v>
      </c>
      <c r="G37" s="26">
        <f>G34*F37</f>
        <v>0</v>
      </c>
      <c r="H37" s="26">
        <f t="shared" si="2"/>
        <v>0</v>
      </c>
      <c r="I37" s="44">
        <f t="shared" si="13"/>
        <v>0</v>
      </c>
      <c r="J37" s="45">
        <f t="shared" si="12"/>
        <v>0</v>
      </c>
    </row>
    <row r="38" spans="1:10" ht="13.5" thickBot="1" x14ac:dyDescent="0.25">
      <c r="A38" s="46" t="s">
        <v>105</v>
      </c>
      <c r="B38" s="49"/>
      <c r="C38" s="50"/>
      <c r="D38" s="50">
        <f>SUM(D36:D37)</f>
        <v>9284.7824645000001</v>
      </c>
      <c r="E38" s="50"/>
      <c r="F38" s="50"/>
      <c r="G38" s="50">
        <f>SUM(G36:G37)</f>
        <v>9338.6642544999995</v>
      </c>
      <c r="H38" s="50">
        <f t="shared" si="2"/>
        <v>53.881789999999455</v>
      </c>
      <c r="I38" s="51">
        <f t="shared" si="13"/>
        <v>5.8032366623573953E-3</v>
      </c>
      <c r="J38" s="52">
        <f t="shared" si="12"/>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theme="1" tint="0.499984740745262"/>
    <pageSetUpPr fitToPage="1"/>
  </sheetPr>
  <dimension ref="A1:J40"/>
  <sheetViews>
    <sheetView tabSelected="1" view="pageBreakPreview" zoomScaleNormal="100" zoomScaleSheetLayoutView="100" workbookViewId="0">
      <selection activeCell="E1" sqref="E1:E1048576"/>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121</v>
      </c>
      <c r="B1" s="188"/>
      <c r="C1" s="188"/>
      <c r="D1" s="188"/>
      <c r="E1" s="188"/>
      <c r="F1" s="188"/>
      <c r="G1" s="188"/>
      <c r="H1" s="188"/>
      <c r="I1" s="188"/>
      <c r="J1" s="189"/>
    </row>
    <row r="3" spans="1:10" x14ac:dyDescent="0.2">
      <c r="A3" s="13" t="s">
        <v>13</v>
      </c>
      <c r="B3" s="13" t="s">
        <v>7</v>
      </c>
    </row>
    <row r="4" spans="1:10" x14ac:dyDescent="0.2">
      <c r="A4" s="15" t="s">
        <v>62</v>
      </c>
      <c r="B4" s="79">
        <v>175000</v>
      </c>
    </row>
    <row r="5" spans="1:10" x14ac:dyDescent="0.2">
      <c r="A5" s="15" t="s">
        <v>16</v>
      </c>
      <c r="B5" s="79">
        <v>500</v>
      </c>
    </row>
    <row r="6" spans="1:10" x14ac:dyDescent="0.2">
      <c r="A6" s="15" t="s">
        <v>20</v>
      </c>
      <c r="B6" s="80">
        <f>VLOOKUP($B$3,'Data for Bill Impacts'!$A$3:$Y$15,2,0)</f>
        <v>1.05</v>
      </c>
    </row>
    <row r="7" spans="1:10" x14ac:dyDescent="0.2">
      <c r="A7" s="81" t="s">
        <v>48</v>
      </c>
      <c r="B7" s="82">
        <f>B4/(B5*730)</f>
        <v>0.47945205479452052</v>
      </c>
    </row>
    <row r="8" spans="1:10" x14ac:dyDescent="0.2">
      <c r="A8" s="15" t="s">
        <v>15</v>
      </c>
      <c r="B8" s="79">
        <f>VLOOKUP($B$3,'Data for Bill Impacts'!$A$3:$Y$15,4,0)</f>
        <v>0</v>
      </c>
    </row>
    <row r="9" spans="1:10" x14ac:dyDescent="0.2">
      <c r="A9" s="15" t="s">
        <v>82</v>
      </c>
      <c r="B9" s="79">
        <f>B4*B6</f>
        <v>183750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183750</v>
      </c>
      <c r="C13" s="103">
        <v>0.10299999999999999</v>
      </c>
      <c r="D13" s="104">
        <f>B13*C13</f>
        <v>18926.25</v>
      </c>
      <c r="E13" s="102">
        <f>B13</f>
        <v>183750</v>
      </c>
      <c r="F13" s="103">
        <f>C13</f>
        <v>0.10299999999999999</v>
      </c>
      <c r="G13" s="104">
        <f>E13*F13</f>
        <v>18926.25</v>
      </c>
      <c r="H13" s="104">
        <f>G13-D13</f>
        <v>0</v>
      </c>
      <c r="I13" s="105">
        <f>IF(ISERROR(H13/D13),0,(H13/D13))</f>
        <v>0</v>
      </c>
      <c r="J13" s="124">
        <f t="shared" ref="J13:J29" si="0">G13/$G$38</f>
        <v>0.58111525830361377</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18926.25</v>
      </c>
      <c r="E15" s="76"/>
      <c r="F15" s="25"/>
      <c r="G15" s="25">
        <f>SUM(G13:G14)</f>
        <v>18926.25</v>
      </c>
      <c r="H15" s="25">
        <f t="shared" si="2"/>
        <v>0</v>
      </c>
      <c r="I15" s="27">
        <f t="shared" si="3"/>
        <v>0</v>
      </c>
      <c r="J15" s="47">
        <f t="shared" si="0"/>
        <v>0.58111525830361377</v>
      </c>
    </row>
    <row r="16" spans="1:10" s="1" customFormat="1" x14ac:dyDescent="0.2">
      <c r="A16" s="107" t="s">
        <v>38</v>
      </c>
      <c r="B16" s="73">
        <v>1</v>
      </c>
      <c r="C16" s="78">
        <f>VLOOKUP($B$3,'Data for Bill Impacts'!$A$3:$Y$15,7,0)</f>
        <v>101.13</v>
      </c>
      <c r="D16" s="22">
        <f>B16*C16</f>
        <v>101.13</v>
      </c>
      <c r="E16" s="73">
        <f t="shared" ref="E16:E33" si="4">B16</f>
        <v>1</v>
      </c>
      <c r="F16" s="78">
        <f>VLOOKUP($B$3,'Data for Bill Impacts'!$A$3:$Y$15,17,0)</f>
        <v>102.94</v>
      </c>
      <c r="G16" s="22">
        <f>E16*F16</f>
        <v>102.94</v>
      </c>
      <c r="H16" s="22">
        <f t="shared" si="2"/>
        <v>1.8100000000000023</v>
      </c>
      <c r="I16" s="23">
        <f t="shared" si="3"/>
        <v>1.7897755364382501E-2</v>
      </c>
      <c r="J16" s="125">
        <f t="shared" si="0"/>
        <v>3.1606897663178915E-3</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x14ac:dyDescent="0.2">
      <c r="A19" s="107" t="s">
        <v>85</v>
      </c>
      <c r="B19" s="73">
        <v>1</v>
      </c>
      <c r="C19" s="78">
        <f>VLOOKUP($B$3,'Data for Bill Impacts'!$A$3:$Y$15,13,0)</f>
        <v>0.01</v>
      </c>
      <c r="D19" s="22">
        <f t="shared" si="6"/>
        <v>0.01</v>
      </c>
      <c r="E19" s="73">
        <f t="shared" si="4"/>
        <v>1</v>
      </c>
      <c r="F19" s="78">
        <f>VLOOKUP($B$3,'Data for Bill Impacts'!$A$3:$Y$15,22,0)</f>
        <v>0.01</v>
      </c>
      <c r="G19" s="22">
        <f t="shared" si="5"/>
        <v>0.01</v>
      </c>
      <c r="H19" s="22">
        <f t="shared" si="2"/>
        <v>0</v>
      </c>
      <c r="I19" s="23">
        <f t="shared" si="3"/>
        <v>0</v>
      </c>
      <c r="J19" s="125">
        <f t="shared" si="0"/>
        <v>3.0704194349309227E-7</v>
      </c>
    </row>
    <row r="20" spans="1:10" x14ac:dyDescent="0.2">
      <c r="A20" s="107" t="s">
        <v>39</v>
      </c>
      <c r="B20" s="73">
        <f>IF($B$10="kWh",$B$4,$B$5)</f>
        <v>500</v>
      </c>
      <c r="C20" s="78">
        <f>VLOOKUP($B$3,'Data for Bill Impacts'!$A$3:$Y$15,10,0)</f>
        <v>9.5976999999999997</v>
      </c>
      <c r="D20" s="22">
        <f>B20*C20</f>
        <v>4798.8499999999995</v>
      </c>
      <c r="E20" s="73">
        <f t="shared" si="4"/>
        <v>500</v>
      </c>
      <c r="F20" s="126">
        <f>VLOOKUP($B$3,'Data for Bill Impacts'!$A$3:$Y$15,19,0)</f>
        <v>9.9375</v>
      </c>
      <c r="G20" s="22">
        <f>E20*F20</f>
        <v>4968.75</v>
      </c>
      <c r="H20" s="22">
        <f t="shared" si="2"/>
        <v>169.90000000000055</v>
      </c>
      <c r="I20" s="23">
        <f t="shared" si="3"/>
        <v>3.5404315617283424E-2</v>
      </c>
      <c r="J20" s="125">
        <f t="shared" si="0"/>
        <v>0.15256146567313023</v>
      </c>
    </row>
    <row r="21" spans="1:10" s="1" customFormat="1" x14ac:dyDescent="0.2">
      <c r="A21" s="107" t="s">
        <v>122</v>
      </c>
      <c r="B21" s="73">
        <f>IF($B$10="kWh",$B$4,$B$5)</f>
        <v>500</v>
      </c>
      <c r="C21" s="126">
        <f>VLOOKUP($B$3,'Data for Bill Impacts'!$A$3:$Y$15,14,0)</f>
        <v>6.4600000000000005E-2</v>
      </c>
      <c r="D21" s="22">
        <f>B21*C21</f>
        <v>32.300000000000004</v>
      </c>
      <c r="E21" s="73">
        <f t="shared" si="4"/>
        <v>500</v>
      </c>
      <c r="F21" s="126">
        <f>VLOOKUP($B$3,'Data for Bill Impacts'!$A$3:$Y$15,23,0)</f>
        <v>6.4600000000000005E-2</v>
      </c>
      <c r="G21" s="22">
        <f>E21*F21</f>
        <v>32.300000000000004</v>
      </c>
      <c r="H21" s="22">
        <f t="shared" si="2"/>
        <v>0</v>
      </c>
      <c r="I21" s="23">
        <f>IF(ISERROR(H21/D21),0,(H21/D21))</f>
        <v>0</v>
      </c>
      <c r="J21" s="125">
        <f t="shared" si="0"/>
        <v>9.9174547748268819E-4</v>
      </c>
    </row>
    <row r="22" spans="1:10" s="1" customFormat="1" x14ac:dyDescent="0.2">
      <c r="A22" s="107" t="s">
        <v>108</v>
      </c>
      <c r="B22" s="73">
        <f>B9</f>
        <v>183750</v>
      </c>
      <c r="C22" s="126">
        <f>VLOOKUP($B$3,'Data for Bill Impacts'!$A$3:$Y$15,20,0)</f>
        <v>1.9E-3</v>
      </c>
      <c r="D22" s="22">
        <f>B22*C22</f>
        <v>349.125</v>
      </c>
      <c r="E22" s="73">
        <f>B22</f>
        <v>183750</v>
      </c>
      <c r="F22" s="126">
        <f>VLOOKUP($B$3,'Data for Bill Impacts'!$A$3:$Y$15,21,0)</f>
        <v>1.9E-3</v>
      </c>
      <c r="G22" s="22">
        <f>E22*F22</f>
        <v>349.125</v>
      </c>
      <c r="H22" s="22">
        <f t="shared" ref="H22" si="7">G22-D22</f>
        <v>0</v>
      </c>
      <c r="I22" s="23">
        <f>IF(ISERROR(H22/D22),0,(H22/D22))</f>
        <v>0</v>
      </c>
      <c r="J22" s="125">
        <f t="shared" si="0"/>
        <v>1.0719601852202583E-2</v>
      </c>
    </row>
    <row r="23" spans="1:10" x14ac:dyDescent="0.2">
      <c r="A23" s="110" t="s">
        <v>93</v>
      </c>
      <c r="B23" s="74"/>
      <c r="C23" s="35"/>
      <c r="D23" s="35">
        <f>SUM(D16:D22)</f>
        <v>5281.415</v>
      </c>
      <c r="E23" s="73"/>
      <c r="F23" s="35"/>
      <c r="G23" s="35">
        <f>SUM(G16:G22)</f>
        <v>5453.125</v>
      </c>
      <c r="H23" s="35">
        <f t="shared" si="2"/>
        <v>171.71000000000004</v>
      </c>
      <c r="I23" s="36">
        <f t="shared" si="3"/>
        <v>3.2512120331388471E-2</v>
      </c>
      <c r="J23" s="111">
        <f t="shared" si="0"/>
        <v>0.16743380981107686</v>
      </c>
    </row>
    <row r="24" spans="1:10" x14ac:dyDescent="0.2">
      <c r="A24" s="107" t="s">
        <v>40</v>
      </c>
      <c r="B24" s="73">
        <f>B5</f>
        <v>500</v>
      </c>
      <c r="C24" s="78">
        <f>VLOOKUP($B$3,'Data for Bill Impacts'!$A$3:$Y$15,15,0)</f>
        <v>2.2310400000000001</v>
      </c>
      <c r="D24" s="22">
        <f>B24*C24</f>
        <v>1115.52</v>
      </c>
      <c r="E24" s="73">
        <f t="shared" si="4"/>
        <v>500</v>
      </c>
      <c r="F24" s="126">
        <f>VLOOKUP($B$3,'Data for Bill Impacts'!$A$3:$Y$15,24,0)</f>
        <v>2.2310400000000001</v>
      </c>
      <c r="G24" s="22">
        <f>E24*F24</f>
        <v>1115.52</v>
      </c>
      <c r="H24" s="22">
        <f t="shared" si="2"/>
        <v>0</v>
      </c>
      <c r="I24" s="23">
        <f t="shared" si="3"/>
        <v>0</v>
      </c>
      <c r="J24" s="125">
        <f t="shared" si="0"/>
        <v>3.425114288054143E-2</v>
      </c>
    </row>
    <row r="25" spans="1:10" s="1" customFormat="1" x14ac:dyDescent="0.2">
      <c r="A25" s="107" t="s">
        <v>41</v>
      </c>
      <c r="B25" s="73">
        <f>B5</f>
        <v>500</v>
      </c>
      <c r="C25" s="78">
        <f>VLOOKUP($B$3,'Data for Bill Impacts'!$A$3:$Y$15,16,0)</f>
        <v>1.7046749999999999</v>
      </c>
      <c r="D25" s="22">
        <f>B25*C25</f>
        <v>852.33749999999998</v>
      </c>
      <c r="E25" s="73">
        <f t="shared" si="4"/>
        <v>500</v>
      </c>
      <c r="F25" s="126">
        <f>VLOOKUP($B$3,'Data for Bill Impacts'!$A$3:$Y$15,25,0)</f>
        <v>1.7046749999999999</v>
      </c>
      <c r="G25" s="22">
        <f>E25*F25</f>
        <v>852.33749999999998</v>
      </c>
      <c r="H25" s="22">
        <f t="shared" si="2"/>
        <v>0</v>
      </c>
      <c r="I25" s="23">
        <f t="shared" si="3"/>
        <v>0</v>
      </c>
      <c r="J25" s="125">
        <f t="shared" si="0"/>
        <v>2.6170336251204351E-2</v>
      </c>
    </row>
    <row r="26" spans="1:10" x14ac:dyDescent="0.2">
      <c r="A26" s="110" t="s">
        <v>76</v>
      </c>
      <c r="B26" s="74"/>
      <c r="C26" s="35"/>
      <c r="D26" s="35">
        <f>SUM(D24:D25)</f>
        <v>1967.8575000000001</v>
      </c>
      <c r="E26" s="73"/>
      <c r="F26" s="35"/>
      <c r="G26" s="35">
        <f>SUM(G24:G25)</f>
        <v>1967.8575000000001</v>
      </c>
      <c r="H26" s="35">
        <f t="shared" si="2"/>
        <v>0</v>
      </c>
      <c r="I26" s="36">
        <f t="shared" si="3"/>
        <v>0</v>
      </c>
      <c r="J26" s="111">
        <f t="shared" si="0"/>
        <v>6.0421479131745781E-2</v>
      </c>
    </row>
    <row r="27" spans="1:10" s="1" customFormat="1" x14ac:dyDescent="0.2">
      <c r="A27" s="110" t="s">
        <v>80</v>
      </c>
      <c r="B27" s="74"/>
      <c r="C27" s="35"/>
      <c r="D27" s="35">
        <f>D23+D26</f>
        <v>7249.2725</v>
      </c>
      <c r="E27" s="73"/>
      <c r="F27" s="35"/>
      <c r="G27" s="35">
        <f>G23+G26</f>
        <v>7420.9825000000001</v>
      </c>
      <c r="H27" s="35">
        <f t="shared" si="2"/>
        <v>171.71000000000004</v>
      </c>
      <c r="I27" s="36">
        <f t="shared" si="3"/>
        <v>2.3686514750273221E-2</v>
      </c>
      <c r="J27" s="111">
        <f t="shared" si="0"/>
        <v>0.22785528894282264</v>
      </c>
    </row>
    <row r="28" spans="1:10" x14ac:dyDescent="0.2">
      <c r="A28" s="107" t="s">
        <v>42</v>
      </c>
      <c r="B28" s="73">
        <f>B9</f>
        <v>183750</v>
      </c>
      <c r="C28" s="34">
        <v>3.5999999999999999E-3</v>
      </c>
      <c r="D28" s="22">
        <f>B28*C28</f>
        <v>661.5</v>
      </c>
      <c r="E28" s="73">
        <f t="shared" si="4"/>
        <v>183750</v>
      </c>
      <c r="F28" s="34">
        <v>3.5999999999999999E-3</v>
      </c>
      <c r="G28" s="22">
        <f>E28*F28</f>
        <v>661.5</v>
      </c>
      <c r="H28" s="22">
        <f t="shared" si="2"/>
        <v>0</v>
      </c>
      <c r="I28" s="23">
        <f t="shared" si="3"/>
        <v>0</v>
      </c>
      <c r="J28" s="125">
        <f t="shared" si="0"/>
        <v>2.0310824562068053E-2</v>
      </c>
    </row>
    <row r="29" spans="1:10" x14ac:dyDescent="0.2">
      <c r="A29" s="107" t="s">
        <v>43</v>
      </c>
      <c r="B29" s="73">
        <f>B9</f>
        <v>183750</v>
      </c>
      <c r="C29" s="34">
        <v>2.0999999999999999E-3</v>
      </c>
      <c r="D29" s="22">
        <f>B29*C29</f>
        <v>385.875</v>
      </c>
      <c r="E29" s="73">
        <f t="shared" si="4"/>
        <v>183750</v>
      </c>
      <c r="F29" s="34">
        <v>2.0999999999999999E-3</v>
      </c>
      <c r="G29" s="22">
        <f>E29*F29</f>
        <v>385.875</v>
      </c>
      <c r="H29" s="22">
        <f>G29-D29</f>
        <v>0</v>
      </c>
      <c r="I29" s="23">
        <f t="shared" si="3"/>
        <v>0</v>
      </c>
      <c r="J29" s="125">
        <f t="shared" si="0"/>
        <v>1.1847980994539698E-2</v>
      </c>
    </row>
    <row r="30" spans="1:10" x14ac:dyDescent="0.2">
      <c r="A30" s="107" t="s">
        <v>96</v>
      </c>
      <c r="B30" s="73">
        <f>B9</f>
        <v>183750</v>
      </c>
      <c r="C30" s="34">
        <v>1.1000000000000001E-3</v>
      </c>
      <c r="D30" s="22">
        <f>B30*C30</f>
        <v>202.125</v>
      </c>
      <c r="E30" s="73">
        <f t="shared" si="4"/>
        <v>183750</v>
      </c>
      <c r="F30" s="34">
        <v>1.1000000000000001E-3</v>
      </c>
      <c r="G30" s="22">
        <f>E30*F30</f>
        <v>202.125</v>
      </c>
      <c r="H30" s="22">
        <f>G30-D30</f>
        <v>0</v>
      </c>
      <c r="I30" s="23">
        <f t="shared" ref="I30" si="8">IF(ISERROR(H30/D30),0,(H30/D30))</f>
        <v>0</v>
      </c>
      <c r="J30" s="125">
        <f t="shared" ref="J30" si="9">G30/$G$38</f>
        <v>6.2060852828541273E-3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0">G31/$G$38</f>
        <v>7.6760485873273063E-6</v>
      </c>
    </row>
    <row r="32" spans="1:10" x14ac:dyDescent="0.2">
      <c r="A32" s="110" t="s">
        <v>45</v>
      </c>
      <c r="B32" s="74"/>
      <c r="C32" s="35"/>
      <c r="D32" s="35">
        <f>SUM(D28:D31)</f>
        <v>1249.75</v>
      </c>
      <c r="E32" s="73"/>
      <c r="F32" s="35"/>
      <c r="G32" s="35">
        <f>SUM(G28:G31)</f>
        <v>1249.75</v>
      </c>
      <c r="H32" s="35">
        <f t="shared" si="2"/>
        <v>0</v>
      </c>
      <c r="I32" s="36">
        <f t="shared" si="3"/>
        <v>0</v>
      </c>
      <c r="J32" s="111">
        <f t="shared" si="10"/>
        <v>3.8372566888049207E-2</v>
      </c>
    </row>
    <row r="33" spans="1:10" ht="13.5" thickBot="1" x14ac:dyDescent="0.25">
      <c r="A33" s="112" t="s">
        <v>46</v>
      </c>
      <c r="B33" s="113">
        <f>B4</f>
        <v>175000</v>
      </c>
      <c r="C33" s="114">
        <v>7.0000000000000001E-3</v>
      </c>
      <c r="D33" s="115">
        <f>B33*C33</f>
        <v>1225</v>
      </c>
      <c r="E33" s="116">
        <f t="shared" si="4"/>
        <v>175000</v>
      </c>
      <c r="F33" s="114">
        <f>C33</f>
        <v>7.0000000000000001E-3</v>
      </c>
      <c r="G33" s="115">
        <f>E33*F33</f>
        <v>1225</v>
      </c>
      <c r="H33" s="115">
        <f t="shared" si="2"/>
        <v>0</v>
      </c>
      <c r="I33" s="117">
        <f t="shared" si="3"/>
        <v>0</v>
      </c>
      <c r="J33" s="118">
        <f t="shared" si="10"/>
        <v>3.7612638077903798E-2</v>
      </c>
    </row>
    <row r="34" spans="1:10" x14ac:dyDescent="0.2">
      <c r="A34" s="37" t="s">
        <v>111</v>
      </c>
      <c r="B34" s="38"/>
      <c r="C34" s="39"/>
      <c r="D34" s="39">
        <f>SUM(D15,D23,D26,D32,D33)</f>
        <v>28650.272499999999</v>
      </c>
      <c r="E34" s="38"/>
      <c r="F34" s="39"/>
      <c r="G34" s="39">
        <f>SUM(G15,G23,G26,G32,G33)</f>
        <v>28821.982499999998</v>
      </c>
      <c r="H34" s="39">
        <f t="shared" si="2"/>
        <v>171.70999999999913</v>
      </c>
      <c r="I34" s="40">
        <f>IF(ISERROR(H34/D34),0,(H34/D34))</f>
        <v>5.9933112329036012E-3</v>
      </c>
      <c r="J34" s="41">
        <f t="shared" si="10"/>
        <v>0.88495575221238931</v>
      </c>
    </row>
    <row r="35" spans="1:10" x14ac:dyDescent="0.2">
      <c r="A35" s="46" t="s">
        <v>102</v>
      </c>
      <c r="B35" s="43"/>
      <c r="C35" s="26">
        <v>0.13</v>
      </c>
      <c r="D35" s="26">
        <f>D34*C35</f>
        <v>3724.535425</v>
      </c>
      <c r="E35" s="26"/>
      <c r="F35" s="26">
        <f>C35</f>
        <v>0.13</v>
      </c>
      <c r="G35" s="26">
        <f>G34*F35</f>
        <v>3746.8577249999998</v>
      </c>
      <c r="H35" s="26">
        <f t="shared" si="2"/>
        <v>22.322299999999814</v>
      </c>
      <c r="I35" s="44">
        <f t="shared" ref="I35:I38" si="11">IF(ISERROR(H35/D35),0,(H35/D35))</f>
        <v>5.9933112329035813E-3</v>
      </c>
      <c r="J35" s="45">
        <f t="shared" si="10"/>
        <v>0.11504424778761062</v>
      </c>
    </row>
    <row r="36" spans="1:10" x14ac:dyDescent="0.2">
      <c r="A36" s="46" t="s">
        <v>103</v>
      </c>
      <c r="B36" s="24"/>
      <c r="C36" s="25"/>
      <c r="D36" s="25">
        <f>SUM(D34:D35)</f>
        <v>32374.807925000001</v>
      </c>
      <c r="E36" s="25"/>
      <c r="F36" s="25"/>
      <c r="G36" s="25">
        <f>SUM(G34:G35)</f>
        <v>32568.840225</v>
      </c>
      <c r="H36" s="25">
        <f t="shared" si="2"/>
        <v>194.03229999999894</v>
      </c>
      <c r="I36" s="27">
        <f t="shared" si="11"/>
        <v>5.9933112329035986E-3</v>
      </c>
      <c r="J36" s="47">
        <f t="shared" si="10"/>
        <v>1</v>
      </c>
    </row>
    <row r="37" spans="1:10" x14ac:dyDescent="0.2">
      <c r="A37" s="46" t="s">
        <v>104</v>
      </c>
      <c r="B37" s="43"/>
      <c r="C37" s="26">
        <v>0</v>
      </c>
      <c r="D37" s="26">
        <f>D34*C37</f>
        <v>0</v>
      </c>
      <c r="E37" s="26"/>
      <c r="F37" s="26">
        <f>C37</f>
        <v>0</v>
      </c>
      <c r="G37" s="26">
        <f>G34*F37</f>
        <v>0</v>
      </c>
      <c r="H37" s="26">
        <f t="shared" si="2"/>
        <v>0</v>
      </c>
      <c r="I37" s="44">
        <f t="shared" si="11"/>
        <v>0</v>
      </c>
      <c r="J37" s="45">
        <f t="shared" si="10"/>
        <v>0</v>
      </c>
    </row>
    <row r="38" spans="1:10" ht="13.5" thickBot="1" x14ac:dyDescent="0.25">
      <c r="A38" s="46" t="s">
        <v>105</v>
      </c>
      <c r="B38" s="49"/>
      <c r="C38" s="50"/>
      <c r="D38" s="50">
        <f>SUM(D36:D37)</f>
        <v>32374.807925000001</v>
      </c>
      <c r="E38" s="50"/>
      <c r="F38" s="50"/>
      <c r="G38" s="50">
        <f>SUM(G36:G37)</f>
        <v>32568.840225</v>
      </c>
      <c r="H38" s="50">
        <f t="shared" si="2"/>
        <v>194.03229999999894</v>
      </c>
      <c r="I38" s="51">
        <f t="shared" si="11"/>
        <v>5.9933112329035986E-3</v>
      </c>
      <c r="J38" s="52">
        <f t="shared" si="1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499984740745262"/>
    <pageSetUpPr fitToPage="1"/>
  </sheetPr>
  <dimension ref="A1:K68"/>
  <sheetViews>
    <sheetView tabSelected="1" zoomScaleNormal="100" zoomScaleSheetLayoutView="100" workbookViewId="0">
      <selection activeCell="E1" sqref="E1:E1048576"/>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118</v>
      </c>
      <c r="B1" s="188"/>
      <c r="C1" s="188"/>
      <c r="D1" s="188"/>
      <c r="E1" s="188"/>
      <c r="F1" s="188"/>
      <c r="G1" s="188"/>
      <c r="H1" s="188"/>
      <c r="I1" s="188"/>
      <c r="J1" s="188"/>
      <c r="K1" s="189"/>
    </row>
    <row r="3" spans="1:11" x14ac:dyDescent="0.2">
      <c r="A3" s="13" t="s">
        <v>13</v>
      </c>
      <c r="B3" s="13" t="s">
        <v>0</v>
      </c>
    </row>
    <row r="4" spans="1:11" x14ac:dyDescent="0.2">
      <c r="A4" s="15" t="s">
        <v>62</v>
      </c>
      <c r="B4" s="15">
        <v>350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69">
        <f>B4*B6</f>
        <v>369.95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350</v>
      </c>
      <c r="C12" s="103">
        <v>0.10299999999999999</v>
      </c>
      <c r="D12" s="104">
        <f>B12*C12</f>
        <v>36.049999999999997</v>
      </c>
      <c r="E12" s="102">
        <f>B12</f>
        <v>350</v>
      </c>
      <c r="F12" s="103">
        <f>C12</f>
        <v>0.10299999999999999</v>
      </c>
      <c r="G12" s="104">
        <f>E12*F12</f>
        <v>36.049999999999997</v>
      </c>
      <c r="H12" s="104">
        <f>G12-D12</f>
        <v>0</v>
      </c>
      <c r="I12" s="105">
        <f>IF(ISERROR(H12/D12),0,(H12/D12))</f>
        <v>0</v>
      </c>
      <c r="J12" s="105">
        <f>G12/$G$46</f>
        <v>0.42936408451579128</v>
      </c>
      <c r="K12" s="106"/>
    </row>
    <row r="13" spans="1:11" x14ac:dyDescent="0.2">
      <c r="A13" s="107" t="s">
        <v>32</v>
      </c>
      <c r="B13" s="73">
        <f>IF(B4&gt;B7,(B4)-B7,0)</f>
        <v>0</v>
      </c>
      <c r="C13" s="21">
        <v>0.121</v>
      </c>
      <c r="D13" s="22">
        <f>B13*C13</f>
        <v>0</v>
      </c>
      <c r="E13" s="73">
        <f t="shared" ref="E13:E41"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36.049999999999997</v>
      </c>
      <c r="E14" s="76"/>
      <c r="F14" s="25"/>
      <c r="G14" s="25">
        <f>SUM(G12:G13)</f>
        <v>36.049999999999997</v>
      </c>
      <c r="H14" s="25">
        <f t="shared" si="1"/>
        <v>0</v>
      </c>
      <c r="I14" s="27">
        <f t="shared" si="2"/>
        <v>0</v>
      </c>
      <c r="J14" s="27">
        <f>G14/$G$46</f>
        <v>0.42936408451579128</v>
      </c>
      <c r="K14" s="108"/>
    </row>
    <row r="15" spans="1:11" s="1" customFormat="1" x14ac:dyDescent="0.2">
      <c r="A15" s="109" t="s">
        <v>34</v>
      </c>
      <c r="B15" s="75">
        <f>B4*0.65</f>
        <v>227.5</v>
      </c>
      <c r="C15" s="28">
        <v>8.6999999999999994E-2</v>
      </c>
      <c r="D15" s="22">
        <f>B15*C15</f>
        <v>19.792499999999997</v>
      </c>
      <c r="E15" s="73">
        <f t="shared" ref="E15:F17" si="3">B15</f>
        <v>227.5</v>
      </c>
      <c r="F15" s="28">
        <f t="shared" si="3"/>
        <v>8.6999999999999994E-2</v>
      </c>
      <c r="G15" s="22">
        <f>E15*F15</f>
        <v>19.792499999999997</v>
      </c>
      <c r="H15" s="22">
        <f t="shared" si="1"/>
        <v>0</v>
      </c>
      <c r="I15" s="23">
        <f t="shared" si="2"/>
        <v>0</v>
      </c>
      <c r="J15" s="23"/>
      <c r="K15" s="108">
        <f t="shared" ref="K15:K26" si="4">G15/$G$51</f>
        <v>0.22692498757498414</v>
      </c>
    </row>
    <row r="16" spans="1:11" s="1" customFormat="1" x14ac:dyDescent="0.2">
      <c r="A16" s="109" t="s">
        <v>35</v>
      </c>
      <c r="B16" s="75">
        <f>B4*0.17</f>
        <v>59.500000000000007</v>
      </c>
      <c r="C16" s="28">
        <v>0.13200000000000001</v>
      </c>
      <c r="D16" s="22">
        <f>B16*C16</f>
        <v>7.854000000000001</v>
      </c>
      <c r="E16" s="73">
        <f t="shared" si="3"/>
        <v>59.500000000000007</v>
      </c>
      <c r="F16" s="28">
        <f t="shared" si="3"/>
        <v>0.13200000000000001</v>
      </c>
      <c r="G16" s="22">
        <f>E16*F16</f>
        <v>7.854000000000001</v>
      </c>
      <c r="H16" s="22">
        <f t="shared" si="1"/>
        <v>0</v>
      </c>
      <c r="I16" s="23">
        <f t="shared" si="2"/>
        <v>0</v>
      </c>
      <c r="J16" s="23"/>
      <c r="K16" s="108">
        <f t="shared" si="4"/>
        <v>9.0047687377235119E-2</v>
      </c>
    </row>
    <row r="17" spans="1:11" s="1" customFormat="1" x14ac:dyDescent="0.2">
      <c r="A17" s="109" t="s">
        <v>36</v>
      </c>
      <c r="B17" s="75">
        <f>B4*0.18</f>
        <v>63</v>
      </c>
      <c r="C17" s="28">
        <v>0.18</v>
      </c>
      <c r="D17" s="22">
        <f>B17*C17</f>
        <v>11.34</v>
      </c>
      <c r="E17" s="73">
        <f t="shared" si="3"/>
        <v>63</v>
      </c>
      <c r="F17" s="28">
        <f t="shared" si="3"/>
        <v>0.18</v>
      </c>
      <c r="G17" s="22">
        <f>E17*F17</f>
        <v>11.34</v>
      </c>
      <c r="H17" s="22">
        <f t="shared" si="1"/>
        <v>0</v>
      </c>
      <c r="I17" s="23">
        <f t="shared" si="2"/>
        <v>0</v>
      </c>
      <c r="J17" s="23"/>
      <c r="K17" s="108">
        <f t="shared" si="4"/>
        <v>0.13001537749654266</v>
      </c>
    </row>
    <row r="18" spans="1:11" s="1" customFormat="1" x14ac:dyDescent="0.2">
      <c r="A18" s="61" t="s">
        <v>37</v>
      </c>
      <c r="B18" s="29"/>
      <c r="C18" s="30"/>
      <c r="D18" s="30">
        <f>SUM(D15:D17)</f>
        <v>38.986499999999992</v>
      </c>
      <c r="E18" s="77"/>
      <c r="F18" s="30"/>
      <c r="G18" s="30">
        <f>SUM(G15:G17)</f>
        <v>38.986499999999992</v>
      </c>
      <c r="H18" s="31">
        <f t="shared" si="1"/>
        <v>0</v>
      </c>
      <c r="I18" s="32">
        <f t="shared" si="2"/>
        <v>0</v>
      </c>
      <c r="J18" s="33">
        <f t="shared" ref="J18:J26" si="5">G18/$G$46</f>
        <v>0.46433849877877653</v>
      </c>
      <c r="K18" s="62">
        <f t="shared" si="4"/>
        <v>0.44698805244876183</v>
      </c>
    </row>
    <row r="19" spans="1:11" x14ac:dyDescent="0.2">
      <c r="A19" s="107" t="s">
        <v>38</v>
      </c>
      <c r="B19" s="73">
        <v>1</v>
      </c>
      <c r="C19" s="122">
        <f>VLOOKUP($B$3,'Data for Bill Impacts'!$A$3:$Y$15,7,0)</f>
        <v>27.76</v>
      </c>
      <c r="D19" s="22">
        <f>B19*C19</f>
        <v>27.76</v>
      </c>
      <c r="E19" s="73">
        <f t="shared" si="0"/>
        <v>1</v>
      </c>
      <c r="F19" s="122">
        <f>VLOOKUP($B$3,'Data for Bill Impacts'!$A$3:$Y$15,17,0)</f>
        <v>31.3</v>
      </c>
      <c r="G19" s="22">
        <f>E19*F19</f>
        <v>31.3</v>
      </c>
      <c r="H19" s="22">
        <f t="shared" si="1"/>
        <v>3.5399999999999991</v>
      </c>
      <c r="I19" s="23">
        <f t="shared" si="2"/>
        <v>0.12752161383285299</v>
      </c>
      <c r="J19" s="23">
        <f t="shared" si="5"/>
        <v>0.37279045340760797</v>
      </c>
      <c r="K19" s="108">
        <f t="shared" si="4"/>
        <v>0.35886078621179768</v>
      </c>
    </row>
    <row r="20" spans="1:11" hidden="1" x14ac:dyDescent="0.2">
      <c r="A20" s="107" t="s">
        <v>83</v>
      </c>
      <c r="B20" s="73">
        <v>1</v>
      </c>
      <c r="C20" s="78">
        <f>VLOOKUP($B$3,'Data for Bill Impacts'!$A$3:$Y$15,8,0)</f>
        <v>0</v>
      </c>
      <c r="D20" s="22">
        <f>B20*C20</f>
        <v>0</v>
      </c>
      <c r="E20" s="73">
        <f t="shared" si="0"/>
        <v>1</v>
      </c>
      <c r="F20" s="78">
        <v>0</v>
      </c>
      <c r="G20" s="22">
        <f t="shared" ref="G20:G22" si="6">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7">B21*C21</f>
        <v>0</v>
      </c>
      <c r="E21" s="73">
        <f t="shared" si="0"/>
        <v>1</v>
      </c>
      <c r="F21" s="122">
        <f>VLOOKUP($B$3,'Data for Bill Impacts'!$A$3:$Y$15,12,0)</f>
        <v>0</v>
      </c>
      <c r="G21" s="22">
        <f t="shared" si="6"/>
        <v>0</v>
      </c>
      <c r="H21" s="22">
        <f t="shared" ref="H21:H22" si="8">G21-D21</f>
        <v>0</v>
      </c>
      <c r="I21" s="23">
        <f t="shared" ref="I21:I22" si="9">IF(ISERROR(H21/D21),0,(H21/D21))</f>
        <v>0</v>
      </c>
      <c r="J21" s="23">
        <f t="shared" si="5"/>
        <v>0</v>
      </c>
      <c r="K21" s="108">
        <f t="shared" si="4"/>
        <v>0</v>
      </c>
    </row>
    <row r="22" spans="1:11" x14ac:dyDescent="0.2">
      <c r="A22" s="107" t="s">
        <v>85</v>
      </c>
      <c r="B22" s="73">
        <v>1</v>
      </c>
      <c r="C22" s="78">
        <f>VLOOKUP($B$3,'Data for Bill Impacts'!$A$3:$Y$15,13,0)</f>
        <v>0.01</v>
      </c>
      <c r="D22" s="22">
        <f t="shared" si="7"/>
        <v>0.01</v>
      </c>
      <c r="E22" s="73">
        <f t="shared" si="0"/>
        <v>1</v>
      </c>
      <c r="F22" s="122">
        <f>VLOOKUP($B$3,'Data for Bill Impacts'!$A$3:$Y$15,22,0)</f>
        <v>0.01</v>
      </c>
      <c r="G22" s="22">
        <f t="shared" si="6"/>
        <v>0.01</v>
      </c>
      <c r="H22" s="22">
        <f t="shared" si="8"/>
        <v>0</v>
      </c>
      <c r="I22" s="23">
        <f t="shared" si="9"/>
        <v>0</v>
      </c>
      <c r="J22" s="23">
        <f>G22/$G$46</f>
        <v>1.1910238128038594E-4</v>
      </c>
      <c r="K22" s="108">
        <f t="shared" si="4"/>
        <v>1.1465200837437625E-4</v>
      </c>
    </row>
    <row r="23" spans="1:11" x14ac:dyDescent="0.2">
      <c r="A23" s="107" t="s">
        <v>39</v>
      </c>
      <c r="B23" s="73">
        <f>IF($B$9="kWh",$B$4,$B$5)</f>
        <v>350</v>
      </c>
      <c r="C23" s="78">
        <f>VLOOKUP($B$3,'Data for Bill Impacts'!$A$3:$Y$15,10,0)</f>
        <v>7.9000000000000008E-3</v>
      </c>
      <c r="D23" s="22">
        <f>B23*C23</f>
        <v>2.7650000000000001</v>
      </c>
      <c r="E23" s="73">
        <f t="shared" si="0"/>
        <v>350</v>
      </c>
      <c r="F23" s="126">
        <f>VLOOKUP($B$3,'Data for Bill Impacts'!$A$3:$Y$15,19,0)</f>
        <v>4.7000000000000002E-3</v>
      </c>
      <c r="G23" s="22">
        <f>E23*F23</f>
        <v>1.645</v>
      </c>
      <c r="H23" s="22">
        <f t="shared" si="1"/>
        <v>-1.1200000000000001</v>
      </c>
      <c r="I23" s="23">
        <f t="shared" si="2"/>
        <v>-0.4050632911392405</v>
      </c>
      <c r="J23" s="23">
        <f t="shared" si="5"/>
        <v>1.9592341720623487E-2</v>
      </c>
      <c r="K23" s="108">
        <f t="shared" si="4"/>
        <v>1.8860255377584893E-2</v>
      </c>
    </row>
    <row r="24" spans="1:11" x14ac:dyDescent="0.2">
      <c r="A24" s="107" t="s">
        <v>122</v>
      </c>
      <c r="B24" s="73">
        <f>IF($B$9="kWh",$B$4,$B$5)</f>
        <v>350</v>
      </c>
      <c r="C24" s="126">
        <f>VLOOKUP($B$3,'Data for Bill Impacts'!$A$3:$Y$15,14,0)</f>
        <v>2.0000000000000001E-4</v>
      </c>
      <c r="D24" s="22">
        <f>B24*C24</f>
        <v>7.0000000000000007E-2</v>
      </c>
      <c r="E24" s="73">
        <f>B24</f>
        <v>350</v>
      </c>
      <c r="F24" s="126">
        <f>VLOOKUP($B$3,'Data for Bill Impacts'!$A$3:$Y$15,23,0)</f>
        <v>2.0000000000000001E-4</v>
      </c>
      <c r="G24" s="22">
        <f>E24*F24</f>
        <v>7.0000000000000007E-2</v>
      </c>
      <c r="H24" s="22">
        <f t="shared" ref="H24" si="10">G24-D24</f>
        <v>0</v>
      </c>
      <c r="I24" s="23">
        <f>IF(ISERROR(H24/D24),0,(H24/D24))</f>
        <v>0</v>
      </c>
      <c r="J24" s="23">
        <f t="shared" si="5"/>
        <v>8.3371666896270161E-4</v>
      </c>
      <c r="K24" s="108">
        <f t="shared" si="4"/>
        <v>8.0256405862063381E-4</v>
      </c>
    </row>
    <row r="25" spans="1:11" s="1" customFormat="1" x14ac:dyDescent="0.2">
      <c r="A25" s="110" t="s">
        <v>72</v>
      </c>
      <c r="B25" s="74"/>
      <c r="C25" s="35"/>
      <c r="D25" s="35">
        <f>SUM(D19:D24)</f>
        <v>30.605000000000004</v>
      </c>
      <c r="E25" s="73"/>
      <c r="F25" s="35"/>
      <c r="G25" s="35">
        <f>SUM(G19:G24)</f>
        <v>33.025000000000006</v>
      </c>
      <c r="H25" s="35">
        <f t="shared" si="1"/>
        <v>2.4200000000000017</v>
      </c>
      <c r="I25" s="36">
        <f t="shared" si="2"/>
        <v>7.9072047051135477E-2</v>
      </c>
      <c r="J25" s="36">
        <f t="shared" si="5"/>
        <v>0.39333561417847462</v>
      </c>
      <c r="K25" s="111">
        <f t="shared" si="4"/>
        <v>0.3786382576563776</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9.4090881211504902E-3</v>
      </c>
      <c r="K26" s="108">
        <f t="shared" si="4"/>
        <v>9.0575086615757236E-3</v>
      </c>
    </row>
    <row r="27" spans="1:11" s="1" customFormat="1" x14ac:dyDescent="0.2">
      <c r="A27" s="119" t="s">
        <v>75</v>
      </c>
      <c r="B27" s="120">
        <f>B8-B4</f>
        <v>19.949999999999989</v>
      </c>
      <c r="C27" s="121">
        <f>IF(B4&gt;B7,C13,C12)</f>
        <v>0.10299999999999999</v>
      </c>
      <c r="D27" s="22">
        <f>B27*C27</f>
        <v>2.0548499999999987</v>
      </c>
      <c r="E27" s="73">
        <f>B27</f>
        <v>19.949999999999989</v>
      </c>
      <c r="F27" s="121">
        <f>C27</f>
        <v>0.10299999999999999</v>
      </c>
      <c r="G27" s="22">
        <f>E27*F27</f>
        <v>2.0548499999999987</v>
      </c>
      <c r="H27" s="22">
        <f t="shared" ref="H27:H29" si="11">G27-D27</f>
        <v>0</v>
      </c>
      <c r="I27" s="23">
        <f>IF(ISERROR(H27/D27),0,(H27/D27))</f>
        <v>0</v>
      </c>
      <c r="J27" s="23">
        <f t="shared" ref="J27:J29" si="12">G27/$G$46</f>
        <v>2.447375281740009E-2</v>
      </c>
      <c r="K27" s="108">
        <f t="shared" ref="K27:K29" si="13">G27/$G$51</f>
        <v>2.3559267940808686E-2</v>
      </c>
    </row>
    <row r="28" spans="1:11" s="1" customFormat="1" x14ac:dyDescent="0.2">
      <c r="A28" s="119" t="s">
        <v>74</v>
      </c>
      <c r="B28" s="120">
        <f>B8-B4</f>
        <v>19.949999999999989</v>
      </c>
      <c r="C28" s="121">
        <f>0.65*C15+0.17*C16+0.18*C17</f>
        <v>0.11139</v>
      </c>
      <c r="D28" s="22">
        <f>B28*C28</f>
        <v>2.2222304999999989</v>
      </c>
      <c r="E28" s="73">
        <f>B28</f>
        <v>19.949999999999989</v>
      </c>
      <c r="F28" s="121">
        <f>C28</f>
        <v>0.11139</v>
      </c>
      <c r="G28" s="22">
        <f>E28*F28</f>
        <v>2.2222304999999989</v>
      </c>
      <c r="H28" s="22">
        <f t="shared" ref="H28" si="14">G28-D28</f>
        <v>0</v>
      </c>
      <c r="I28" s="23">
        <f>IF(ISERROR(H28/D28),0,(H28/D28))</f>
        <v>0</v>
      </c>
      <c r="J28" s="23">
        <f t="shared" ref="J28" si="15">G28/$G$46</f>
        <v>2.6467294430390254E-2</v>
      </c>
      <c r="K28" s="108">
        <f t="shared" ref="K28" si="16">G28/$G$51</f>
        <v>2.5478318989579418E-2</v>
      </c>
    </row>
    <row r="29" spans="1:11" s="1" customFormat="1" x14ac:dyDescent="0.2">
      <c r="A29" s="110" t="s">
        <v>78</v>
      </c>
      <c r="B29" s="74"/>
      <c r="C29" s="35"/>
      <c r="D29" s="35">
        <f>SUM(D25,D26:D27)</f>
        <v>33.449850000000005</v>
      </c>
      <c r="E29" s="73"/>
      <c r="F29" s="35"/>
      <c r="G29" s="35">
        <f>SUM(G25,G26:G27)</f>
        <v>35.869850000000007</v>
      </c>
      <c r="H29" s="35">
        <f t="shared" si="11"/>
        <v>2.4200000000000017</v>
      </c>
      <c r="I29" s="36">
        <f>IF(ISERROR(H29/D29),0,(H29/D29))</f>
        <v>7.2347110674636853E-2</v>
      </c>
      <c r="J29" s="36">
        <f t="shared" si="12"/>
        <v>0.42721845511702522</v>
      </c>
      <c r="K29" s="111">
        <f t="shared" si="13"/>
        <v>0.41125503425876203</v>
      </c>
    </row>
    <row r="30" spans="1:11" s="1" customFormat="1" x14ac:dyDescent="0.2">
      <c r="A30" s="110" t="s">
        <v>77</v>
      </c>
      <c r="B30" s="74"/>
      <c r="C30" s="35"/>
      <c r="D30" s="35">
        <f>SUM(D25,D26,D28)</f>
        <v>33.617230500000005</v>
      </c>
      <c r="E30" s="73"/>
      <c r="F30" s="35"/>
      <c r="G30" s="35">
        <f>SUM(G25,G26,G28)</f>
        <v>36.037230500000007</v>
      </c>
      <c r="H30" s="35">
        <f t="shared" ref="H30" si="17">G30-D30</f>
        <v>2.4200000000000017</v>
      </c>
      <c r="I30" s="36">
        <f>IF(ISERROR(H30/D30),0,(H30/D30))</f>
        <v>7.198689374486103E-2</v>
      </c>
      <c r="J30" s="36">
        <f t="shared" ref="J30" si="18">G30/$G$46</f>
        <v>0.42921199673001542</v>
      </c>
      <c r="K30" s="111">
        <f t="shared" ref="K30" si="19">G30/$G$51</f>
        <v>0.4131740853075328</v>
      </c>
    </row>
    <row r="31" spans="1:11" x14ac:dyDescent="0.2">
      <c r="A31" s="107" t="s">
        <v>40</v>
      </c>
      <c r="B31" s="73">
        <f>B8</f>
        <v>369.95</v>
      </c>
      <c r="C31" s="126">
        <f>VLOOKUP($B$3,'Data for Bill Impacts'!$A$3:$Y$15,15,0)</f>
        <v>7.8279999999999999E-3</v>
      </c>
      <c r="D31" s="22">
        <f>B31*C31</f>
        <v>2.8959685999999998</v>
      </c>
      <c r="E31" s="73">
        <f t="shared" si="0"/>
        <v>369.95</v>
      </c>
      <c r="F31" s="126">
        <f>VLOOKUP($B$3,'Data for Bill Impacts'!$A$3:$Y$15,24,0)</f>
        <v>7.8279999999999999E-3</v>
      </c>
      <c r="G31" s="22">
        <f>E31*F31</f>
        <v>2.8959685999999998</v>
      </c>
      <c r="H31" s="22">
        <f t="shared" si="1"/>
        <v>0</v>
      </c>
      <c r="I31" s="23">
        <f t="shared" si="2"/>
        <v>0</v>
      </c>
      <c r="J31" s="23">
        <f t="shared" ref="J31:J46" si="20">G31/$G$46</f>
        <v>3.4491675637322541E-2</v>
      </c>
      <c r="K31" s="108">
        <f t="shared" ref="K31:K41" si="21">G31/$G$51</f>
        <v>3.3202861617913061E-2</v>
      </c>
    </row>
    <row r="32" spans="1:11" x14ac:dyDescent="0.2">
      <c r="A32" s="107" t="s">
        <v>41</v>
      </c>
      <c r="B32" s="73">
        <f>B8</f>
        <v>369.95</v>
      </c>
      <c r="C32" s="126">
        <f>VLOOKUP($B$3,'Data for Bill Impacts'!$A$3:$Y$15,16,0)</f>
        <v>6.4380000000000001E-3</v>
      </c>
      <c r="D32" s="22">
        <f>B32*C32</f>
        <v>2.3817381000000002</v>
      </c>
      <c r="E32" s="73">
        <f t="shared" si="0"/>
        <v>369.95</v>
      </c>
      <c r="F32" s="126">
        <f>VLOOKUP($B$3,'Data for Bill Impacts'!$A$3:$Y$15,25,0)</f>
        <v>6.4380000000000001E-3</v>
      </c>
      <c r="G32" s="22">
        <f>E32*F32</f>
        <v>2.3817381000000002</v>
      </c>
      <c r="H32" s="22">
        <f t="shared" si="1"/>
        <v>0</v>
      </c>
      <c r="I32" s="23">
        <f t="shared" si="2"/>
        <v>0</v>
      </c>
      <c r="J32" s="23">
        <f t="shared" si="20"/>
        <v>2.8367067929622198E-2</v>
      </c>
      <c r="K32" s="108">
        <f t="shared" si="21"/>
        <v>2.7307105658677097E-2</v>
      </c>
    </row>
    <row r="33" spans="1:11" s="1" customFormat="1" x14ac:dyDescent="0.2">
      <c r="A33" s="110" t="s">
        <v>76</v>
      </c>
      <c r="B33" s="74"/>
      <c r="C33" s="35"/>
      <c r="D33" s="35">
        <f>SUM(D31:D32)</f>
        <v>5.2777066999999995</v>
      </c>
      <c r="E33" s="73"/>
      <c r="F33" s="35"/>
      <c r="G33" s="35">
        <f>SUM(G31:G32)</f>
        <v>5.2777066999999995</v>
      </c>
      <c r="H33" s="35">
        <f t="shared" si="1"/>
        <v>0</v>
      </c>
      <c r="I33" s="36">
        <f t="shared" si="2"/>
        <v>0</v>
      </c>
      <c r="J33" s="36">
        <f t="shared" si="20"/>
        <v>6.2858743566944736E-2</v>
      </c>
      <c r="K33" s="111">
        <f t="shared" si="21"/>
        <v>6.0509967276590158E-2</v>
      </c>
    </row>
    <row r="34" spans="1:11" s="1" customFormat="1" x14ac:dyDescent="0.2">
      <c r="A34" s="110" t="s">
        <v>91</v>
      </c>
      <c r="B34" s="74"/>
      <c r="C34" s="35"/>
      <c r="D34" s="35">
        <f>D29+D33</f>
        <v>38.727556700000008</v>
      </c>
      <c r="E34" s="73"/>
      <c r="F34" s="35"/>
      <c r="G34" s="35">
        <f>G29+G33</f>
        <v>41.14755670000001</v>
      </c>
      <c r="H34" s="35">
        <f t="shared" si="1"/>
        <v>2.4200000000000017</v>
      </c>
      <c r="I34" s="36">
        <f t="shared" si="2"/>
        <v>6.2487804710902435E-2</v>
      </c>
      <c r="J34" s="36">
        <f t="shared" si="20"/>
        <v>0.49007719868397004</v>
      </c>
      <c r="K34" s="111">
        <f t="shared" si="21"/>
        <v>0.47176500153535222</v>
      </c>
    </row>
    <row r="35" spans="1:11" s="1" customFormat="1" x14ac:dyDescent="0.2">
      <c r="A35" s="110" t="s">
        <v>92</v>
      </c>
      <c r="B35" s="74"/>
      <c r="C35" s="35"/>
      <c r="D35" s="35">
        <f>D30+D33</f>
        <v>38.894937200000001</v>
      </c>
      <c r="E35" s="73"/>
      <c r="F35" s="35"/>
      <c r="G35" s="35">
        <f>G30+G33</f>
        <v>41.314937200000003</v>
      </c>
      <c r="H35" s="35">
        <f t="shared" ref="H35" si="22">G35-D35</f>
        <v>2.4200000000000017</v>
      </c>
      <c r="I35" s="36">
        <f t="shared" ref="I35" si="23">IF(ISERROR(H35/D35),0,(H35/D35))</f>
        <v>6.2218894648324606E-2</v>
      </c>
      <c r="J35" s="36">
        <f t="shared" ref="J35" si="24">G35/$G$46</f>
        <v>0.49207074029696007</v>
      </c>
      <c r="K35" s="111">
        <f t="shared" ref="K35" si="25">G35/$G$51</f>
        <v>0.47368405258412288</v>
      </c>
    </row>
    <row r="36" spans="1:11" x14ac:dyDescent="0.2">
      <c r="A36" s="107" t="s">
        <v>42</v>
      </c>
      <c r="B36" s="73">
        <f>B8</f>
        <v>369.95</v>
      </c>
      <c r="C36" s="34">
        <v>3.5999999999999999E-3</v>
      </c>
      <c r="D36" s="22">
        <f>B36*C36</f>
        <v>1.33182</v>
      </c>
      <c r="E36" s="73">
        <f t="shared" si="0"/>
        <v>369.95</v>
      </c>
      <c r="F36" s="34">
        <v>3.5999999999999999E-3</v>
      </c>
      <c r="G36" s="22">
        <f>E36*F36</f>
        <v>1.33182</v>
      </c>
      <c r="H36" s="22">
        <f t="shared" si="1"/>
        <v>0</v>
      </c>
      <c r="I36" s="23">
        <f t="shared" si="2"/>
        <v>0</v>
      </c>
      <c r="J36" s="23">
        <f t="shared" si="20"/>
        <v>1.5862293343684358E-2</v>
      </c>
      <c r="K36" s="108">
        <f t="shared" si="21"/>
        <v>1.5269583779316177E-2</v>
      </c>
    </row>
    <row r="37" spans="1:11" x14ac:dyDescent="0.2">
      <c r="A37" s="107" t="s">
        <v>43</v>
      </c>
      <c r="B37" s="73">
        <f>B8</f>
        <v>369.95</v>
      </c>
      <c r="C37" s="34">
        <v>2.0999999999999999E-3</v>
      </c>
      <c r="D37" s="22">
        <f>B37*C37</f>
        <v>0.77689499999999989</v>
      </c>
      <c r="E37" s="73">
        <f t="shared" si="0"/>
        <v>369.95</v>
      </c>
      <c r="F37" s="34">
        <v>2.0999999999999999E-3</v>
      </c>
      <c r="G37" s="22">
        <f>E37*F37</f>
        <v>0.77689499999999989</v>
      </c>
      <c r="H37" s="22">
        <f>G37-D37</f>
        <v>0</v>
      </c>
      <c r="I37" s="23">
        <f t="shared" si="2"/>
        <v>0</v>
      </c>
      <c r="J37" s="23">
        <f t="shared" si="20"/>
        <v>9.2530044504825423E-3</v>
      </c>
      <c r="K37" s="108">
        <f t="shared" si="21"/>
        <v>8.9072572046011017E-3</v>
      </c>
    </row>
    <row r="38" spans="1:11" x14ac:dyDescent="0.2">
      <c r="A38" s="107" t="s">
        <v>96</v>
      </c>
      <c r="B38" s="73">
        <f>B8</f>
        <v>369.95</v>
      </c>
      <c r="C38" s="34">
        <v>1.1000000000000001E-3</v>
      </c>
      <c r="D38" s="22">
        <f>B38*C38</f>
        <v>0.406945</v>
      </c>
      <c r="E38" s="73">
        <f t="shared" si="0"/>
        <v>369.95</v>
      </c>
      <c r="F38" s="34">
        <v>1.1000000000000001E-3</v>
      </c>
      <c r="G38" s="22">
        <f>E38*F38</f>
        <v>0.406945</v>
      </c>
      <c r="H38" s="22">
        <f>G38-D38</f>
        <v>0</v>
      </c>
      <c r="I38" s="23">
        <f t="shared" ref="I38" si="26">IF(ISERROR(H38/D38),0,(H38/D38))</f>
        <v>0</v>
      </c>
      <c r="J38" s="23">
        <f t="shared" ref="J38" si="27">G38/$G$46</f>
        <v>4.8468118550146653E-3</v>
      </c>
      <c r="K38" s="108">
        <f t="shared" ref="K38" si="28">G38/$G$51</f>
        <v>4.6657061547910545E-3</v>
      </c>
    </row>
    <row r="39" spans="1:11" x14ac:dyDescent="0.2">
      <c r="A39" s="107" t="s">
        <v>44</v>
      </c>
      <c r="B39" s="73">
        <v>1</v>
      </c>
      <c r="C39" s="22">
        <v>0.25</v>
      </c>
      <c r="D39" s="22">
        <f>B39*C39</f>
        <v>0.25</v>
      </c>
      <c r="E39" s="73">
        <f t="shared" si="0"/>
        <v>1</v>
      </c>
      <c r="F39" s="22">
        <f>C39</f>
        <v>0.25</v>
      </c>
      <c r="G39" s="22">
        <f>E39*F39</f>
        <v>0.25</v>
      </c>
      <c r="H39" s="22">
        <f t="shared" si="1"/>
        <v>0</v>
      </c>
      <c r="I39" s="23">
        <f t="shared" si="2"/>
        <v>0</v>
      </c>
      <c r="J39" s="23">
        <f t="shared" si="20"/>
        <v>2.9775595320096484E-3</v>
      </c>
      <c r="K39" s="108">
        <f t="shared" si="21"/>
        <v>2.8663002093594061E-3</v>
      </c>
    </row>
    <row r="40" spans="1:11" s="1" customFormat="1" x14ac:dyDescent="0.2">
      <c r="A40" s="110" t="s">
        <v>45</v>
      </c>
      <c r="B40" s="74"/>
      <c r="C40" s="35"/>
      <c r="D40" s="35">
        <f>SUM(D36:D39)</f>
        <v>2.76566</v>
      </c>
      <c r="E40" s="73"/>
      <c r="F40" s="35"/>
      <c r="G40" s="35">
        <f>SUM(G36:G39)</f>
        <v>2.76566</v>
      </c>
      <c r="H40" s="35">
        <f t="shared" si="1"/>
        <v>0</v>
      </c>
      <c r="I40" s="36">
        <f t="shared" si="2"/>
        <v>0</v>
      </c>
      <c r="J40" s="36">
        <f t="shared" si="20"/>
        <v>3.293966918119122E-2</v>
      </c>
      <c r="K40" s="111">
        <f t="shared" si="21"/>
        <v>3.170884734806774E-2</v>
      </c>
    </row>
    <row r="41" spans="1:11" s="1" customFormat="1" ht="13.5" thickBot="1" x14ac:dyDescent="0.25">
      <c r="A41" s="112" t="s">
        <v>46</v>
      </c>
      <c r="B41" s="113">
        <f>B4</f>
        <v>350</v>
      </c>
      <c r="C41" s="114">
        <v>0</v>
      </c>
      <c r="D41" s="115">
        <f>B41*C41</f>
        <v>0</v>
      </c>
      <c r="E41" s="116">
        <f t="shared" si="0"/>
        <v>350</v>
      </c>
      <c r="F41" s="114">
        <f>C41</f>
        <v>0</v>
      </c>
      <c r="G41" s="115">
        <f>E41*F41</f>
        <v>0</v>
      </c>
      <c r="H41" s="115">
        <f t="shared" si="1"/>
        <v>0</v>
      </c>
      <c r="I41" s="117">
        <f t="shared" si="2"/>
        <v>0</v>
      </c>
      <c r="J41" s="117">
        <f t="shared" si="20"/>
        <v>0</v>
      </c>
      <c r="K41" s="118">
        <f t="shared" si="21"/>
        <v>0</v>
      </c>
    </row>
    <row r="42" spans="1:11" s="1" customFormat="1" x14ac:dyDescent="0.2">
      <c r="A42" s="37" t="s">
        <v>101</v>
      </c>
      <c r="B42" s="38"/>
      <c r="C42" s="39"/>
      <c r="D42" s="39">
        <f>SUM(D14,D25,D26,D27,D33,D40,D41)</f>
        <v>77.543216700000002</v>
      </c>
      <c r="E42" s="38"/>
      <c r="F42" s="39"/>
      <c r="G42" s="39">
        <f>SUM(G14,G25,G26,G27,G33,G40,G41)</f>
        <v>79.963216700000004</v>
      </c>
      <c r="H42" s="39">
        <f t="shared" si="1"/>
        <v>2.4200000000000017</v>
      </c>
      <c r="I42" s="40">
        <f>IF(ISERROR(H42/D42),0,(H42/D42))</f>
        <v>3.1208403558528178E-2</v>
      </c>
      <c r="J42" s="40">
        <f t="shared" si="20"/>
        <v>0.95238095238095244</v>
      </c>
      <c r="K42" s="41"/>
    </row>
    <row r="43" spans="1:11" x14ac:dyDescent="0.2">
      <c r="A43" s="155" t="s">
        <v>102</v>
      </c>
      <c r="B43" s="43"/>
      <c r="C43" s="26">
        <v>0.13</v>
      </c>
      <c r="D43" s="26">
        <f>D42*C43</f>
        <v>10.080618171000001</v>
      </c>
      <c r="E43" s="26"/>
      <c r="F43" s="26">
        <f>C43</f>
        <v>0.13</v>
      </c>
      <c r="G43" s="26">
        <f>G42*F43</f>
        <v>10.395218171000002</v>
      </c>
      <c r="H43" s="26">
        <f t="shared" si="1"/>
        <v>0.31460000000000043</v>
      </c>
      <c r="I43" s="44">
        <f t="shared" si="2"/>
        <v>3.1208403558528195E-2</v>
      </c>
      <c r="J43" s="44">
        <f t="shared" si="20"/>
        <v>0.12380952380952383</v>
      </c>
      <c r="K43" s="45"/>
    </row>
    <row r="44" spans="1:11" s="1" customFormat="1" x14ac:dyDescent="0.2">
      <c r="A44" s="46" t="s">
        <v>103</v>
      </c>
      <c r="B44" s="24"/>
      <c r="C44" s="25"/>
      <c r="D44" s="25">
        <f>SUM(D42:D43)</f>
        <v>87.623834871</v>
      </c>
      <c r="E44" s="25"/>
      <c r="F44" s="25"/>
      <c r="G44" s="25">
        <f>SUM(G42:G43)</f>
        <v>90.358434871</v>
      </c>
      <c r="H44" s="25">
        <f t="shared" si="1"/>
        <v>2.7346000000000004</v>
      </c>
      <c r="I44" s="27">
        <f t="shared" si="2"/>
        <v>3.120840355852816E-2</v>
      </c>
      <c r="J44" s="27">
        <f t="shared" si="20"/>
        <v>1.0761904761904761</v>
      </c>
      <c r="K44" s="47"/>
    </row>
    <row r="45" spans="1:11" x14ac:dyDescent="0.2">
      <c r="A45" s="42" t="s">
        <v>104</v>
      </c>
      <c r="B45" s="43"/>
      <c r="C45" s="26">
        <v>-0.08</v>
      </c>
      <c r="D45" s="26">
        <f>D42*C45</f>
        <v>-6.2034573360000005</v>
      </c>
      <c r="E45" s="26"/>
      <c r="F45" s="26">
        <f>C45</f>
        <v>-0.08</v>
      </c>
      <c r="G45" s="26">
        <f>G42*F45</f>
        <v>-6.3970573360000005</v>
      </c>
      <c r="H45" s="26">
        <f t="shared" si="1"/>
        <v>-0.19359999999999999</v>
      </c>
      <c r="I45" s="44">
        <f t="shared" si="2"/>
        <v>3.1208403558528153E-2</v>
      </c>
      <c r="J45" s="44">
        <f t="shared" si="20"/>
        <v>-7.6190476190476197E-2</v>
      </c>
      <c r="K45" s="45"/>
    </row>
    <row r="46" spans="1:11" s="1" customFormat="1" ht="13.5" thickBot="1" x14ac:dyDescent="0.25">
      <c r="A46" s="48" t="s">
        <v>105</v>
      </c>
      <c r="B46" s="49"/>
      <c r="C46" s="50"/>
      <c r="D46" s="50">
        <f>SUM(D44:D45)</f>
        <v>81.420377535</v>
      </c>
      <c r="E46" s="50"/>
      <c r="F46" s="50"/>
      <c r="G46" s="50">
        <f>SUM(G44:G45)</f>
        <v>83.961377534999997</v>
      </c>
      <c r="H46" s="50">
        <f t="shared" si="1"/>
        <v>2.5409999999999968</v>
      </c>
      <c r="I46" s="51">
        <f t="shared" si="2"/>
        <v>3.1208403558528119E-2</v>
      </c>
      <c r="J46" s="51">
        <f t="shared" si="20"/>
        <v>1</v>
      </c>
      <c r="K46" s="52"/>
    </row>
    <row r="47" spans="1:11" x14ac:dyDescent="0.2">
      <c r="A47" s="53" t="s">
        <v>106</v>
      </c>
      <c r="B47" s="54"/>
      <c r="C47" s="55"/>
      <c r="D47" s="55">
        <f>SUM(D18,D25,D26,D28,D33,D40,D41)</f>
        <v>80.64709719999999</v>
      </c>
      <c r="E47" s="55"/>
      <c r="F47" s="55"/>
      <c r="G47" s="55">
        <f>SUM(G18,G25,G26,G28,G33,G40,G41)</f>
        <v>83.067097199999992</v>
      </c>
      <c r="H47" s="55">
        <f>G47-D47</f>
        <v>2.4200000000000017</v>
      </c>
      <c r="I47" s="56">
        <f>IF(ISERROR(H47/D47),0,(H47/D47))</f>
        <v>3.0007279666849584E-2</v>
      </c>
      <c r="J47" s="56"/>
      <c r="K47" s="57">
        <f>G47/$G$51</f>
        <v>0.95238095238095244</v>
      </c>
    </row>
    <row r="48" spans="1:11" x14ac:dyDescent="0.2">
      <c r="A48" s="156" t="s">
        <v>102</v>
      </c>
      <c r="B48" s="59"/>
      <c r="C48" s="31">
        <v>0.13</v>
      </c>
      <c r="D48" s="31">
        <f>D47*C48</f>
        <v>10.484122635999999</v>
      </c>
      <c r="E48" s="31"/>
      <c r="F48" s="31">
        <f>C48</f>
        <v>0.13</v>
      </c>
      <c r="G48" s="31">
        <f>G47*F48</f>
        <v>10.798722635999999</v>
      </c>
      <c r="H48" s="31">
        <f>G48-D48</f>
        <v>0.31460000000000043</v>
      </c>
      <c r="I48" s="32">
        <f>IF(ISERROR(H48/D48),0,(H48/D48))</f>
        <v>3.0007279666849605E-2</v>
      </c>
      <c r="J48" s="32"/>
      <c r="K48" s="60">
        <f>G48/$G$51</f>
        <v>0.12380952380952381</v>
      </c>
    </row>
    <row r="49" spans="1:11" x14ac:dyDescent="0.2">
      <c r="A49" s="61" t="s">
        <v>107</v>
      </c>
      <c r="B49" s="29"/>
      <c r="C49" s="30"/>
      <c r="D49" s="30">
        <f>SUM(D47:D48)</f>
        <v>91.131219835999985</v>
      </c>
      <c r="E49" s="30"/>
      <c r="F49" s="30"/>
      <c r="G49" s="30">
        <f>SUM(G47:G48)</f>
        <v>93.865819835999986</v>
      </c>
      <c r="H49" s="30">
        <f>G49-D49</f>
        <v>2.7346000000000004</v>
      </c>
      <c r="I49" s="33">
        <f>IF(ISERROR(H49/D49),0,(H49/D49))</f>
        <v>3.0007279666849566E-2</v>
      </c>
      <c r="J49" s="33"/>
      <c r="K49" s="62">
        <f>G49/$G$51</f>
        <v>1.0761904761904761</v>
      </c>
    </row>
    <row r="50" spans="1:11" x14ac:dyDescent="0.2">
      <c r="A50" s="58" t="s">
        <v>104</v>
      </c>
      <c r="B50" s="59"/>
      <c r="C50" s="31">
        <v>-0.08</v>
      </c>
      <c r="D50" s="31">
        <f>D47*C50</f>
        <v>-6.4517677759999996</v>
      </c>
      <c r="E50" s="31"/>
      <c r="F50" s="31">
        <f>C50</f>
        <v>-0.08</v>
      </c>
      <c r="G50" s="31">
        <f>G47*F50</f>
        <v>-6.6453677759999996</v>
      </c>
      <c r="H50" s="31">
        <f>G50-D50</f>
        <v>-0.19359999999999999</v>
      </c>
      <c r="I50" s="32">
        <f>IF(ISERROR(H50/D50),0,(H50/D50))</f>
        <v>3.0007279666849559E-2</v>
      </c>
      <c r="J50" s="32"/>
      <c r="K50" s="60">
        <f>G50/$G$51</f>
        <v>-7.6190476190476197E-2</v>
      </c>
    </row>
    <row r="51" spans="1:11" ht="13.5" thickBot="1" x14ac:dyDescent="0.25">
      <c r="A51" s="63" t="s">
        <v>116</v>
      </c>
      <c r="B51" s="64"/>
      <c r="C51" s="65"/>
      <c r="D51" s="65">
        <f>SUM(D49:D50)</f>
        <v>84.679452059999988</v>
      </c>
      <c r="E51" s="65"/>
      <c r="F51" s="65"/>
      <c r="G51" s="65">
        <f>SUM(G49:G50)</f>
        <v>87.220452059999985</v>
      </c>
      <c r="H51" s="65">
        <f>G51-D51</f>
        <v>2.5409999999999968</v>
      </c>
      <c r="I51" s="66">
        <f>IF(ISERROR(H51/D51),0,(H51/D51))</f>
        <v>3.0007279666849525E-2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1" tint="0.499984740745262"/>
    <pageSetUpPr fitToPage="1"/>
  </sheetPr>
  <dimension ref="A1:J40"/>
  <sheetViews>
    <sheetView tabSelected="1" view="pageBreakPreview" zoomScaleNormal="100" zoomScaleSheetLayoutView="100" workbookViewId="0">
      <selection activeCell="E1" sqref="E1:E1048576"/>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118</v>
      </c>
      <c r="B1" s="188"/>
      <c r="C1" s="188"/>
      <c r="D1" s="188"/>
      <c r="E1" s="188"/>
      <c r="F1" s="188"/>
      <c r="G1" s="188"/>
      <c r="H1" s="188"/>
      <c r="I1" s="188"/>
      <c r="J1" s="189"/>
    </row>
    <row r="3" spans="1:10" x14ac:dyDescent="0.2">
      <c r="A3" s="13" t="s">
        <v>13</v>
      </c>
      <c r="B3" s="13" t="s">
        <v>5</v>
      </c>
    </row>
    <row r="4" spans="1:10" x14ac:dyDescent="0.2">
      <c r="A4" s="15" t="s">
        <v>62</v>
      </c>
      <c r="B4" s="79">
        <v>15000</v>
      </c>
    </row>
    <row r="5" spans="1:10" x14ac:dyDescent="0.2">
      <c r="A5" s="15" t="s">
        <v>16</v>
      </c>
      <c r="B5" s="79">
        <v>60</v>
      </c>
    </row>
    <row r="6" spans="1:10" x14ac:dyDescent="0.2">
      <c r="A6" s="15" t="s">
        <v>20</v>
      </c>
      <c r="B6" s="80">
        <f>VLOOKUP($B$3,'Data for Bill Impacts'!$A$3:$Y$15,2,0)</f>
        <v>1.0609999999999999</v>
      </c>
    </row>
    <row r="7" spans="1:10" x14ac:dyDescent="0.2">
      <c r="A7" s="81" t="s">
        <v>48</v>
      </c>
      <c r="B7" s="82">
        <f>B4/(B5*730)</f>
        <v>0.34246575342465752</v>
      </c>
    </row>
    <row r="8" spans="1:10" x14ac:dyDescent="0.2">
      <c r="A8" s="15" t="s">
        <v>15</v>
      </c>
      <c r="B8" s="79">
        <f>VLOOKUP($B$3,'Data for Bill Impacts'!$A$3:$Y$15,4,0)</f>
        <v>0</v>
      </c>
    </row>
    <row r="9" spans="1:10" x14ac:dyDescent="0.2">
      <c r="A9" s="15" t="s">
        <v>82</v>
      </c>
      <c r="B9" s="79">
        <f>B4*B6</f>
        <v>15915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15915</v>
      </c>
      <c r="C13" s="103">
        <v>0.10299999999999999</v>
      </c>
      <c r="D13" s="104">
        <f>B13*C13</f>
        <v>1639.2449999999999</v>
      </c>
      <c r="E13" s="102">
        <f>B13</f>
        <v>15915</v>
      </c>
      <c r="F13" s="103">
        <f>C13</f>
        <v>0.10299999999999999</v>
      </c>
      <c r="G13" s="104">
        <f>E13*F13</f>
        <v>1639.2449999999999</v>
      </c>
      <c r="H13" s="104">
        <f>G13-D13</f>
        <v>0</v>
      </c>
      <c r="I13" s="105">
        <f>IF(ISERROR(H13/D13),0,(H13/D13))</f>
        <v>0</v>
      </c>
      <c r="J13" s="124">
        <f t="shared" ref="J13:J21" si="0">G13/$G$38</f>
        <v>0.45215945929844875</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1639.2449999999999</v>
      </c>
      <c r="E15" s="76"/>
      <c r="F15" s="25"/>
      <c r="G15" s="25">
        <f>SUM(G13:G14)</f>
        <v>1639.2449999999999</v>
      </c>
      <c r="H15" s="25">
        <f t="shared" si="2"/>
        <v>0</v>
      </c>
      <c r="I15" s="27">
        <f t="shared" si="3"/>
        <v>0</v>
      </c>
      <c r="J15" s="47">
        <f t="shared" si="0"/>
        <v>0.45215945929844875</v>
      </c>
    </row>
    <row r="16" spans="1:10" s="1" customFormat="1" x14ac:dyDescent="0.2">
      <c r="A16" s="107" t="s">
        <v>38</v>
      </c>
      <c r="B16" s="73">
        <v>1</v>
      </c>
      <c r="C16" s="78">
        <f>VLOOKUP($B$3,'Data for Bill Impacts'!$A$3:$Y$15,7,0)</f>
        <v>102.93</v>
      </c>
      <c r="D16" s="22">
        <f>B16*C16</f>
        <v>102.93</v>
      </c>
      <c r="E16" s="73">
        <f t="shared" ref="E16:E33" si="4">B16</f>
        <v>1</v>
      </c>
      <c r="F16" s="78">
        <f>VLOOKUP($B$3,'Data for Bill Impacts'!$A$3:$Y$15,17,0)</f>
        <v>104.42</v>
      </c>
      <c r="G16" s="22">
        <f>E16*F16</f>
        <v>104.42</v>
      </c>
      <c r="H16" s="22">
        <f t="shared" si="2"/>
        <v>1.4899999999999949</v>
      </c>
      <c r="I16" s="23">
        <f t="shared" si="3"/>
        <v>1.4475857378801076E-2</v>
      </c>
      <c r="J16" s="125">
        <f t="shared" si="0"/>
        <v>2.8802583347787562E-2</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ref="H18" si="7">G18-D18</f>
        <v>0</v>
      </c>
      <c r="I18" s="23">
        <f t="shared" ref="I18" si="8">IF(ISERROR(H18/D18),0,(H18/D18))</f>
        <v>0</v>
      </c>
      <c r="J18" s="125">
        <f t="shared" si="0"/>
        <v>0</v>
      </c>
    </row>
    <row r="19" spans="1:10" x14ac:dyDescent="0.2">
      <c r="A19" s="107" t="s">
        <v>85</v>
      </c>
      <c r="B19" s="73">
        <v>1</v>
      </c>
      <c r="C19" s="122">
        <f>VLOOKUP($B$3,'Data for Bill Impacts'!$A$3:$Y$15,13,0)</f>
        <v>-0.02</v>
      </c>
      <c r="D19" s="22">
        <f t="shared" si="6"/>
        <v>-0.02</v>
      </c>
      <c r="E19" s="73">
        <f t="shared" si="4"/>
        <v>1</v>
      </c>
      <c r="F19" s="122">
        <f>VLOOKUP($B$3,'Data for Bill Impacts'!$A$3:$Y$15,22,0)</f>
        <v>-0.02</v>
      </c>
      <c r="G19" s="22">
        <f t="shared" si="5"/>
        <v>-0.02</v>
      </c>
      <c r="H19" s="22">
        <f t="shared" ref="H19" si="9">G19-D19</f>
        <v>0</v>
      </c>
      <c r="I19" s="23">
        <f t="shared" ref="I19" si="10">IF(ISERROR(H19/D19),0,(H19/D19))</f>
        <v>0</v>
      </c>
      <c r="J19" s="125">
        <f t="shared" si="0"/>
        <v>-5.5166794383810693E-6</v>
      </c>
    </row>
    <row r="20" spans="1:10" x14ac:dyDescent="0.2">
      <c r="A20" s="107" t="s">
        <v>39</v>
      </c>
      <c r="B20" s="73">
        <f>IF($B$10="kWh",$B$4,$B$5)</f>
        <v>60</v>
      </c>
      <c r="C20" s="78">
        <f>VLOOKUP($B$3,'Data for Bill Impacts'!$A$3:$Y$15,10,0)</f>
        <v>16.7653</v>
      </c>
      <c r="D20" s="22">
        <f>B20*C20</f>
        <v>1005.918</v>
      </c>
      <c r="E20" s="73">
        <f t="shared" si="4"/>
        <v>60</v>
      </c>
      <c r="F20" s="126">
        <f>VLOOKUP($B$3,'Data for Bill Impacts'!$A$3:$Y$15,19,0)</f>
        <v>17.353200000000001</v>
      </c>
      <c r="G20" s="22">
        <f>E20*F20</f>
        <v>1041.192</v>
      </c>
      <c r="H20" s="22">
        <f t="shared" si="2"/>
        <v>35.274000000000001</v>
      </c>
      <c r="I20" s="23">
        <f t="shared" si="3"/>
        <v>3.5066476591531316E-2</v>
      </c>
      <c r="J20" s="125">
        <f t="shared" si="0"/>
        <v>0.28719612489034313</v>
      </c>
    </row>
    <row r="21" spans="1:10" s="1" customFormat="1" x14ac:dyDescent="0.2">
      <c r="A21" s="107" t="s">
        <v>122</v>
      </c>
      <c r="B21" s="73">
        <f>IF($B$10="kWh",$B$4,$B$5)</f>
        <v>60</v>
      </c>
      <c r="C21" s="126">
        <f>VLOOKUP($B$3,'Data for Bill Impacts'!$A$3:$Y$15,14,0)</f>
        <v>4.7E-2</v>
      </c>
      <c r="D21" s="22">
        <f>B21*C21</f>
        <v>2.82</v>
      </c>
      <c r="E21" s="73">
        <f t="shared" si="4"/>
        <v>60</v>
      </c>
      <c r="F21" s="126">
        <f>VLOOKUP($B$3,'Data for Bill Impacts'!$A$3:$Y$15,23,0)</f>
        <v>4.7E-2</v>
      </c>
      <c r="G21" s="22">
        <f>E21*F21</f>
        <v>2.82</v>
      </c>
      <c r="H21" s="22">
        <f t="shared" si="2"/>
        <v>0</v>
      </c>
      <c r="I21" s="23">
        <f>IF(ISERROR(H21/D21),0,(H21/D21))</f>
        <v>0</v>
      </c>
      <c r="J21" s="125">
        <f t="shared" si="0"/>
        <v>7.7785180081173071E-4</v>
      </c>
    </row>
    <row r="22" spans="1:10" s="1" customFormat="1" x14ac:dyDescent="0.2">
      <c r="A22" s="107" t="s">
        <v>108</v>
      </c>
      <c r="B22" s="73">
        <f>B9</f>
        <v>15915</v>
      </c>
      <c r="C22" s="126">
        <f>VLOOKUP($B$3,'Data for Bill Impacts'!$A$3:$Y$15,20,0)</f>
        <v>1.9E-3</v>
      </c>
      <c r="D22" s="22">
        <f>B22*C22</f>
        <v>30.238499999999998</v>
      </c>
      <c r="E22" s="73">
        <f>B22</f>
        <v>15915</v>
      </c>
      <c r="F22" s="126">
        <f>VLOOKUP($B$3,'Data for Bill Impacts'!$A$3:$Y$15,21,0)</f>
        <v>1.9E-3</v>
      </c>
      <c r="G22" s="22">
        <f>E22*F22</f>
        <v>30.238499999999998</v>
      </c>
      <c r="H22" s="22">
        <f t="shared" ref="H22" si="11">G22-D22</f>
        <v>0</v>
      </c>
      <c r="I22" s="23">
        <f>IF(ISERROR(H22/D22),0,(H22/D22))</f>
        <v>0</v>
      </c>
      <c r="J22" s="125">
        <f t="shared" ref="J22" si="12">G22/$G$38</f>
        <v>8.3408055598742977E-3</v>
      </c>
    </row>
    <row r="23" spans="1:10" x14ac:dyDescent="0.2">
      <c r="A23" s="110" t="s">
        <v>79</v>
      </c>
      <c r="B23" s="74"/>
      <c r="C23" s="35"/>
      <c r="D23" s="35">
        <f>SUM(D16:D22)</f>
        <v>1141.8864999999998</v>
      </c>
      <c r="E23" s="73"/>
      <c r="F23" s="35"/>
      <c r="G23" s="35">
        <f>SUM(G16:G22)</f>
        <v>1178.6505</v>
      </c>
      <c r="H23" s="35">
        <f t="shared" si="2"/>
        <v>36.764000000000124</v>
      </c>
      <c r="I23" s="36">
        <f t="shared" si="3"/>
        <v>3.2195844333040215E-2</v>
      </c>
      <c r="J23" s="111">
        <f t="shared" ref="J23:J29" si="13">G23/$G$38</f>
        <v>0.32511184891937833</v>
      </c>
    </row>
    <row r="24" spans="1:10" x14ac:dyDescent="0.2">
      <c r="A24" s="107" t="s">
        <v>40</v>
      </c>
      <c r="B24" s="73">
        <f>B5</f>
        <v>60</v>
      </c>
      <c r="C24" s="78">
        <f>VLOOKUP($B$3,'Data for Bill Impacts'!$A$3:$Y$15,15,0)</f>
        <v>1.6718177000000001</v>
      </c>
      <c r="D24" s="22">
        <f>B24*C24</f>
        <v>100.30906200000001</v>
      </c>
      <c r="E24" s="73">
        <f t="shared" si="4"/>
        <v>60</v>
      </c>
      <c r="F24" s="126">
        <f>VLOOKUP($B$3,'Data for Bill Impacts'!$A$3:$Y$15,24,0)</f>
        <v>1.6718177000000001</v>
      </c>
      <c r="G24" s="22">
        <f>E24*F24</f>
        <v>100.30906200000001</v>
      </c>
      <c r="H24" s="22">
        <f t="shared" si="2"/>
        <v>0</v>
      </c>
      <c r="I24" s="23">
        <f t="shared" si="3"/>
        <v>0</v>
      </c>
      <c r="J24" s="125">
        <f t="shared" si="13"/>
        <v>2.7668646990934596E-2</v>
      </c>
    </row>
    <row r="25" spans="1:10" s="1" customFormat="1" x14ac:dyDescent="0.2">
      <c r="A25" s="107" t="s">
        <v>41</v>
      </c>
      <c r="B25" s="73">
        <f>B5</f>
        <v>60</v>
      </c>
      <c r="C25" s="78">
        <f>VLOOKUP($B$3,'Data for Bill Impacts'!$A$3:$Y$15,16,0)</f>
        <v>1.2769135</v>
      </c>
      <c r="D25" s="22">
        <f>B25*C25</f>
        <v>76.614810000000006</v>
      </c>
      <c r="E25" s="73">
        <f t="shared" si="4"/>
        <v>60</v>
      </c>
      <c r="F25" s="126">
        <f>VLOOKUP($B$3,'Data for Bill Impacts'!$A$3:$Y$15,25,0)</f>
        <v>1.2769135</v>
      </c>
      <c r="G25" s="22">
        <f>E25*F25</f>
        <v>76.614810000000006</v>
      </c>
      <c r="H25" s="22">
        <f t="shared" si="2"/>
        <v>0</v>
      </c>
      <c r="I25" s="23">
        <f t="shared" si="3"/>
        <v>0</v>
      </c>
      <c r="J25" s="125">
        <f t="shared" si="13"/>
        <v>2.1132967350123617E-2</v>
      </c>
    </row>
    <row r="26" spans="1:10" x14ac:dyDescent="0.2">
      <c r="A26" s="110" t="s">
        <v>76</v>
      </c>
      <c r="B26" s="74"/>
      <c r="C26" s="35"/>
      <c r="D26" s="35">
        <f>SUM(D24:D25)</f>
        <v>176.92387200000002</v>
      </c>
      <c r="E26" s="73"/>
      <c r="F26" s="35"/>
      <c r="G26" s="35">
        <f>SUM(G24:G25)</f>
        <v>176.92387200000002</v>
      </c>
      <c r="H26" s="35">
        <f t="shared" si="2"/>
        <v>0</v>
      </c>
      <c r="I26" s="36">
        <f t="shared" si="3"/>
        <v>0</v>
      </c>
      <c r="J26" s="111">
        <f t="shared" si="13"/>
        <v>4.880161434105821E-2</v>
      </c>
    </row>
    <row r="27" spans="1:10" s="1" customFormat="1" x14ac:dyDescent="0.2">
      <c r="A27" s="110" t="s">
        <v>80</v>
      </c>
      <c r="B27" s="74"/>
      <c r="C27" s="35"/>
      <c r="D27" s="35">
        <f>D23+D26</f>
        <v>1318.8103719999999</v>
      </c>
      <c r="E27" s="73"/>
      <c r="F27" s="35"/>
      <c r="G27" s="35">
        <f>G23+G26</f>
        <v>1355.574372</v>
      </c>
      <c r="H27" s="35">
        <f t="shared" si="2"/>
        <v>36.764000000000124</v>
      </c>
      <c r="I27" s="36">
        <f t="shared" si="3"/>
        <v>2.7876638507359362E-2</v>
      </c>
      <c r="J27" s="111">
        <f t="shared" si="13"/>
        <v>0.37391346326043651</v>
      </c>
    </row>
    <row r="28" spans="1:10" x14ac:dyDescent="0.2">
      <c r="A28" s="107" t="s">
        <v>42</v>
      </c>
      <c r="B28" s="73">
        <f>B9</f>
        <v>15915</v>
      </c>
      <c r="C28" s="34">
        <v>3.5999999999999999E-3</v>
      </c>
      <c r="D28" s="22">
        <f>B28*C28</f>
        <v>57.293999999999997</v>
      </c>
      <c r="E28" s="73">
        <f t="shared" si="4"/>
        <v>15915</v>
      </c>
      <c r="F28" s="34">
        <v>3.5999999999999999E-3</v>
      </c>
      <c r="G28" s="22">
        <f>E28*F28</f>
        <v>57.293999999999997</v>
      </c>
      <c r="H28" s="22">
        <f t="shared" si="2"/>
        <v>0</v>
      </c>
      <c r="I28" s="23">
        <f t="shared" si="3"/>
        <v>0</v>
      </c>
      <c r="J28" s="125">
        <f t="shared" si="13"/>
        <v>1.5803631587130249E-2</v>
      </c>
    </row>
    <row r="29" spans="1:10" x14ac:dyDescent="0.2">
      <c r="A29" s="107" t="s">
        <v>43</v>
      </c>
      <c r="B29" s="73">
        <f>B9</f>
        <v>15915</v>
      </c>
      <c r="C29" s="34">
        <v>2.0999999999999999E-3</v>
      </c>
      <c r="D29" s="22">
        <f>B29*C29</f>
        <v>33.421499999999995</v>
      </c>
      <c r="E29" s="73">
        <f t="shared" si="4"/>
        <v>15915</v>
      </c>
      <c r="F29" s="34">
        <v>2.0999999999999999E-3</v>
      </c>
      <c r="G29" s="22">
        <f>E29*F29</f>
        <v>33.421499999999995</v>
      </c>
      <c r="H29" s="22">
        <f>G29-D29</f>
        <v>0</v>
      </c>
      <c r="I29" s="23">
        <f t="shared" si="3"/>
        <v>0</v>
      </c>
      <c r="J29" s="125">
        <f t="shared" si="13"/>
        <v>9.2187850924926439E-3</v>
      </c>
    </row>
    <row r="30" spans="1:10" x14ac:dyDescent="0.2">
      <c r="A30" s="107" t="s">
        <v>96</v>
      </c>
      <c r="B30" s="73">
        <f>B9</f>
        <v>15915</v>
      </c>
      <c r="C30" s="34">
        <v>1.1000000000000001E-3</v>
      </c>
      <c r="D30" s="22">
        <f>B30*C30</f>
        <v>17.506500000000003</v>
      </c>
      <c r="E30" s="73">
        <f t="shared" si="4"/>
        <v>15915</v>
      </c>
      <c r="F30" s="34">
        <v>1.1000000000000001E-3</v>
      </c>
      <c r="G30" s="22">
        <f>E30*F30</f>
        <v>17.506500000000003</v>
      </c>
      <c r="H30" s="22">
        <f>G30-D30</f>
        <v>0</v>
      </c>
      <c r="I30" s="23">
        <f t="shared" ref="I30" si="14">IF(ISERROR(H30/D30),0,(H30/D30))</f>
        <v>0</v>
      </c>
      <c r="J30" s="125">
        <f t="shared" ref="J30" si="15">G30/$G$38</f>
        <v>4.8288874294009103E-3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6">G31/$G$38</f>
        <v>6.8958492979763361E-5</v>
      </c>
    </row>
    <row r="32" spans="1:10" x14ac:dyDescent="0.2">
      <c r="A32" s="110" t="s">
        <v>45</v>
      </c>
      <c r="B32" s="74"/>
      <c r="C32" s="35"/>
      <c r="D32" s="35">
        <f>SUM(D28:D31)</f>
        <v>108.47199999999999</v>
      </c>
      <c r="E32" s="73"/>
      <c r="F32" s="35"/>
      <c r="G32" s="35">
        <f>SUM(G28:G31)</f>
        <v>108.47199999999999</v>
      </c>
      <c r="H32" s="35">
        <f t="shared" si="2"/>
        <v>0</v>
      </c>
      <c r="I32" s="36">
        <f t="shared" si="3"/>
        <v>0</v>
      </c>
      <c r="J32" s="111">
        <f t="shared" si="16"/>
        <v>2.9920262602003565E-2</v>
      </c>
    </row>
    <row r="33" spans="1:10" ht="13.5" thickBot="1" x14ac:dyDescent="0.25">
      <c r="A33" s="112" t="s">
        <v>46</v>
      </c>
      <c r="B33" s="113">
        <f>B4</f>
        <v>15000</v>
      </c>
      <c r="C33" s="114">
        <v>7.0000000000000001E-3</v>
      </c>
      <c r="D33" s="115">
        <f>B33*C33</f>
        <v>105</v>
      </c>
      <c r="E33" s="116">
        <f t="shared" si="4"/>
        <v>15000</v>
      </c>
      <c r="F33" s="114">
        <f>C33</f>
        <v>7.0000000000000001E-3</v>
      </c>
      <c r="G33" s="115">
        <f>E33*F33</f>
        <v>105</v>
      </c>
      <c r="H33" s="115">
        <f t="shared" si="2"/>
        <v>0</v>
      </c>
      <c r="I33" s="117">
        <f t="shared" si="3"/>
        <v>0</v>
      </c>
      <c r="J33" s="118">
        <f t="shared" si="16"/>
        <v>2.8962567051500614E-2</v>
      </c>
    </row>
    <row r="34" spans="1:10" x14ac:dyDescent="0.2">
      <c r="A34" s="37" t="s">
        <v>111</v>
      </c>
      <c r="B34" s="38"/>
      <c r="C34" s="39"/>
      <c r="D34" s="39">
        <f>SUM(D15,D23,D26,D32,D33)</f>
        <v>3171.5273719999996</v>
      </c>
      <c r="E34" s="38"/>
      <c r="F34" s="39"/>
      <c r="G34" s="39">
        <f>SUM(G15,G23,G26,G32,G33)</f>
        <v>3208.2913719999997</v>
      </c>
      <c r="H34" s="39">
        <f t="shared" si="2"/>
        <v>36.764000000000124</v>
      </c>
      <c r="I34" s="40">
        <f>IF(ISERROR(H34/D34),0,(H34/D34))</f>
        <v>1.1591891126204075E-2</v>
      </c>
      <c r="J34" s="41">
        <f t="shared" si="16"/>
        <v>0.88495575221238942</v>
      </c>
    </row>
    <row r="35" spans="1:10" x14ac:dyDescent="0.2">
      <c r="A35" s="46" t="s">
        <v>102</v>
      </c>
      <c r="B35" s="43"/>
      <c r="C35" s="26">
        <v>0.13</v>
      </c>
      <c r="D35" s="26">
        <f>D34*C35</f>
        <v>412.29855835999996</v>
      </c>
      <c r="E35" s="26"/>
      <c r="F35" s="26">
        <f>C35</f>
        <v>0.13</v>
      </c>
      <c r="G35" s="26">
        <f>G34*F35</f>
        <v>417.07787836</v>
      </c>
      <c r="H35" s="26">
        <f t="shared" si="2"/>
        <v>4.7793200000000411</v>
      </c>
      <c r="I35" s="44">
        <f t="shared" ref="I35:I38" si="17">IF(ISERROR(H35/D35),0,(H35/D35))</f>
        <v>1.1591891126204134E-2</v>
      </c>
      <c r="J35" s="45">
        <f t="shared" si="16"/>
        <v>0.11504424778761063</v>
      </c>
    </row>
    <row r="36" spans="1:10" x14ac:dyDescent="0.2">
      <c r="A36" s="46" t="s">
        <v>103</v>
      </c>
      <c r="B36" s="24"/>
      <c r="C36" s="25"/>
      <c r="D36" s="25">
        <f>SUM(D34:D35)</f>
        <v>3583.8259303599993</v>
      </c>
      <c r="E36" s="25"/>
      <c r="F36" s="25"/>
      <c r="G36" s="25">
        <f>SUM(G34:G35)</f>
        <v>3625.3692503599996</v>
      </c>
      <c r="H36" s="25">
        <f t="shared" si="2"/>
        <v>41.543320000000222</v>
      </c>
      <c r="I36" s="27">
        <f t="shared" si="17"/>
        <v>1.1591891126204098E-2</v>
      </c>
      <c r="J36" s="47">
        <f t="shared" si="16"/>
        <v>1</v>
      </c>
    </row>
    <row r="37" spans="1:10" x14ac:dyDescent="0.2">
      <c r="A37" s="46" t="s">
        <v>104</v>
      </c>
      <c r="B37" s="43"/>
      <c r="C37" s="26">
        <v>0</v>
      </c>
      <c r="D37" s="26">
        <f>D34*C37</f>
        <v>0</v>
      </c>
      <c r="E37" s="26"/>
      <c r="F37" s="26">
        <f>C37</f>
        <v>0</v>
      </c>
      <c r="G37" s="26">
        <f>G34*F37</f>
        <v>0</v>
      </c>
      <c r="H37" s="26">
        <f t="shared" si="2"/>
        <v>0</v>
      </c>
      <c r="I37" s="44">
        <f t="shared" si="17"/>
        <v>0</v>
      </c>
      <c r="J37" s="45">
        <f t="shared" si="16"/>
        <v>0</v>
      </c>
    </row>
    <row r="38" spans="1:10" ht="13.5" thickBot="1" x14ac:dyDescent="0.25">
      <c r="A38" s="46" t="s">
        <v>105</v>
      </c>
      <c r="B38" s="49"/>
      <c r="C38" s="50"/>
      <c r="D38" s="50">
        <f>SUM(D36:D37)</f>
        <v>3583.8259303599993</v>
      </c>
      <c r="E38" s="50"/>
      <c r="F38" s="50"/>
      <c r="G38" s="50">
        <f>SUM(G36:G37)</f>
        <v>3625.3692503599996</v>
      </c>
      <c r="H38" s="50">
        <f t="shared" si="2"/>
        <v>41.543320000000222</v>
      </c>
      <c r="I38" s="51">
        <f t="shared" si="17"/>
        <v>1.1591891126204098E-2</v>
      </c>
      <c r="J38" s="52">
        <f t="shared" si="16"/>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theme="1" tint="0.499984740745262"/>
    <pageSetUpPr fitToPage="1"/>
  </sheetPr>
  <dimension ref="A1:J40"/>
  <sheetViews>
    <sheetView tabSelected="1" view="pageBreakPreview" topLeftCell="A13" zoomScaleNormal="100" zoomScaleSheetLayoutView="100" workbookViewId="0">
      <selection activeCell="E1" sqref="E1:E1048576"/>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119</v>
      </c>
      <c r="B1" s="188"/>
      <c r="C1" s="188"/>
      <c r="D1" s="188"/>
      <c r="E1" s="188"/>
      <c r="F1" s="188"/>
      <c r="G1" s="188"/>
      <c r="H1" s="188"/>
      <c r="I1" s="188"/>
      <c r="J1" s="189"/>
    </row>
    <row r="3" spans="1:10" x14ac:dyDescent="0.2">
      <c r="A3" s="13" t="s">
        <v>13</v>
      </c>
      <c r="B3" s="13" t="s">
        <v>5</v>
      </c>
    </row>
    <row r="4" spans="1:10" x14ac:dyDescent="0.2">
      <c r="A4" s="15" t="s">
        <v>62</v>
      </c>
      <c r="B4" s="79">
        <f>VLOOKUP(B3,'Data for Bill Impacts'!A19:D31,3,FALSE)</f>
        <v>36104</v>
      </c>
    </row>
    <row r="5" spans="1:10" x14ac:dyDescent="0.2">
      <c r="A5" s="15" t="s">
        <v>16</v>
      </c>
      <c r="B5" s="79">
        <f>VLOOKUP(B3,'Data for Bill Impacts'!A19:D31,4,FALSE)</f>
        <v>124</v>
      </c>
    </row>
    <row r="6" spans="1:10" x14ac:dyDescent="0.2">
      <c r="A6" s="15" t="s">
        <v>20</v>
      </c>
      <c r="B6" s="80">
        <f>VLOOKUP($B$3,'Data for Bill Impacts'!$A$3:$Y$15,2,0)</f>
        <v>1.0609999999999999</v>
      </c>
    </row>
    <row r="7" spans="1:10" x14ac:dyDescent="0.2">
      <c r="A7" s="81" t="s">
        <v>48</v>
      </c>
      <c r="B7" s="82">
        <f>B4/(B5*730)</f>
        <v>0.39885108263367214</v>
      </c>
    </row>
    <row r="8" spans="1:10" x14ac:dyDescent="0.2">
      <c r="A8" s="15" t="s">
        <v>15</v>
      </c>
      <c r="B8" s="79">
        <f>VLOOKUP($B$3,'Data for Bill Impacts'!$A$3:$Y$15,4,0)</f>
        <v>0</v>
      </c>
    </row>
    <row r="9" spans="1:10" x14ac:dyDescent="0.2">
      <c r="A9" s="15" t="s">
        <v>82</v>
      </c>
      <c r="B9" s="79">
        <f>B4*B6</f>
        <v>38306.343999999997</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38306.343999999997</v>
      </c>
      <c r="C13" s="103">
        <v>0.10299999999999999</v>
      </c>
      <c r="D13" s="104">
        <f>B13*C13</f>
        <v>3945.5534319999997</v>
      </c>
      <c r="E13" s="102">
        <f>B13</f>
        <v>38306.343999999997</v>
      </c>
      <c r="F13" s="103">
        <f>C13</f>
        <v>0.10299999999999999</v>
      </c>
      <c r="G13" s="104">
        <f>E13*F13</f>
        <v>3945.5534319999997</v>
      </c>
      <c r="H13" s="104">
        <f>G13-D13</f>
        <v>0</v>
      </c>
      <c r="I13" s="105">
        <f>IF(ISERROR(H13/D13),0,(H13/D13))</f>
        <v>0</v>
      </c>
      <c r="J13" s="124">
        <f t="shared" ref="J13:J21" si="0">G13/$G$38</f>
        <v>0.48769574924343667</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3945.5534319999997</v>
      </c>
      <c r="E15" s="76"/>
      <c r="F15" s="25"/>
      <c r="G15" s="25">
        <f>SUM(G13:G14)</f>
        <v>3945.5534319999997</v>
      </c>
      <c r="H15" s="25">
        <f t="shared" si="2"/>
        <v>0</v>
      </c>
      <c r="I15" s="27">
        <f t="shared" si="3"/>
        <v>0</v>
      </c>
      <c r="J15" s="47">
        <f t="shared" si="0"/>
        <v>0.48769574924343667</v>
      </c>
    </row>
    <row r="16" spans="1:10" s="1" customFormat="1" x14ac:dyDescent="0.2">
      <c r="A16" s="107" t="s">
        <v>38</v>
      </c>
      <c r="B16" s="73">
        <v>1</v>
      </c>
      <c r="C16" s="78">
        <f>VLOOKUP($B$3,'Data for Bill Impacts'!$A$3:$Y$15,7,0)</f>
        <v>102.93</v>
      </c>
      <c r="D16" s="22">
        <f>B16*C16</f>
        <v>102.93</v>
      </c>
      <c r="E16" s="73">
        <f t="shared" ref="E16:E33" si="4">B16</f>
        <v>1</v>
      </c>
      <c r="F16" s="78">
        <f>VLOOKUP($B$3,'Data for Bill Impacts'!$A$3:$Y$15,17,0)</f>
        <v>104.42</v>
      </c>
      <c r="G16" s="22">
        <f>E16*F16</f>
        <v>104.42</v>
      </c>
      <c r="H16" s="22">
        <f t="shared" si="2"/>
        <v>1.4899999999999949</v>
      </c>
      <c r="I16" s="23">
        <f t="shared" si="3"/>
        <v>1.4475857378801076E-2</v>
      </c>
      <c r="J16" s="125">
        <f t="shared" si="0"/>
        <v>1.2906982762665489E-2</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x14ac:dyDescent="0.2">
      <c r="A19" s="107" t="s">
        <v>85</v>
      </c>
      <c r="B19" s="73">
        <v>1</v>
      </c>
      <c r="C19" s="122">
        <f>VLOOKUP($B$3,'Data for Bill Impacts'!$A$3:$Y$15,13,0)</f>
        <v>-0.02</v>
      </c>
      <c r="D19" s="22">
        <f t="shared" si="6"/>
        <v>-0.02</v>
      </c>
      <c r="E19" s="73">
        <f t="shared" si="4"/>
        <v>1</v>
      </c>
      <c r="F19" s="122">
        <f>VLOOKUP($B$3,'Data for Bill Impacts'!$A$3:$Y$15,22,0)</f>
        <v>-0.02</v>
      </c>
      <c r="G19" s="22">
        <f t="shared" si="5"/>
        <v>-0.02</v>
      </c>
      <c r="H19" s="22">
        <f t="shared" si="2"/>
        <v>0</v>
      </c>
      <c r="I19" s="23">
        <f t="shared" si="3"/>
        <v>0</v>
      </c>
      <c r="J19" s="125">
        <f t="shared" si="0"/>
        <v>-2.4721284739830472E-6</v>
      </c>
    </row>
    <row r="20" spans="1:10" x14ac:dyDescent="0.2">
      <c r="A20" s="107" t="s">
        <v>39</v>
      </c>
      <c r="B20" s="73">
        <f>IF($B$10="kWh",$B$4,$B$5)</f>
        <v>124</v>
      </c>
      <c r="C20" s="78">
        <f>VLOOKUP($B$3,'Data for Bill Impacts'!$A$3:$Y$15,10,0)</f>
        <v>16.7653</v>
      </c>
      <c r="D20" s="22">
        <f>B20*C20</f>
        <v>2078.8971999999999</v>
      </c>
      <c r="E20" s="73">
        <f t="shared" si="4"/>
        <v>124</v>
      </c>
      <c r="F20" s="126">
        <f>VLOOKUP($B$3,'Data for Bill Impacts'!$A$3:$Y$15,19,0)</f>
        <v>17.353200000000001</v>
      </c>
      <c r="G20" s="22">
        <f>E20*F20</f>
        <v>2151.7968000000001</v>
      </c>
      <c r="H20" s="22">
        <f t="shared" si="2"/>
        <v>72.899600000000191</v>
      </c>
      <c r="I20" s="23">
        <f t="shared" si="3"/>
        <v>3.5066476591531413E-2</v>
      </c>
      <c r="J20" s="125">
        <f t="shared" si="0"/>
        <v>0.26597590697528023</v>
      </c>
    </row>
    <row r="21" spans="1:10" s="1" customFormat="1" x14ac:dyDescent="0.2">
      <c r="A21" s="107" t="s">
        <v>122</v>
      </c>
      <c r="B21" s="73">
        <f>IF($B$10="kWh",$B$4,$B$5)</f>
        <v>124</v>
      </c>
      <c r="C21" s="126">
        <f>VLOOKUP($B$3,'Data for Bill Impacts'!$A$3:$Y$15,14,0)</f>
        <v>4.7E-2</v>
      </c>
      <c r="D21" s="22">
        <f>B21*C21</f>
        <v>5.8280000000000003</v>
      </c>
      <c r="E21" s="73">
        <f t="shared" si="4"/>
        <v>124</v>
      </c>
      <c r="F21" s="126">
        <f>VLOOKUP($B$3,'Data for Bill Impacts'!$A$3:$Y$15,23,0)</f>
        <v>4.7E-2</v>
      </c>
      <c r="G21" s="22">
        <f>E21*F21</f>
        <v>5.8280000000000003</v>
      </c>
      <c r="H21" s="22">
        <f t="shared" si="2"/>
        <v>0</v>
      </c>
      <c r="I21" s="23">
        <f>IF(ISERROR(H21/D21),0,(H21/D21))</f>
        <v>0</v>
      </c>
      <c r="J21" s="125">
        <f t="shared" si="0"/>
        <v>7.2037823731865998E-4</v>
      </c>
    </row>
    <row r="22" spans="1:10" s="1" customFormat="1" x14ac:dyDescent="0.2">
      <c r="A22" s="107" t="s">
        <v>108</v>
      </c>
      <c r="B22" s="73">
        <f>B9</f>
        <v>38306.343999999997</v>
      </c>
      <c r="C22" s="126">
        <f>VLOOKUP($B$3,'Data for Bill Impacts'!$A$3:$Y$15,20,0)</f>
        <v>1.9E-3</v>
      </c>
      <c r="D22" s="22">
        <f>B22*C22</f>
        <v>72.782053599999998</v>
      </c>
      <c r="E22" s="73">
        <f>B22</f>
        <v>38306.343999999997</v>
      </c>
      <c r="F22" s="126">
        <f>VLOOKUP($B$3,'Data for Bill Impacts'!$A$3:$Y$15,21,0)</f>
        <v>1.9E-3</v>
      </c>
      <c r="G22" s="22">
        <f>E22*F22</f>
        <v>72.782053599999998</v>
      </c>
      <c r="H22" s="22">
        <f t="shared" ref="H22" si="7">G22-D22</f>
        <v>0</v>
      </c>
      <c r="I22" s="23">
        <f>IF(ISERROR(H22/D22),0,(H22/D22))</f>
        <v>0</v>
      </c>
      <c r="J22" s="125">
        <f t="shared" ref="J22" si="8">G22/$G$38</f>
        <v>8.9963293549760164E-3</v>
      </c>
    </row>
    <row r="23" spans="1:10" x14ac:dyDescent="0.2">
      <c r="A23" s="110" t="s">
        <v>93</v>
      </c>
      <c r="B23" s="74"/>
      <c r="C23" s="35"/>
      <c r="D23" s="35">
        <f>SUM(D16:D22)</f>
        <v>2260.4172535999996</v>
      </c>
      <c r="E23" s="73"/>
      <c r="F23" s="35"/>
      <c r="G23" s="35">
        <f>SUM(G16:G22)</f>
        <v>2334.8068536000001</v>
      </c>
      <c r="H23" s="35">
        <f t="shared" si="2"/>
        <v>74.389600000000428</v>
      </c>
      <c r="I23" s="36">
        <f t="shared" si="3"/>
        <v>3.2909676247394416E-2</v>
      </c>
      <c r="J23" s="111">
        <f t="shared" ref="J23:J29" si="9">G23/$G$38</f>
        <v>0.28859712520176639</v>
      </c>
    </row>
    <row r="24" spans="1:10" x14ac:dyDescent="0.2">
      <c r="A24" s="107" t="s">
        <v>40</v>
      </c>
      <c r="B24" s="73">
        <f>B5</f>
        <v>124</v>
      </c>
      <c r="C24" s="78">
        <f>VLOOKUP($B$3,'Data for Bill Impacts'!$A$3:$Y$15,15,0)</f>
        <v>1.6718177000000001</v>
      </c>
      <c r="D24" s="22">
        <f>B24*C24</f>
        <v>207.30539480000002</v>
      </c>
      <c r="E24" s="73">
        <f t="shared" si="4"/>
        <v>124</v>
      </c>
      <c r="F24" s="126">
        <f>VLOOKUP($B$3,'Data for Bill Impacts'!$A$3:$Y$15,24,0)</f>
        <v>1.6718177000000001</v>
      </c>
      <c r="G24" s="22">
        <f>E24*F24</f>
        <v>207.30539480000002</v>
      </c>
      <c r="H24" s="22">
        <f t="shared" si="2"/>
        <v>0</v>
      </c>
      <c r="I24" s="23">
        <f t="shared" si="3"/>
        <v>0</v>
      </c>
      <c r="J24" s="125">
        <f t="shared" si="9"/>
        <v>2.5624278464768859E-2</v>
      </c>
    </row>
    <row r="25" spans="1:10" s="1" customFormat="1" x14ac:dyDescent="0.2">
      <c r="A25" s="107" t="s">
        <v>41</v>
      </c>
      <c r="B25" s="73">
        <f>B5</f>
        <v>124</v>
      </c>
      <c r="C25" s="78">
        <f>VLOOKUP($B$3,'Data for Bill Impacts'!$A$3:$Y$15,16,0)</f>
        <v>1.2769135</v>
      </c>
      <c r="D25" s="22">
        <f>B25*C25</f>
        <v>158.33727400000001</v>
      </c>
      <c r="E25" s="73">
        <f t="shared" si="4"/>
        <v>124</v>
      </c>
      <c r="F25" s="126">
        <f>VLOOKUP($B$3,'Data for Bill Impacts'!$A$3:$Y$15,25,0)</f>
        <v>1.2769135</v>
      </c>
      <c r="G25" s="22">
        <f>E25*F25</f>
        <v>158.33727400000001</v>
      </c>
      <c r="H25" s="22">
        <f t="shared" si="2"/>
        <v>0</v>
      </c>
      <c r="I25" s="23">
        <f t="shared" si="3"/>
        <v>0</v>
      </c>
      <c r="J25" s="125">
        <f t="shared" si="9"/>
        <v>1.9571504177412782E-2</v>
      </c>
    </row>
    <row r="26" spans="1:10" x14ac:dyDescent="0.2">
      <c r="A26" s="110" t="s">
        <v>76</v>
      </c>
      <c r="B26" s="74"/>
      <c r="C26" s="35"/>
      <c r="D26" s="35">
        <f>SUM(D24:D25)</f>
        <v>365.64266880000002</v>
      </c>
      <c r="E26" s="73"/>
      <c r="F26" s="35"/>
      <c r="G26" s="35">
        <f>SUM(G24:G25)</f>
        <v>365.64266880000002</v>
      </c>
      <c r="H26" s="35">
        <f t="shared" si="2"/>
        <v>0</v>
      </c>
      <c r="I26" s="36">
        <f t="shared" si="3"/>
        <v>0</v>
      </c>
      <c r="J26" s="111">
        <f t="shared" si="9"/>
        <v>4.5195782642181638E-2</v>
      </c>
    </row>
    <row r="27" spans="1:10" s="1" customFormat="1" x14ac:dyDescent="0.2">
      <c r="A27" s="110" t="s">
        <v>80</v>
      </c>
      <c r="B27" s="74"/>
      <c r="C27" s="35"/>
      <c r="D27" s="35">
        <f>D23+D26</f>
        <v>2626.0599223999998</v>
      </c>
      <c r="E27" s="73"/>
      <c r="F27" s="35"/>
      <c r="G27" s="35">
        <f>G23+G26</f>
        <v>2700.4495224000002</v>
      </c>
      <c r="H27" s="35">
        <f t="shared" si="2"/>
        <v>74.389600000000428</v>
      </c>
      <c r="I27" s="36">
        <f t="shared" si="3"/>
        <v>2.8327457178515005E-2</v>
      </c>
      <c r="J27" s="111">
        <f t="shared" si="9"/>
        <v>0.33379290784394805</v>
      </c>
    </row>
    <row r="28" spans="1:10" x14ac:dyDescent="0.2">
      <c r="A28" s="107" t="s">
        <v>42</v>
      </c>
      <c r="B28" s="73">
        <f>B9</f>
        <v>38306.343999999997</v>
      </c>
      <c r="C28" s="34">
        <v>3.5999999999999999E-3</v>
      </c>
      <c r="D28" s="22">
        <f>B28*C28</f>
        <v>137.90283839999998</v>
      </c>
      <c r="E28" s="73">
        <f t="shared" si="4"/>
        <v>38306.343999999997</v>
      </c>
      <c r="F28" s="34">
        <v>3.5999999999999999E-3</v>
      </c>
      <c r="G28" s="22">
        <f>E28*F28</f>
        <v>137.90283839999998</v>
      </c>
      <c r="H28" s="22">
        <f t="shared" si="2"/>
        <v>0</v>
      </c>
      <c r="I28" s="23">
        <f t="shared" si="3"/>
        <v>0</v>
      </c>
      <c r="J28" s="125">
        <f t="shared" si="9"/>
        <v>1.7045676672586135E-2</v>
      </c>
    </row>
    <row r="29" spans="1:10" x14ac:dyDescent="0.2">
      <c r="A29" s="107" t="s">
        <v>43</v>
      </c>
      <c r="B29" s="73">
        <f>B9</f>
        <v>38306.343999999997</v>
      </c>
      <c r="C29" s="34">
        <v>2.0999999999999999E-3</v>
      </c>
      <c r="D29" s="22">
        <f>B29*C29</f>
        <v>80.443322399999985</v>
      </c>
      <c r="E29" s="73">
        <f t="shared" si="4"/>
        <v>38306.343999999997</v>
      </c>
      <c r="F29" s="34">
        <v>2.0999999999999999E-3</v>
      </c>
      <c r="G29" s="22">
        <f>E29*F29</f>
        <v>80.443322399999985</v>
      </c>
      <c r="H29" s="22">
        <f>G29-D29</f>
        <v>0</v>
      </c>
      <c r="I29" s="23">
        <f t="shared" si="3"/>
        <v>0</v>
      </c>
      <c r="J29" s="125">
        <f t="shared" si="9"/>
        <v>9.9433113923419122E-3</v>
      </c>
    </row>
    <row r="30" spans="1:10" x14ac:dyDescent="0.2">
      <c r="A30" s="107" t="s">
        <v>96</v>
      </c>
      <c r="B30" s="73">
        <f>B9</f>
        <v>38306.343999999997</v>
      </c>
      <c r="C30" s="34">
        <v>1.1000000000000001E-3</v>
      </c>
      <c r="D30" s="22">
        <f>B30*C30</f>
        <v>42.136978399999997</v>
      </c>
      <c r="E30" s="73">
        <f t="shared" si="4"/>
        <v>38306.343999999997</v>
      </c>
      <c r="F30" s="34">
        <v>1.1000000000000001E-3</v>
      </c>
      <c r="G30" s="22">
        <f>E30*F30</f>
        <v>42.136978399999997</v>
      </c>
      <c r="H30" s="22">
        <f>G30-D30</f>
        <v>0</v>
      </c>
      <c r="I30" s="23">
        <f t="shared" ref="I30" si="10">IF(ISERROR(H30/D30),0,(H30/D30))</f>
        <v>0</v>
      </c>
      <c r="J30" s="125">
        <f t="shared" ref="J30" si="11">G30/$G$38</f>
        <v>5.2084012055124305E-3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2">G31/$G$38</f>
        <v>3.0901605924788088E-5</v>
      </c>
    </row>
    <row r="32" spans="1:10" x14ac:dyDescent="0.2">
      <c r="A32" s="110" t="s">
        <v>45</v>
      </c>
      <c r="B32" s="74"/>
      <c r="C32" s="35"/>
      <c r="D32" s="35">
        <f>SUM(D28:D31)</f>
        <v>260.73313919999993</v>
      </c>
      <c r="E32" s="73"/>
      <c r="F32" s="35"/>
      <c r="G32" s="35">
        <f>SUM(G28:G31)</f>
        <v>260.73313919999993</v>
      </c>
      <c r="H32" s="35">
        <f t="shared" si="2"/>
        <v>0</v>
      </c>
      <c r="I32" s="36">
        <f t="shared" si="3"/>
        <v>0</v>
      </c>
      <c r="J32" s="111">
        <f t="shared" si="12"/>
        <v>3.2228290876365265E-2</v>
      </c>
    </row>
    <row r="33" spans="1:10" ht="13.5" thickBot="1" x14ac:dyDescent="0.25">
      <c r="A33" s="112" t="s">
        <v>46</v>
      </c>
      <c r="B33" s="113">
        <f>B4</f>
        <v>36104</v>
      </c>
      <c r="C33" s="114">
        <v>7.0000000000000001E-3</v>
      </c>
      <c r="D33" s="115">
        <f>B33*C33</f>
        <v>252.72800000000001</v>
      </c>
      <c r="E33" s="116">
        <f t="shared" si="4"/>
        <v>36104</v>
      </c>
      <c r="F33" s="114">
        <f>C33</f>
        <v>7.0000000000000001E-3</v>
      </c>
      <c r="G33" s="115">
        <f>E33*F33</f>
        <v>252.72800000000001</v>
      </c>
      <c r="H33" s="115">
        <f t="shared" si="2"/>
        <v>0</v>
      </c>
      <c r="I33" s="117">
        <f t="shared" si="3"/>
        <v>0</v>
      </c>
      <c r="J33" s="118">
        <f t="shared" si="12"/>
        <v>3.1238804248639378E-2</v>
      </c>
    </row>
    <row r="34" spans="1:10" x14ac:dyDescent="0.2">
      <c r="A34" s="37" t="s">
        <v>111</v>
      </c>
      <c r="B34" s="38"/>
      <c r="C34" s="39"/>
      <c r="D34" s="39">
        <f>SUM(D15,D23,D26,D32,D33)</f>
        <v>7085.0744935999992</v>
      </c>
      <c r="E34" s="38"/>
      <c r="F34" s="39"/>
      <c r="G34" s="39">
        <f>SUM(G15,G23,G26,G32,G33)</f>
        <v>7159.4640935999996</v>
      </c>
      <c r="H34" s="39">
        <f t="shared" si="2"/>
        <v>74.389600000000428</v>
      </c>
      <c r="I34" s="40">
        <f>IF(ISERROR(H34/D34),0,(H34/D34))</f>
        <v>1.0499480290178616E-2</v>
      </c>
      <c r="J34" s="41">
        <f t="shared" si="12"/>
        <v>0.88495575221238931</v>
      </c>
    </row>
    <row r="35" spans="1:10" x14ac:dyDescent="0.2">
      <c r="A35" s="46" t="s">
        <v>102</v>
      </c>
      <c r="B35" s="43"/>
      <c r="C35" s="26">
        <v>0.13</v>
      </c>
      <c r="D35" s="26">
        <f>D34*C35</f>
        <v>921.05968416799988</v>
      </c>
      <c r="E35" s="26"/>
      <c r="F35" s="26">
        <f>C35</f>
        <v>0.13</v>
      </c>
      <c r="G35" s="26">
        <f>G34*F35</f>
        <v>930.73033216800002</v>
      </c>
      <c r="H35" s="26">
        <f t="shared" si="2"/>
        <v>9.670648000000142</v>
      </c>
      <c r="I35" s="44">
        <f t="shared" ref="I35:I38" si="13">IF(ISERROR(H35/D35),0,(H35/D35))</f>
        <v>1.0499480290178709E-2</v>
      </c>
      <c r="J35" s="45">
        <f t="shared" si="12"/>
        <v>0.11504424778761063</v>
      </c>
    </row>
    <row r="36" spans="1:10" x14ac:dyDescent="0.2">
      <c r="A36" s="46" t="s">
        <v>103</v>
      </c>
      <c r="B36" s="24"/>
      <c r="C36" s="25"/>
      <c r="D36" s="25">
        <f>SUM(D34:D35)</f>
        <v>8006.1341777679991</v>
      </c>
      <c r="E36" s="25"/>
      <c r="F36" s="25"/>
      <c r="G36" s="25">
        <f>SUM(G34:G35)</f>
        <v>8090.1944257679997</v>
      </c>
      <c r="H36" s="25">
        <f t="shared" si="2"/>
        <v>84.060248000000684</v>
      </c>
      <c r="I36" s="27">
        <f t="shared" si="13"/>
        <v>1.049948029017864E-2</v>
      </c>
      <c r="J36" s="47">
        <f t="shared" si="12"/>
        <v>1</v>
      </c>
    </row>
    <row r="37" spans="1:10" x14ac:dyDescent="0.2">
      <c r="A37" s="46" t="s">
        <v>104</v>
      </c>
      <c r="B37" s="43"/>
      <c r="C37" s="26">
        <v>0</v>
      </c>
      <c r="D37" s="26">
        <f>D34*C37</f>
        <v>0</v>
      </c>
      <c r="E37" s="26"/>
      <c r="F37" s="26">
        <f>C37</f>
        <v>0</v>
      </c>
      <c r="G37" s="26">
        <f>G34*F37</f>
        <v>0</v>
      </c>
      <c r="H37" s="26">
        <f t="shared" si="2"/>
        <v>0</v>
      </c>
      <c r="I37" s="44">
        <f t="shared" si="13"/>
        <v>0</v>
      </c>
      <c r="J37" s="45">
        <f t="shared" si="12"/>
        <v>0</v>
      </c>
    </row>
    <row r="38" spans="1:10" ht="13.5" thickBot="1" x14ac:dyDescent="0.25">
      <c r="A38" s="46" t="s">
        <v>105</v>
      </c>
      <c r="B38" s="49"/>
      <c r="C38" s="50"/>
      <c r="D38" s="50">
        <f>SUM(D36:D37)</f>
        <v>8006.1341777679991</v>
      </c>
      <c r="E38" s="50"/>
      <c r="F38" s="50"/>
      <c r="G38" s="50">
        <f>SUM(G36:G37)</f>
        <v>8090.1944257679997</v>
      </c>
      <c r="H38" s="50">
        <f t="shared" si="2"/>
        <v>84.060248000000684</v>
      </c>
      <c r="I38" s="51">
        <f t="shared" si="13"/>
        <v>1.049948029017864E-2</v>
      </c>
      <c r="J38" s="52">
        <f t="shared" si="12"/>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theme="1" tint="0.499984740745262"/>
    <pageSetUpPr fitToPage="1"/>
  </sheetPr>
  <dimension ref="A1:J40"/>
  <sheetViews>
    <sheetView tabSelected="1" view="pageBreakPreview" topLeftCell="A10" zoomScaleNormal="100" zoomScaleSheetLayoutView="100" workbookViewId="0">
      <selection activeCell="E1" sqref="E1:E1048576"/>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9.5703125"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121</v>
      </c>
      <c r="B1" s="188"/>
      <c r="C1" s="188"/>
      <c r="D1" s="188"/>
      <c r="E1" s="188"/>
      <c r="F1" s="188"/>
      <c r="G1" s="188"/>
      <c r="H1" s="188"/>
      <c r="I1" s="188"/>
      <c r="J1" s="189"/>
    </row>
    <row r="3" spans="1:10" x14ac:dyDescent="0.2">
      <c r="A3" s="13" t="s">
        <v>13</v>
      </c>
      <c r="B3" s="13" t="s">
        <v>5</v>
      </c>
    </row>
    <row r="4" spans="1:10" x14ac:dyDescent="0.2">
      <c r="A4" s="15" t="s">
        <v>62</v>
      </c>
      <c r="B4" s="79">
        <v>175000</v>
      </c>
    </row>
    <row r="5" spans="1:10" x14ac:dyDescent="0.2">
      <c r="A5" s="15" t="s">
        <v>16</v>
      </c>
      <c r="B5" s="79">
        <v>500</v>
      </c>
    </row>
    <row r="6" spans="1:10" x14ac:dyDescent="0.2">
      <c r="A6" s="15" t="s">
        <v>20</v>
      </c>
      <c r="B6" s="80">
        <f>VLOOKUP($B$3,'Data for Bill Impacts'!$A$3:$Y$15,2,0)</f>
        <v>1.0609999999999999</v>
      </c>
    </row>
    <row r="7" spans="1:10" x14ac:dyDescent="0.2">
      <c r="A7" s="81" t="s">
        <v>48</v>
      </c>
      <c r="B7" s="82">
        <f>B4/(B5*730)</f>
        <v>0.47945205479452052</v>
      </c>
    </row>
    <row r="8" spans="1:10" x14ac:dyDescent="0.2">
      <c r="A8" s="15" t="s">
        <v>15</v>
      </c>
      <c r="B8" s="79">
        <f>VLOOKUP($B$3,'Data for Bill Impacts'!$A$3:$Y$15,4,0)</f>
        <v>0</v>
      </c>
    </row>
    <row r="9" spans="1:10" x14ac:dyDescent="0.2">
      <c r="A9" s="15" t="s">
        <v>82</v>
      </c>
      <c r="B9" s="79">
        <f>B4*B6</f>
        <v>185675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185675</v>
      </c>
      <c r="C13" s="103">
        <v>0.10299999999999999</v>
      </c>
      <c r="D13" s="104">
        <f>B13*C13</f>
        <v>19124.524999999998</v>
      </c>
      <c r="E13" s="102">
        <f>B13</f>
        <v>185675</v>
      </c>
      <c r="F13" s="103">
        <f>C13</f>
        <v>0.10299999999999999</v>
      </c>
      <c r="G13" s="104">
        <f>E13*F13</f>
        <v>19124.524999999998</v>
      </c>
      <c r="H13" s="104">
        <f>G13-D13</f>
        <v>0</v>
      </c>
      <c r="I13" s="105">
        <f>IF(ISERROR(H13/D13),0,(H13/D13))</f>
        <v>0</v>
      </c>
      <c r="J13" s="124">
        <f t="shared" ref="J13:J29" si="0">G13/$G$38</f>
        <v>0.5248837467777745</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19124.524999999998</v>
      </c>
      <c r="E15" s="76"/>
      <c r="F15" s="25"/>
      <c r="G15" s="25">
        <f>SUM(G13:G14)</f>
        <v>19124.524999999998</v>
      </c>
      <c r="H15" s="25">
        <f t="shared" si="2"/>
        <v>0</v>
      </c>
      <c r="I15" s="27">
        <f t="shared" si="3"/>
        <v>0</v>
      </c>
      <c r="J15" s="47">
        <f t="shared" si="0"/>
        <v>0.5248837467777745</v>
      </c>
    </row>
    <row r="16" spans="1:10" s="1" customFormat="1" x14ac:dyDescent="0.2">
      <c r="A16" s="107" t="s">
        <v>38</v>
      </c>
      <c r="B16" s="73">
        <v>1</v>
      </c>
      <c r="C16" s="78">
        <f>VLOOKUP($B$3,'Data for Bill Impacts'!$A$3:$Y$15,7,0)</f>
        <v>102.93</v>
      </c>
      <c r="D16" s="22">
        <f>B16*C16</f>
        <v>102.93</v>
      </c>
      <c r="E16" s="73">
        <f t="shared" ref="E16:E33" si="4">B16</f>
        <v>1</v>
      </c>
      <c r="F16" s="78">
        <f>VLOOKUP($B$3,'Data for Bill Impacts'!$A$3:$Y$15,17,0)</f>
        <v>104.42</v>
      </c>
      <c r="G16" s="22">
        <f>E16*F16</f>
        <v>104.42</v>
      </c>
      <c r="H16" s="22">
        <f t="shared" si="2"/>
        <v>1.4899999999999949</v>
      </c>
      <c r="I16" s="23">
        <f t="shared" si="3"/>
        <v>1.4475857378801076E-2</v>
      </c>
      <c r="J16" s="125">
        <f t="shared" si="0"/>
        <v>2.8658678235687018E-3</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x14ac:dyDescent="0.2">
      <c r="A19" s="107" t="s">
        <v>85</v>
      </c>
      <c r="B19" s="73">
        <v>1</v>
      </c>
      <c r="C19" s="122">
        <f>VLOOKUP($B$3,'Data for Bill Impacts'!$A$3:$Y$15,13,0)</f>
        <v>-0.02</v>
      </c>
      <c r="D19" s="22">
        <f t="shared" si="6"/>
        <v>-0.02</v>
      </c>
      <c r="E19" s="73">
        <f t="shared" si="4"/>
        <v>1</v>
      </c>
      <c r="F19" s="122">
        <f>VLOOKUP($B$3,'Data for Bill Impacts'!$A$3:$Y$15,22,0)</f>
        <v>-0.02</v>
      </c>
      <c r="G19" s="22">
        <f t="shared" si="5"/>
        <v>-0.02</v>
      </c>
      <c r="H19" s="22">
        <f t="shared" si="2"/>
        <v>0</v>
      </c>
      <c r="I19" s="23">
        <f t="shared" si="3"/>
        <v>0</v>
      </c>
      <c r="J19" s="125">
        <f t="shared" si="0"/>
        <v>-5.4891166894631328E-7</v>
      </c>
    </row>
    <row r="20" spans="1:10" x14ac:dyDescent="0.2">
      <c r="A20" s="107" t="s">
        <v>39</v>
      </c>
      <c r="B20" s="73">
        <f>IF($B$10="kWh",$B$4,$B$5)</f>
        <v>500</v>
      </c>
      <c r="C20" s="78">
        <f>VLOOKUP($B$3,'Data for Bill Impacts'!$A$3:$Y$15,10,0)</f>
        <v>16.7653</v>
      </c>
      <c r="D20" s="22">
        <f>B20*C20</f>
        <v>8382.65</v>
      </c>
      <c r="E20" s="73">
        <f t="shared" si="4"/>
        <v>500</v>
      </c>
      <c r="F20" s="126">
        <f>VLOOKUP($B$3,'Data for Bill Impacts'!$A$3:$Y$15,19,0)</f>
        <v>17.353200000000001</v>
      </c>
      <c r="G20" s="22">
        <f>E20*F20</f>
        <v>8676.6</v>
      </c>
      <c r="H20" s="22">
        <f t="shared" si="2"/>
        <v>293.95000000000073</v>
      </c>
      <c r="I20" s="23">
        <f t="shared" si="3"/>
        <v>3.5066476591531406E-2</v>
      </c>
      <c r="J20" s="125">
        <f t="shared" si="0"/>
        <v>0.23813434933897909</v>
      </c>
    </row>
    <row r="21" spans="1:10" s="1" customFormat="1" x14ac:dyDescent="0.2">
      <c r="A21" s="107" t="s">
        <v>122</v>
      </c>
      <c r="B21" s="73">
        <f>IF($B$10="kWh",$B$4,$B$5)</f>
        <v>500</v>
      </c>
      <c r="C21" s="126">
        <f>VLOOKUP($B$3,'Data for Bill Impacts'!$A$3:$Y$15,14,0)</f>
        <v>4.7E-2</v>
      </c>
      <c r="D21" s="22">
        <f>B21*C21</f>
        <v>23.5</v>
      </c>
      <c r="E21" s="73">
        <f t="shared" si="4"/>
        <v>500</v>
      </c>
      <c r="F21" s="126">
        <f>VLOOKUP($B$3,'Data for Bill Impacts'!$A$3:$Y$15,23,0)</f>
        <v>4.7E-2</v>
      </c>
      <c r="G21" s="22">
        <f>E21*F21</f>
        <v>23.5</v>
      </c>
      <c r="H21" s="22">
        <f t="shared" si="2"/>
        <v>0</v>
      </c>
      <c r="I21" s="23">
        <f>IF(ISERROR(H21/D21),0,(H21/D21))</f>
        <v>0</v>
      </c>
      <c r="J21" s="125">
        <f t="shared" si="0"/>
        <v>6.4497121101191805E-4</v>
      </c>
    </row>
    <row r="22" spans="1:10" s="1" customFormat="1" x14ac:dyDescent="0.2">
      <c r="A22" s="107" t="s">
        <v>108</v>
      </c>
      <c r="B22" s="73">
        <f>B9</f>
        <v>185675</v>
      </c>
      <c r="C22" s="126">
        <f>VLOOKUP($B$3,'Data for Bill Impacts'!$A$3:$Y$15,20,0)</f>
        <v>1.9E-3</v>
      </c>
      <c r="D22" s="22">
        <f>B22*C22</f>
        <v>352.78250000000003</v>
      </c>
      <c r="E22" s="73">
        <f>B22</f>
        <v>185675</v>
      </c>
      <c r="F22" s="126">
        <f>VLOOKUP($B$3,'Data for Bill Impacts'!$A$3:$Y$15,21,0)</f>
        <v>1.9E-3</v>
      </c>
      <c r="G22" s="22">
        <f>E22*F22</f>
        <v>352.78250000000003</v>
      </c>
      <c r="H22" s="22">
        <f t="shared" ref="H22" si="7">G22-D22</f>
        <v>0</v>
      </c>
      <c r="I22" s="23">
        <f>IF(ISERROR(H22/D22),0,(H22/D22))</f>
        <v>0</v>
      </c>
      <c r="J22" s="125">
        <f t="shared" si="0"/>
        <v>9.682321542502639E-3</v>
      </c>
    </row>
    <row r="23" spans="1:10" x14ac:dyDescent="0.2">
      <c r="A23" s="110" t="s">
        <v>79</v>
      </c>
      <c r="B23" s="74"/>
      <c r="C23" s="35"/>
      <c r="D23" s="35">
        <f>SUM(D16:D22)</f>
        <v>8861.8424999999988</v>
      </c>
      <c r="E23" s="73"/>
      <c r="F23" s="35"/>
      <c r="G23" s="35">
        <f>SUM(G16:G22)</f>
        <v>9157.2824999999993</v>
      </c>
      <c r="H23" s="35">
        <f t="shared" si="2"/>
        <v>295.44000000000051</v>
      </c>
      <c r="I23" s="36">
        <f t="shared" si="3"/>
        <v>3.3338439494947081E-2</v>
      </c>
      <c r="J23" s="111">
        <f t="shared" si="0"/>
        <v>0.25132696100439339</v>
      </c>
    </row>
    <row r="24" spans="1:10" x14ac:dyDescent="0.2">
      <c r="A24" s="107" t="s">
        <v>40</v>
      </c>
      <c r="B24" s="73">
        <f>B5</f>
        <v>500</v>
      </c>
      <c r="C24" s="78">
        <f>VLOOKUP($B$3,'Data for Bill Impacts'!$A$3:$Y$15,15,0)</f>
        <v>1.6718177000000001</v>
      </c>
      <c r="D24" s="22">
        <f>B24*C24</f>
        <v>835.90885000000003</v>
      </c>
      <c r="E24" s="73">
        <f t="shared" si="4"/>
        <v>500</v>
      </c>
      <c r="F24" s="126">
        <f>VLOOKUP($B$3,'Data for Bill Impacts'!$A$3:$Y$15,24,0)</f>
        <v>1.6718177000000001</v>
      </c>
      <c r="G24" s="22">
        <f>E24*F24</f>
        <v>835.90885000000003</v>
      </c>
      <c r="H24" s="22">
        <f t="shared" si="2"/>
        <v>0</v>
      </c>
      <c r="I24" s="23">
        <f t="shared" si="3"/>
        <v>0</v>
      </c>
      <c r="J24" s="125">
        <f t="shared" si="0"/>
        <v>2.2942006097024674E-2</v>
      </c>
    </row>
    <row r="25" spans="1:10" s="1" customFormat="1" x14ac:dyDescent="0.2">
      <c r="A25" s="107" t="s">
        <v>41</v>
      </c>
      <c r="B25" s="73">
        <f>B5</f>
        <v>500</v>
      </c>
      <c r="C25" s="78">
        <f>VLOOKUP($B$3,'Data for Bill Impacts'!$A$3:$Y$15,16,0)</f>
        <v>1.2769135</v>
      </c>
      <c r="D25" s="22">
        <f>B25*C25</f>
        <v>638.45675000000006</v>
      </c>
      <c r="E25" s="73">
        <f t="shared" si="4"/>
        <v>500</v>
      </c>
      <c r="F25" s="126">
        <f>VLOOKUP($B$3,'Data for Bill Impacts'!$A$3:$Y$15,25,0)</f>
        <v>1.2769135</v>
      </c>
      <c r="G25" s="22">
        <f>E25*F25</f>
        <v>638.45675000000006</v>
      </c>
      <c r="H25" s="22">
        <f t="shared" si="2"/>
        <v>0</v>
      </c>
      <c r="I25" s="23">
        <f t="shared" si="3"/>
        <v>0</v>
      </c>
      <c r="J25" s="125">
        <f t="shared" si="0"/>
        <v>1.7522818009626955E-2</v>
      </c>
    </row>
    <row r="26" spans="1:10" x14ac:dyDescent="0.2">
      <c r="A26" s="110" t="s">
        <v>76</v>
      </c>
      <c r="B26" s="74"/>
      <c r="C26" s="35"/>
      <c r="D26" s="35">
        <f>SUM(D24:D25)</f>
        <v>1474.3656000000001</v>
      </c>
      <c r="E26" s="73"/>
      <c r="F26" s="35"/>
      <c r="G26" s="35">
        <f>SUM(G24:G25)</f>
        <v>1474.3656000000001</v>
      </c>
      <c r="H26" s="35">
        <f t="shared" si="2"/>
        <v>0</v>
      </c>
      <c r="I26" s="36">
        <f t="shared" si="3"/>
        <v>0</v>
      </c>
      <c r="J26" s="111">
        <f t="shared" si="0"/>
        <v>4.0464824106651628E-2</v>
      </c>
    </row>
    <row r="27" spans="1:10" s="1" customFormat="1" x14ac:dyDescent="0.2">
      <c r="A27" s="110" t="s">
        <v>80</v>
      </c>
      <c r="B27" s="74"/>
      <c r="C27" s="35"/>
      <c r="D27" s="35">
        <f>D23+D26</f>
        <v>10336.2081</v>
      </c>
      <c r="E27" s="73"/>
      <c r="F27" s="35"/>
      <c r="G27" s="35">
        <f>G23+G26</f>
        <v>10631.648099999999</v>
      </c>
      <c r="H27" s="35">
        <f t="shared" si="2"/>
        <v>295.43999999999869</v>
      </c>
      <c r="I27" s="36">
        <f t="shared" si="3"/>
        <v>2.8583015854721297E-2</v>
      </c>
      <c r="J27" s="111">
        <f t="shared" si="0"/>
        <v>0.29179178511104498</v>
      </c>
    </row>
    <row r="28" spans="1:10" x14ac:dyDescent="0.2">
      <c r="A28" s="107" t="s">
        <v>42</v>
      </c>
      <c r="B28" s="73">
        <f>B9</f>
        <v>185675</v>
      </c>
      <c r="C28" s="34">
        <v>3.5999999999999999E-3</v>
      </c>
      <c r="D28" s="22">
        <f>B28*C28</f>
        <v>668.43</v>
      </c>
      <c r="E28" s="73">
        <f t="shared" si="4"/>
        <v>185675</v>
      </c>
      <c r="F28" s="34">
        <v>3.5999999999999999E-3</v>
      </c>
      <c r="G28" s="22">
        <f>E28*F28</f>
        <v>668.43</v>
      </c>
      <c r="H28" s="22">
        <f t="shared" si="2"/>
        <v>0</v>
      </c>
      <c r="I28" s="23">
        <f t="shared" si="3"/>
        <v>0</v>
      </c>
      <c r="J28" s="125">
        <f t="shared" si="0"/>
        <v>1.8345451343689208E-2</v>
      </c>
    </row>
    <row r="29" spans="1:10" x14ac:dyDescent="0.2">
      <c r="A29" s="107" t="s">
        <v>43</v>
      </c>
      <c r="B29" s="73">
        <f>B9</f>
        <v>185675</v>
      </c>
      <c r="C29" s="34">
        <v>2.0999999999999999E-3</v>
      </c>
      <c r="D29" s="22">
        <f>B29*C29</f>
        <v>389.91749999999996</v>
      </c>
      <c r="E29" s="73">
        <f t="shared" si="4"/>
        <v>185675</v>
      </c>
      <c r="F29" s="34">
        <v>2.0999999999999999E-3</v>
      </c>
      <c r="G29" s="22">
        <f>E29*F29</f>
        <v>389.91749999999996</v>
      </c>
      <c r="H29" s="22">
        <f>G29-D29</f>
        <v>0</v>
      </c>
      <c r="I29" s="23">
        <f t="shared" si="3"/>
        <v>0</v>
      </c>
      <c r="J29" s="125">
        <f t="shared" si="0"/>
        <v>1.0701513283818704E-2</v>
      </c>
    </row>
    <row r="30" spans="1:10" x14ac:dyDescent="0.2">
      <c r="A30" s="107" t="s">
        <v>96</v>
      </c>
      <c r="B30" s="73">
        <f>B9</f>
        <v>185675</v>
      </c>
      <c r="C30" s="34">
        <v>1.1000000000000001E-3</v>
      </c>
      <c r="D30" s="22">
        <f>B30*C30</f>
        <v>204.24250000000001</v>
      </c>
      <c r="E30" s="73">
        <f t="shared" si="4"/>
        <v>185675</v>
      </c>
      <c r="F30" s="34">
        <v>1.1000000000000001E-3</v>
      </c>
      <c r="G30" s="22">
        <f>E30*F30</f>
        <v>204.24250000000001</v>
      </c>
      <c r="H30" s="22">
        <f>G30-D30</f>
        <v>0</v>
      </c>
      <c r="I30" s="23">
        <f t="shared" ref="I30" si="8">IF(ISERROR(H30/D30),0,(H30/D30))</f>
        <v>0</v>
      </c>
      <c r="J30" s="125">
        <f t="shared" ref="J30" si="9">G30/$G$38</f>
        <v>5.6055545772383695E-3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0">G31/$G$38</f>
        <v>6.861395861828916E-6</v>
      </c>
    </row>
    <row r="32" spans="1:10" x14ac:dyDescent="0.2">
      <c r="A32" s="110" t="s">
        <v>45</v>
      </c>
      <c r="B32" s="74"/>
      <c r="C32" s="35"/>
      <c r="D32" s="35">
        <f>SUM(D28:D31)</f>
        <v>1262.8399999999999</v>
      </c>
      <c r="E32" s="73"/>
      <c r="F32" s="35"/>
      <c r="G32" s="35">
        <f>SUM(G28:G31)</f>
        <v>1262.8399999999999</v>
      </c>
      <c r="H32" s="35">
        <f t="shared" si="2"/>
        <v>0</v>
      </c>
      <c r="I32" s="36">
        <f t="shared" si="3"/>
        <v>0</v>
      </c>
      <c r="J32" s="111">
        <f t="shared" si="10"/>
        <v>3.4659380600608108E-2</v>
      </c>
    </row>
    <row r="33" spans="1:10" ht="13.5" thickBot="1" x14ac:dyDescent="0.25">
      <c r="A33" s="112" t="s">
        <v>46</v>
      </c>
      <c r="B33" s="113">
        <f>B4</f>
        <v>175000</v>
      </c>
      <c r="C33" s="114">
        <v>7.0000000000000001E-3</v>
      </c>
      <c r="D33" s="115">
        <f>B33*C33</f>
        <v>1225</v>
      </c>
      <c r="E33" s="116">
        <f t="shared" si="4"/>
        <v>175000</v>
      </c>
      <c r="F33" s="114">
        <f>C33</f>
        <v>7.0000000000000001E-3</v>
      </c>
      <c r="G33" s="115">
        <f>E33*F33</f>
        <v>1225</v>
      </c>
      <c r="H33" s="115">
        <f t="shared" si="2"/>
        <v>0</v>
      </c>
      <c r="I33" s="117">
        <f t="shared" si="3"/>
        <v>0</v>
      </c>
      <c r="J33" s="118">
        <f t="shared" si="10"/>
        <v>3.362083972296169E-2</v>
      </c>
    </row>
    <row r="34" spans="1:10" x14ac:dyDescent="0.2">
      <c r="A34" s="37" t="s">
        <v>111</v>
      </c>
      <c r="B34" s="38"/>
      <c r="C34" s="39"/>
      <c r="D34" s="39">
        <f>SUM(D15,D23,D26,D32,D33)</f>
        <v>31948.573099999998</v>
      </c>
      <c r="E34" s="38"/>
      <c r="F34" s="39"/>
      <c r="G34" s="39">
        <f>SUM(G15,G23,G26,G32,G33)</f>
        <v>32244.013099999996</v>
      </c>
      <c r="H34" s="39">
        <f t="shared" si="2"/>
        <v>295.43999999999869</v>
      </c>
      <c r="I34" s="40">
        <f>IF(ISERROR(H34/D34),0,(H34/D34))</f>
        <v>9.2473613477278803E-3</v>
      </c>
      <c r="J34" s="41">
        <f t="shared" si="10"/>
        <v>0.88495575221238931</v>
      </c>
    </row>
    <row r="35" spans="1:10" x14ac:dyDescent="0.2">
      <c r="A35" s="46" t="s">
        <v>102</v>
      </c>
      <c r="B35" s="43"/>
      <c r="C35" s="26">
        <v>0.13</v>
      </c>
      <c r="D35" s="26">
        <f>D34*C35</f>
        <v>4153.3145029999996</v>
      </c>
      <c r="E35" s="26"/>
      <c r="F35" s="26">
        <f>C35</f>
        <v>0.13</v>
      </c>
      <c r="G35" s="26">
        <f>G34*F35</f>
        <v>4191.7217029999993</v>
      </c>
      <c r="H35" s="26">
        <f t="shared" si="2"/>
        <v>38.407199999999648</v>
      </c>
      <c r="I35" s="44">
        <f t="shared" ref="I35:I38" si="11">IF(ISERROR(H35/D35),0,(H35/D35))</f>
        <v>9.2473613477278369E-3</v>
      </c>
      <c r="J35" s="45">
        <f t="shared" si="10"/>
        <v>0.1150442477876106</v>
      </c>
    </row>
    <row r="36" spans="1:10" x14ac:dyDescent="0.2">
      <c r="A36" s="46" t="s">
        <v>103</v>
      </c>
      <c r="B36" s="24"/>
      <c r="C36" s="25"/>
      <c r="D36" s="25">
        <f>SUM(D34:D35)</f>
        <v>36101.887602999996</v>
      </c>
      <c r="E36" s="25"/>
      <c r="F36" s="25"/>
      <c r="G36" s="25">
        <f>SUM(G34:G35)</f>
        <v>36435.734802999999</v>
      </c>
      <c r="H36" s="25">
        <f t="shared" si="2"/>
        <v>333.8472000000038</v>
      </c>
      <c r="I36" s="27">
        <f t="shared" si="11"/>
        <v>9.2473613477280277E-3</v>
      </c>
      <c r="J36" s="47">
        <f t="shared" si="10"/>
        <v>1</v>
      </c>
    </row>
    <row r="37" spans="1:10" x14ac:dyDescent="0.2">
      <c r="A37" s="46" t="s">
        <v>104</v>
      </c>
      <c r="B37" s="43"/>
      <c r="C37" s="26">
        <v>0</v>
      </c>
      <c r="D37" s="26">
        <f>D34*C37</f>
        <v>0</v>
      </c>
      <c r="E37" s="26"/>
      <c r="F37" s="26">
        <f>C37</f>
        <v>0</v>
      </c>
      <c r="G37" s="26">
        <f>G34*F37</f>
        <v>0</v>
      </c>
      <c r="H37" s="26">
        <f t="shared" si="2"/>
        <v>0</v>
      </c>
      <c r="I37" s="44">
        <f t="shared" si="11"/>
        <v>0</v>
      </c>
      <c r="J37" s="45">
        <f t="shared" si="10"/>
        <v>0</v>
      </c>
    </row>
    <row r="38" spans="1:10" ht="13.5" thickBot="1" x14ac:dyDescent="0.25">
      <c r="A38" s="46" t="s">
        <v>105</v>
      </c>
      <c r="B38" s="49"/>
      <c r="C38" s="50"/>
      <c r="D38" s="50">
        <f>SUM(D36:D37)</f>
        <v>36101.887602999996</v>
      </c>
      <c r="E38" s="50"/>
      <c r="F38" s="50"/>
      <c r="G38" s="50">
        <f>SUM(G36:G37)</f>
        <v>36435.734802999999</v>
      </c>
      <c r="H38" s="50">
        <f t="shared" si="2"/>
        <v>333.8472000000038</v>
      </c>
      <c r="I38" s="51">
        <f t="shared" si="11"/>
        <v>9.2473613477280277E-3</v>
      </c>
      <c r="J38" s="52">
        <f t="shared" si="10"/>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5" scale="94"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theme="1" tint="0.499984740745262"/>
    <pageSetUpPr fitToPage="1"/>
  </sheetPr>
  <dimension ref="A1:J40"/>
  <sheetViews>
    <sheetView tabSelected="1" view="pageBreakPreview" zoomScaleNormal="100" zoomScaleSheetLayoutView="100" workbookViewId="0">
      <selection activeCell="E1" sqref="E1:E1048576"/>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118</v>
      </c>
      <c r="B1" s="188"/>
      <c r="C1" s="188"/>
      <c r="D1" s="188"/>
      <c r="E1" s="188"/>
      <c r="F1" s="188"/>
      <c r="G1" s="188"/>
      <c r="H1" s="188"/>
      <c r="I1" s="188"/>
      <c r="J1" s="189"/>
    </row>
    <row r="3" spans="1:10" x14ac:dyDescent="0.2">
      <c r="A3" s="13" t="s">
        <v>13</v>
      </c>
      <c r="B3" s="13" t="s">
        <v>47</v>
      </c>
    </row>
    <row r="4" spans="1:10" x14ac:dyDescent="0.2">
      <c r="A4" s="15" t="s">
        <v>62</v>
      </c>
      <c r="B4" s="79">
        <v>300</v>
      </c>
    </row>
    <row r="5" spans="1:10" x14ac:dyDescent="0.2">
      <c r="A5" s="15" t="s">
        <v>16</v>
      </c>
      <c r="B5" s="79">
        <v>10</v>
      </c>
    </row>
    <row r="6" spans="1:10" x14ac:dyDescent="0.2">
      <c r="A6" s="15" t="s">
        <v>20</v>
      </c>
      <c r="B6" s="80">
        <f>VLOOKUP($B$3,'Data for Bill Impacts'!$A$3:$Y$15,2,0)</f>
        <v>1.0609999999999999</v>
      </c>
    </row>
    <row r="7" spans="1:10" x14ac:dyDescent="0.2">
      <c r="A7" s="81" t="s">
        <v>48</v>
      </c>
      <c r="B7" s="82">
        <f>B4/(B5*730)</f>
        <v>4.1095890410958902E-2</v>
      </c>
    </row>
    <row r="8" spans="1:10" x14ac:dyDescent="0.2">
      <c r="A8" s="15" t="s">
        <v>15</v>
      </c>
      <c r="B8" s="79">
        <f>VLOOKUP($B$3,'Data for Bill Impacts'!$A$3:$Y$15,4,0)</f>
        <v>0</v>
      </c>
    </row>
    <row r="9" spans="1:10" x14ac:dyDescent="0.2">
      <c r="A9" s="15" t="s">
        <v>82</v>
      </c>
      <c r="B9" s="79">
        <f>B4*B6</f>
        <v>318.29999999999995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318.29999999999995</v>
      </c>
      <c r="C13" s="103">
        <v>0.10299999999999999</v>
      </c>
      <c r="D13" s="104">
        <f>B13*C13</f>
        <v>32.784899999999993</v>
      </c>
      <c r="E13" s="102">
        <f>B13</f>
        <v>318.29999999999995</v>
      </c>
      <c r="F13" s="103">
        <f>C13</f>
        <v>0.10299999999999999</v>
      </c>
      <c r="G13" s="104">
        <f>E13*F13</f>
        <v>32.784899999999993</v>
      </c>
      <c r="H13" s="104">
        <f>G13-D13</f>
        <v>0</v>
      </c>
      <c r="I13" s="105">
        <f>IF(ISERROR(H13/D13),0,(H13/D13))</f>
        <v>0</v>
      </c>
      <c r="J13" s="124">
        <f t="shared" ref="J13:J21" si="0">G13/$G$38</f>
        <v>8.4375560033871783E-2</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32.784899999999993</v>
      </c>
      <c r="E15" s="76"/>
      <c r="F15" s="25"/>
      <c r="G15" s="25">
        <f>SUM(G13:G14)</f>
        <v>32.784899999999993</v>
      </c>
      <c r="H15" s="25">
        <f t="shared" si="2"/>
        <v>0</v>
      </c>
      <c r="I15" s="27">
        <f t="shared" si="3"/>
        <v>0</v>
      </c>
      <c r="J15" s="47">
        <f t="shared" si="0"/>
        <v>8.4375560033871783E-2</v>
      </c>
    </row>
    <row r="16" spans="1:10" s="1" customFormat="1" x14ac:dyDescent="0.2">
      <c r="A16" s="107" t="s">
        <v>38</v>
      </c>
      <c r="B16" s="73">
        <v>1</v>
      </c>
      <c r="C16" s="78">
        <f>VLOOKUP($B$3,'Data for Bill Impacts'!$A$3:$Y$15,7,0)</f>
        <v>198.03</v>
      </c>
      <c r="D16" s="22">
        <f>B16*C16</f>
        <v>198.03</v>
      </c>
      <c r="E16" s="73">
        <f t="shared" ref="E16:E33" si="4">B16</f>
        <v>1</v>
      </c>
      <c r="F16" s="78">
        <f>VLOOKUP($B$3,'Data for Bill Impacts'!$A$3:$Y$15,17,0)</f>
        <v>198.03</v>
      </c>
      <c r="G16" s="22">
        <f>E16*F16</f>
        <v>198.03</v>
      </c>
      <c r="H16" s="22">
        <f t="shared" si="2"/>
        <v>0</v>
      </c>
      <c r="I16" s="23">
        <f t="shared" si="3"/>
        <v>0</v>
      </c>
      <c r="J16" s="125">
        <f t="shared" si="0"/>
        <v>0.50965207011482827</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x14ac:dyDescent="0.2">
      <c r="A19" s="107" t="s">
        <v>85</v>
      </c>
      <c r="B19" s="73">
        <v>1</v>
      </c>
      <c r="C19" s="78">
        <f>VLOOKUP($B$3,'Data for Bill Impacts'!$A$3:$Y$15,13,0)</f>
        <v>0.01</v>
      </c>
      <c r="D19" s="22">
        <f t="shared" si="6"/>
        <v>0.01</v>
      </c>
      <c r="E19" s="73">
        <f t="shared" si="4"/>
        <v>1</v>
      </c>
      <c r="F19" s="78">
        <f>VLOOKUP($B$3,'Data for Bill Impacts'!$A$3:$Y$15,22,0)</f>
        <v>0.01</v>
      </c>
      <c r="G19" s="22">
        <f t="shared" si="5"/>
        <v>0.01</v>
      </c>
      <c r="H19" s="22">
        <f t="shared" si="2"/>
        <v>0</v>
      </c>
      <c r="I19" s="23">
        <f t="shared" si="3"/>
        <v>0</v>
      </c>
      <c r="J19" s="125">
        <f t="shared" si="0"/>
        <v>2.5736104131436057E-5</v>
      </c>
    </row>
    <row r="20" spans="1:10" x14ac:dyDescent="0.2">
      <c r="A20" s="107" t="s">
        <v>39</v>
      </c>
      <c r="B20" s="73">
        <f>IF($B$10="kWh",$B$4,$B$5)</f>
        <v>10</v>
      </c>
      <c r="C20" s="78">
        <f>VLOOKUP($B$3,'Data for Bill Impacts'!$A$3:$Y$15,10,0)</f>
        <v>6.0591999999999997</v>
      </c>
      <c r="D20" s="22">
        <f>B20*C20</f>
        <v>60.591999999999999</v>
      </c>
      <c r="E20" s="73">
        <f t="shared" si="4"/>
        <v>10</v>
      </c>
      <c r="F20" s="126">
        <f>VLOOKUP($B$3,'Data for Bill Impacts'!$A$3:$Y$15,19,0)</f>
        <v>9.5955999999999992</v>
      </c>
      <c r="G20" s="22">
        <f>E20*F20</f>
        <v>95.955999999999989</v>
      </c>
      <c r="H20" s="22">
        <f t="shared" si="2"/>
        <v>35.36399999999999</v>
      </c>
      <c r="I20" s="23">
        <f t="shared" si="3"/>
        <v>0.58364140480591487</v>
      </c>
      <c r="J20" s="125">
        <f t="shared" si="0"/>
        <v>0.2469533608036078</v>
      </c>
    </row>
    <row r="21" spans="1:10" s="1" customFormat="1" x14ac:dyDescent="0.2">
      <c r="A21" s="107" t="s">
        <v>122</v>
      </c>
      <c r="B21" s="73">
        <f>IF($B$10="kWh",$B$4,$B$5)</f>
        <v>10</v>
      </c>
      <c r="C21" s="126">
        <f>VLOOKUP($B$3,'Data for Bill Impacts'!$A$3:$Y$15,14,0)</f>
        <v>1.72E-2</v>
      </c>
      <c r="D21" s="22">
        <f>B21*C21</f>
        <v>0.17199999999999999</v>
      </c>
      <c r="E21" s="73">
        <f t="shared" si="4"/>
        <v>10</v>
      </c>
      <c r="F21" s="126">
        <f>VLOOKUP($B$3,'Data for Bill Impacts'!$A$3:$Y$15,23,0)</f>
        <v>1.72E-2</v>
      </c>
      <c r="G21" s="22">
        <f>E21*F21</f>
        <v>0.17199999999999999</v>
      </c>
      <c r="H21" s="22">
        <f t="shared" si="2"/>
        <v>0</v>
      </c>
      <c r="I21" s="23">
        <f>IF(ISERROR(H21/D21),0,(H21/D21))</f>
        <v>0</v>
      </c>
      <c r="J21" s="125">
        <f t="shared" si="0"/>
        <v>4.4266099106070019E-4</v>
      </c>
    </row>
    <row r="22" spans="1:10" s="1" customFormat="1" x14ac:dyDescent="0.2">
      <c r="A22" s="107" t="s">
        <v>108</v>
      </c>
      <c r="B22" s="73">
        <f>B9</f>
        <v>318.29999999999995</v>
      </c>
      <c r="C22" s="126">
        <f>VLOOKUP($B$3,'Data for Bill Impacts'!$A$3:$Y$15,20,0)</f>
        <v>1.9E-3</v>
      </c>
      <c r="D22" s="22">
        <f>B22*C22</f>
        <v>0.60476999999999992</v>
      </c>
      <c r="E22" s="73">
        <f>B22</f>
        <v>318.29999999999995</v>
      </c>
      <c r="F22" s="126">
        <f>VLOOKUP($B$3,'Data for Bill Impacts'!$A$3:$Y$15,21,0)</f>
        <v>1.9E-3</v>
      </c>
      <c r="G22" s="22">
        <f>E22*F22</f>
        <v>0.60476999999999992</v>
      </c>
      <c r="H22" s="22">
        <f t="shared" ref="H22" si="7">G22-D22</f>
        <v>0</v>
      </c>
      <c r="I22" s="23">
        <f>IF(ISERROR(H22/D22),0,(H22/D22))</f>
        <v>0</v>
      </c>
      <c r="J22" s="125">
        <f t="shared" ref="J22" si="8">G22/$G$38</f>
        <v>1.5564423695568583E-3</v>
      </c>
    </row>
    <row r="23" spans="1:10" x14ac:dyDescent="0.2">
      <c r="A23" s="110" t="s">
        <v>93</v>
      </c>
      <c r="B23" s="74"/>
      <c r="C23" s="35"/>
      <c r="D23" s="35">
        <f>SUM(D16:D22)</f>
        <v>259.40877</v>
      </c>
      <c r="E23" s="73"/>
      <c r="F23" s="35"/>
      <c r="G23" s="35">
        <f>SUM(G16:G22)</f>
        <v>294.77276999999998</v>
      </c>
      <c r="H23" s="35">
        <f t="shared" si="2"/>
        <v>35.363999999999976</v>
      </c>
      <c r="I23" s="36">
        <f t="shared" si="3"/>
        <v>0.13632538329371044</v>
      </c>
      <c r="J23" s="111">
        <f t="shared" ref="J23:J29" si="9">G23/$G$38</f>
        <v>0.75863027038318509</v>
      </c>
    </row>
    <row r="24" spans="1:10" x14ac:dyDescent="0.2">
      <c r="A24" s="107" t="s">
        <v>40</v>
      </c>
      <c r="B24" s="73">
        <f>B5</f>
        <v>10</v>
      </c>
      <c r="C24" s="126">
        <f>VLOOKUP($B$3,'Data for Bill Impacts'!$A$3:$Y$15,15,0)</f>
        <v>0.63108279999999994</v>
      </c>
      <c r="D24" s="22">
        <f>B24*C24</f>
        <v>6.310827999999999</v>
      </c>
      <c r="E24" s="73">
        <f t="shared" si="4"/>
        <v>10</v>
      </c>
      <c r="F24" s="126">
        <f>VLOOKUP($B$3,'Data for Bill Impacts'!$A$3:$Y$15,24,0)</f>
        <v>0.63108279999999994</v>
      </c>
      <c r="G24" s="22">
        <f>E24*F24</f>
        <v>6.310827999999999</v>
      </c>
      <c r="H24" s="22">
        <f t="shared" si="2"/>
        <v>0</v>
      </c>
      <c r="I24" s="23">
        <f t="shared" si="3"/>
        <v>0</v>
      </c>
      <c r="J24" s="125">
        <f t="shared" si="9"/>
        <v>1.6241612656358234E-2</v>
      </c>
    </row>
    <row r="25" spans="1:10" s="1" customFormat="1" x14ac:dyDescent="0.2">
      <c r="A25" s="107" t="s">
        <v>41</v>
      </c>
      <c r="B25" s="73">
        <f>B5</f>
        <v>10</v>
      </c>
      <c r="C25" s="126">
        <f>VLOOKUP($B$3,'Data for Bill Impacts'!$A$3:$Y$15,16,0)</f>
        <v>0.54747599999999996</v>
      </c>
      <c r="D25" s="22">
        <f>B25*C25</f>
        <v>5.4747599999999998</v>
      </c>
      <c r="E25" s="73">
        <f t="shared" si="4"/>
        <v>10</v>
      </c>
      <c r="F25" s="126">
        <f>VLOOKUP($B$3,'Data for Bill Impacts'!$A$3:$Y$15,25,0)</f>
        <v>0.54747599999999996</v>
      </c>
      <c r="G25" s="22">
        <f>E25*F25</f>
        <v>5.4747599999999998</v>
      </c>
      <c r="H25" s="22">
        <f t="shared" si="2"/>
        <v>0</v>
      </c>
      <c r="I25" s="23">
        <f t="shared" si="3"/>
        <v>0</v>
      </c>
      <c r="J25" s="125">
        <f t="shared" si="9"/>
        <v>1.4089899345462087E-2</v>
      </c>
    </row>
    <row r="26" spans="1:10" x14ac:dyDescent="0.2">
      <c r="A26" s="110" t="s">
        <v>76</v>
      </c>
      <c r="B26" s="74"/>
      <c r="C26" s="35"/>
      <c r="D26" s="35">
        <f>SUM(D24:D25)</f>
        <v>11.785587999999999</v>
      </c>
      <c r="E26" s="73"/>
      <c r="F26" s="35"/>
      <c r="G26" s="35">
        <f>SUM(G24:G25)</f>
        <v>11.785587999999999</v>
      </c>
      <c r="H26" s="35">
        <f t="shared" si="2"/>
        <v>0</v>
      </c>
      <c r="I26" s="36">
        <f t="shared" si="3"/>
        <v>0</v>
      </c>
      <c r="J26" s="111">
        <f t="shared" si="9"/>
        <v>3.033151200182032E-2</v>
      </c>
    </row>
    <row r="27" spans="1:10" s="1" customFormat="1" x14ac:dyDescent="0.2">
      <c r="A27" s="110" t="s">
        <v>80</v>
      </c>
      <c r="B27" s="74"/>
      <c r="C27" s="35"/>
      <c r="D27" s="35">
        <f>D23+D26</f>
        <v>271.19435800000002</v>
      </c>
      <c r="E27" s="73"/>
      <c r="F27" s="35"/>
      <c r="G27" s="35">
        <f>G23+G26</f>
        <v>306.558358</v>
      </c>
      <c r="H27" s="35">
        <f t="shared" si="2"/>
        <v>35.363999999999976</v>
      </c>
      <c r="I27" s="36">
        <f t="shared" si="3"/>
        <v>0.130400942928171</v>
      </c>
      <c r="J27" s="111">
        <f t="shared" si="9"/>
        <v>0.78896178238500547</v>
      </c>
    </row>
    <row r="28" spans="1:10" x14ac:dyDescent="0.2">
      <c r="A28" s="107" t="s">
        <v>42</v>
      </c>
      <c r="B28" s="73">
        <f>B9</f>
        <v>318.29999999999995</v>
      </c>
      <c r="C28" s="34">
        <v>3.5999999999999999E-3</v>
      </c>
      <c r="D28" s="22">
        <f>B28*C28</f>
        <v>1.1458799999999998</v>
      </c>
      <c r="E28" s="73">
        <f t="shared" si="4"/>
        <v>318.29999999999995</v>
      </c>
      <c r="F28" s="34">
        <v>3.5999999999999999E-3</v>
      </c>
      <c r="G28" s="22">
        <f>E28*F28</f>
        <v>1.1458799999999998</v>
      </c>
      <c r="H28" s="22">
        <f t="shared" si="2"/>
        <v>0</v>
      </c>
      <c r="I28" s="23">
        <f t="shared" si="3"/>
        <v>0</v>
      </c>
      <c r="J28" s="125">
        <f t="shared" si="9"/>
        <v>2.9490487002129945E-3</v>
      </c>
    </row>
    <row r="29" spans="1:10" x14ac:dyDescent="0.2">
      <c r="A29" s="107" t="s">
        <v>43</v>
      </c>
      <c r="B29" s="73">
        <f>B9</f>
        <v>318.29999999999995</v>
      </c>
      <c r="C29" s="34">
        <v>2.0999999999999999E-3</v>
      </c>
      <c r="D29" s="22">
        <f>B29*C29</f>
        <v>0.66842999999999986</v>
      </c>
      <c r="E29" s="73">
        <f t="shared" si="4"/>
        <v>318.29999999999995</v>
      </c>
      <c r="F29" s="34">
        <v>2.0999999999999999E-3</v>
      </c>
      <c r="G29" s="22">
        <f>E29*F29</f>
        <v>0.66842999999999986</v>
      </c>
      <c r="H29" s="22">
        <f>G29-D29</f>
        <v>0</v>
      </c>
      <c r="I29" s="23">
        <f t="shared" si="3"/>
        <v>0</v>
      </c>
      <c r="J29" s="125">
        <f t="shared" si="9"/>
        <v>1.72027840845758E-3</v>
      </c>
    </row>
    <row r="30" spans="1:10" x14ac:dyDescent="0.2">
      <c r="A30" s="107" t="s">
        <v>96</v>
      </c>
      <c r="B30" s="73">
        <f>B9</f>
        <v>318.29999999999995</v>
      </c>
      <c r="C30" s="34">
        <v>1.1000000000000001E-3</v>
      </c>
      <c r="D30" s="22">
        <f>B30*C30</f>
        <v>0.35013</v>
      </c>
      <c r="E30" s="73">
        <f t="shared" si="4"/>
        <v>318.29999999999995</v>
      </c>
      <c r="F30" s="34">
        <v>1.1000000000000001E-3</v>
      </c>
      <c r="G30" s="22">
        <f>E30*F30</f>
        <v>0.35013</v>
      </c>
      <c r="H30" s="22">
        <f>G30-D30</f>
        <v>0</v>
      </c>
      <c r="I30" s="23">
        <f t="shared" ref="I30" si="10">IF(ISERROR(H30/D30),0,(H30/D30))</f>
        <v>0</v>
      </c>
      <c r="J30" s="125">
        <f t="shared" ref="J30" si="11">G30/$G$38</f>
        <v>9.0109821395397067E-4</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2">G31/$G$38</f>
        <v>6.4340260328590144E-4</v>
      </c>
    </row>
    <row r="32" spans="1:10" x14ac:dyDescent="0.2">
      <c r="A32" s="110" t="s">
        <v>45</v>
      </c>
      <c r="B32" s="74"/>
      <c r="C32" s="35"/>
      <c r="D32" s="35">
        <f>SUM(D28:D31)</f>
        <v>2.4144399999999995</v>
      </c>
      <c r="E32" s="73"/>
      <c r="F32" s="35"/>
      <c r="G32" s="35">
        <f>SUM(G28:G31)</f>
        <v>2.4144399999999995</v>
      </c>
      <c r="H32" s="35">
        <f t="shared" si="2"/>
        <v>0</v>
      </c>
      <c r="I32" s="36">
        <f t="shared" si="3"/>
        <v>0</v>
      </c>
      <c r="J32" s="111">
        <f t="shared" si="12"/>
        <v>6.2138279259104463E-3</v>
      </c>
    </row>
    <row r="33" spans="1:10" ht="13.5" thickBot="1" x14ac:dyDescent="0.25">
      <c r="A33" s="112" t="s">
        <v>46</v>
      </c>
      <c r="B33" s="113">
        <f>B4</f>
        <v>300</v>
      </c>
      <c r="C33" s="114">
        <v>7.0000000000000001E-3</v>
      </c>
      <c r="D33" s="115">
        <f>B33*C33</f>
        <v>2.1</v>
      </c>
      <c r="E33" s="116">
        <f t="shared" si="4"/>
        <v>300</v>
      </c>
      <c r="F33" s="114">
        <f>C33</f>
        <v>7.0000000000000001E-3</v>
      </c>
      <c r="G33" s="115">
        <f>E33*F33</f>
        <v>2.1</v>
      </c>
      <c r="H33" s="115">
        <f t="shared" si="2"/>
        <v>0</v>
      </c>
      <c r="I33" s="117">
        <f t="shared" si="3"/>
        <v>0</v>
      </c>
      <c r="J33" s="118">
        <f t="shared" si="12"/>
        <v>5.4045818676015725E-3</v>
      </c>
    </row>
    <row r="34" spans="1:10" x14ac:dyDescent="0.2">
      <c r="A34" s="37" t="s">
        <v>111</v>
      </c>
      <c r="B34" s="38"/>
      <c r="C34" s="39"/>
      <c r="D34" s="39">
        <f>SUM(D15,D23,D26,D32,D33)</f>
        <v>308.49369800000005</v>
      </c>
      <c r="E34" s="38"/>
      <c r="F34" s="39"/>
      <c r="G34" s="39">
        <f>SUM(G15,G23,G26,G32,G33)</f>
        <v>343.85769800000003</v>
      </c>
      <c r="H34" s="39">
        <f t="shared" si="2"/>
        <v>35.363999999999976</v>
      </c>
      <c r="I34" s="40">
        <f>IF(ISERROR(H34/D34),0,(H34/D34))</f>
        <v>0.11463443249981713</v>
      </c>
      <c r="J34" s="41">
        <f t="shared" si="12"/>
        <v>0.88495575221238931</v>
      </c>
    </row>
    <row r="35" spans="1:10" x14ac:dyDescent="0.2">
      <c r="A35" s="46" t="s">
        <v>102</v>
      </c>
      <c r="B35" s="43"/>
      <c r="C35" s="26">
        <v>0.13</v>
      </c>
      <c r="D35" s="26">
        <f>D34*C35</f>
        <v>40.104180740000011</v>
      </c>
      <c r="E35" s="26"/>
      <c r="F35" s="26">
        <f>C35</f>
        <v>0.13</v>
      </c>
      <c r="G35" s="26">
        <f>G34*F35</f>
        <v>44.701500740000007</v>
      </c>
      <c r="H35" s="26">
        <f t="shared" si="2"/>
        <v>4.5973199999999963</v>
      </c>
      <c r="I35" s="44">
        <f t="shared" ref="I35:I38" si="13">IF(ISERROR(H35/D35),0,(H35/D35))</f>
        <v>0.1146344324998171</v>
      </c>
      <c r="J35" s="45">
        <f t="shared" si="12"/>
        <v>0.11504424778761062</v>
      </c>
    </row>
    <row r="36" spans="1:10" x14ac:dyDescent="0.2">
      <c r="A36" s="46" t="s">
        <v>103</v>
      </c>
      <c r="B36" s="24"/>
      <c r="C36" s="25"/>
      <c r="D36" s="25">
        <f>SUM(D34:D35)</f>
        <v>348.59787874000006</v>
      </c>
      <c r="E36" s="25"/>
      <c r="F36" s="25"/>
      <c r="G36" s="25">
        <f>SUM(G34:G35)</f>
        <v>388.55919874000006</v>
      </c>
      <c r="H36" s="25">
        <f t="shared" si="2"/>
        <v>39.961320000000001</v>
      </c>
      <c r="I36" s="27">
        <f t="shared" si="13"/>
        <v>0.11463443249981721</v>
      </c>
      <c r="J36" s="47">
        <f t="shared" si="12"/>
        <v>1</v>
      </c>
    </row>
    <row r="37" spans="1:10" x14ac:dyDescent="0.2">
      <c r="A37" s="46" t="s">
        <v>104</v>
      </c>
      <c r="B37" s="43"/>
      <c r="C37" s="26">
        <v>0</v>
      </c>
      <c r="D37" s="26">
        <f>D34*C37</f>
        <v>0</v>
      </c>
      <c r="E37" s="26"/>
      <c r="F37" s="26">
        <f>C37</f>
        <v>0</v>
      </c>
      <c r="G37" s="26">
        <f>G34*F37</f>
        <v>0</v>
      </c>
      <c r="H37" s="26">
        <f t="shared" si="2"/>
        <v>0</v>
      </c>
      <c r="I37" s="44">
        <f t="shared" si="13"/>
        <v>0</v>
      </c>
      <c r="J37" s="45">
        <f t="shared" si="12"/>
        <v>0</v>
      </c>
    </row>
    <row r="38" spans="1:10" ht="13.5" thickBot="1" x14ac:dyDescent="0.25">
      <c r="A38" s="46" t="s">
        <v>105</v>
      </c>
      <c r="B38" s="49"/>
      <c r="C38" s="50"/>
      <c r="D38" s="50">
        <f>SUM(D36:D37)</f>
        <v>348.59787874000006</v>
      </c>
      <c r="E38" s="50"/>
      <c r="F38" s="50"/>
      <c r="G38" s="50">
        <f>SUM(G36:G37)</f>
        <v>388.55919874000006</v>
      </c>
      <c r="H38" s="50">
        <f t="shared" si="2"/>
        <v>39.961320000000001</v>
      </c>
      <c r="I38" s="51">
        <f t="shared" si="13"/>
        <v>0.11463443249981721</v>
      </c>
      <c r="J38" s="52">
        <f t="shared" si="12"/>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theme="1" tint="0.499984740745262"/>
    <pageSetUpPr fitToPage="1"/>
  </sheetPr>
  <dimension ref="A1:J43"/>
  <sheetViews>
    <sheetView tabSelected="1" zoomScaleNormal="100" zoomScaleSheetLayoutView="100" workbookViewId="0">
      <selection activeCell="E1" sqref="E1:E1048576"/>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119</v>
      </c>
      <c r="B1" s="188"/>
      <c r="C1" s="188"/>
      <c r="D1" s="188"/>
      <c r="E1" s="188"/>
      <c r="F1" s="188"/>
      <c r="G1" s="188"/>
      <c r="H1" s="188"/>
      <c r="I1" s="188"/>
      <c r="J1" s="189"/>
    </row>
    <row r="3" spans="1:10" x14ac:dyDescent="0.2">
      <c r="A3" s="13" t="s">
        <v>13</v>
      </c>
      <c r="B3" s="13" t="s">
        <v>47</v>
      </c>
    </row>
    <row r="4" spans="1:10" x14ac:dyDescent="0.2">
      <c r="A4" s="15" t="s">
        <v>62</v>
      </c>
      <c r="B4" s="79">
        <f>VLOOKUP(B3,'Data for Bill Impacts'!A19:D31,3,FALSE)</f>
        <v>1328</v>
      </c>
    </row>
    <row r="5" spans="1:10" x14ac:dyDescent="0.2">
      <c r="A5" s="15" t="s">
        <v>16</v>
      </c>
      <c r="B5" s="79">
        <f>VLOOKUP(B3,'Data for Bill Impacts'!A19:D31,4,FALSE)</f>
        <v>13</v>
      </c>
    </row>
    <row r="6" spans="1:10" x14ac:dyDescent="0.2">
      <c r="A6" s="15" t="s">
        <v>20</v>
      </c>
      <c r="B6" s="80">
        <f>VLOOKUP($B$3,'Data for Bill Impacts'!$A$3:$Y$15,2,0)</f>
        <v>1.0609999999999999</v>
      </c>
    </row>
    <row r="7" spans="1:10" x14ac:dyDescent="0.2">
      <c r="A7" s="81" t="s">
        <v>48</v>
      </c>
      <c r="B7" s="82">
        <f>B4/(B5*730)</f>
        <v>0.1399367755532139</v>
      </c>
    </row>
    <row r="8" spans="1:10" x14ac:dyDescent="0.2">
      <c r="A8" s="15" t="s">
        <v>15</v>
      </c>
      <c r="B8" s="79">
        <f>VLOOKUP($B$3,'Data for Bill Impacts'!$A$3:$Y$15,4,0)</f>
        <v>0</v>
      </c>
    </row>
    <row r="9" spans="1:10" x14ac:dyDescent="0.2">
      <c r="A9" s="15" t="s">
        <v>82</v>
      </c>
      <c r="B9" s="79">
        <f>B4*B6</f>
        <v>1409.0079999999998</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1409.0079999999998</v>
      </c>
      <c r="C13" s="103">
        <v>0.10299999999999999</v>
      </c>
      <c r="D13" s="104">
        <f>B13*C13</f>
        <v>145.12782399999998</v>
      </c>
      <c r="E13" s="102">
        <f>B13</f>
        <v>1409.0079999999998</v>
      </c>
      <c r="F13" s="103">
        <f>C13</f>
        <v>0.10299999999999999</v>
      </c>
      <c r="G13" s="104">
        <f>E13*F13</f>
        <v>145.12782399999998</v>
      </c>
      <c r="H13" s="104">
        <f>G13-D13</f>
        <v>0</v>
      </c>
      <c r="I13" s="105">
        <f>IF(ISERROR(H13/D13),0,(H13/D13))</f>
        <v>0</v>
      </c>
      <c r="J13" s="124">
        <f>G13/$G$38</f>
        <v>0.25418940495935316</v>
      </c>
    </row>
    <row r="14" spans="1:10" x14ac:dyDescent="0.2">
      <c r="A14" s="107" t="s">
        <v>32</v>
      </c>
      <c r="B14" s="73">
        <v>0</v>
      </c>
      <c r="C14" s="21">
        <v>0.121</v>
      </c>
      <c r="D14" s="22">
        <f>B14*C14</f>
        <v>0</v>
      </c>
      <c r="E14" s="73">
        <f t="shared" ref="E14" si="0">B14</f>
        <v>0</v>
      </c>
      <c r="F14" s="21">
        <f>C14</f>
        <v>0.121</v>
      </c>
      <c r="G14" s="22">
        <f>E14*F14</f>
        <v>0</v>
      </c>
      <c r="H14" s="22">
        <f t="shared" ref="H14:H38" si="1">G14-D14</f>
        <v>0</v>
      </c>
      <c r="I14" s="23">
        <f t="shared" ref="I14:I33" si="2">IF(ISERROR(H14/D14),0,(H14/D14))</f>
        <v>0</v>
      </c>
      <c r="J14" s="125">
        <f>G14/$G$38</f>
        <v>0</v>
      </c>
    </row>
    <row r="15" spans="1:10" s="1" customFormat="1" x14ac:dyDescent="0.2">
      <c r="A15" s="46" t="s">
        <v>33</v>
      </c>
      <c r="B15" s="24"/>
      <c r="C15" s="25"/>
      <c r="D15" s="25">
        <f>SUM(D13:D14)</f>
        <v>145.12782399999998</v>
      </c>
      <c r="E15" s="76"/>
      <c r="F15" s="25"/>
      <c r="G15" s="25">
        <f>SUM(G13:G14)</f>
        <v>145.12782399999998</v>
      </c>
      <c r="H15" s="25">
        <f t="shared" si="1"/>
        <v>0</v>
      </c>
      <c r="I15" s="27">
        <f t="shared" si="2"/>
        <v>0</v>
      </c>
      <c r="J15" s="47">
        <f>G15/$G$38</f>
        <v>0.25418940495935316</v>
      </c>
    </row>
    <row r="16" spans="1:10" s="1" customFormat="1" x14ac:dyDescent="0.2">
      <c r="A16" s="107" t="s">
        <v>38</v>
      </c>
      <c r="B16" s="73">
        <v>1</v>
      </c>
      <c r="C16" s="78">
        <f>VLOOKUP($B$3,'Data for Bill Impacts'!$A$3:$Y$15,7,0)</f>
        <v>198.03</v>
      </c>
      <c r="D16" s="22">
        <f>B16*C16</f>
        <v>198.03</v>
      </c>
      <c r="E16" s="73">
        <f t="shared" ref="E16:E33" si="3">B16</f>
        <v>1</v>
      </c>
      <c r="F16" s="22">
        <f>VLOOKUP($B$3,'Data for Bill Impacts'!$A$3:$Y$15,17,0)</f>
        <v>198.03</v>
      </c>
      <c r="G16" s="22">
        <f>E16*F16</f>
        <v>198.03</v>
      </c>
      <c r="H16" s="22">
        <f t="shared" si="1"/>
        <v>0</v>
      </c>
      <c r="I16" s="23">
        <f t="shared" si="2"/>
        <v>0</v>
      </c>
      <c r="J16" s="125">
        <f>G16/$G$38</f>
        <v>0.3468468449172139</v>
      </c>
    </row>
    <row r="17" spans="1:10" hidden="1" x14ac:dyDescent="0.2">
      <c r="A17" s="107" t="s">
        <v>83</v>
      </c>
      <c r="B17" s="73">
        <v>1</v>
      </c>
      <c r="C17" s="78">
        <f>VLOOKUP($B$3,'Data for Bill Impacts'!$A$3:$Y$15,8,0)</f>
        <v>0</v>
      </c>
      <c r="D17" s="22">
        <f>B17*C17</f>
        <v>0</v>
      </c>
      <c r="E17" s="73">
        <f t="shared" si="3"/>
        <v>1</v>
      </c>
      <c r="F17" s="78">
        <v>0</v>
      </c>
      <c r="G17" s="22">
        <f t="shared" ref="G17:G18" si="4">E17*F17</f>
        <v>0</v>
      </c>
      <c r="H17" s="22">
        <f t="shared" si="1"/>
        <v>0</v>
      </c>
      <c r="I17" s="23">
        <f t="shared" si="2"/>
        <v>0</v>
      </c>
      <c r="J17" s="125">
        <f t="shared" ref="J17:J18" si="5">G17/$G$38</f>
        <v>0</v>
      </c>
    </row>
    <row r="18" spans="1:10" hidden="1" x14ac:dyDescent="0.2">
      <c r="A18" s="107" t="s">
        <v>84</v>
      </c>
      <c r="B18" s="73">
        <v>1</v>
      </c>
      <c r="C18" s="78">
        <f>VLOOKUP($B$3,'Data for Bill Impacts'!$A$3:$Y$15,11,0)</f>
        <v>0</v>
      </c>
      <c r="D18" s="22">
        <f t="shared" ref="D18" si="6">B18*C18</f>
        <v>0</v>
      </c>
      <c r="E18" s="73">
        <f t="shared" si="3"/>
        <v>1</v>
      </c>
      <c r="F18" s="78">
        <f>VLOOKUP($B$3,'Data for Bill Impacts'!$A$3:$Y$15,12,0)</f>
        <v>0</v>
      </c>
      <c r="G18" s="22">
        <f t="shared" si="4"/>
        <v>0</v>
      </c>
      <c r="H18" s="22">
        <f t="shared" si="1"/>
        <v>0</v>
      </c>
      <c r="I18" s="23">
        <f t="shared" si="2"/>
        <v>0</v>
      </c>
      <c r="J18" s="125">
        <f t="shared" si="5"/>
        <v>0</v>
      </c>
    </row>
    <row r="19" spans="1:10" x14ac:dyDescent="0.2">
      <c r="A19" s="107" t="s">
        <v>85</v>
      </c>
      <c r="B19" s="73">
        <v>1</v>
      </c>
      <c r="C19" s="78">
        <f>VLOOKUP($B$3,'Data for Bill Impacts'!$A$3:$Y$15,13,0)</f>
        <v>0.01</v>
      </c>
      <c r="D19" s="22">
        <f t="shared" ref="D19" si="7">B19*C19</f>
        <v>0.01</v>
      </c>
      <c r="E19" s="73">
        <f t="shared" si="3"/>
        <v>1</v>
      </c>
      <c r="F19" s="122">
        <f>VLOOKUP($B$3,'Data for Bill Impacts'!$A$3:$Y$15,22,0)</f>
        <v>0.01</v>
      </c>
      <c r="G19" s="22">
        <f t="shared" ref="G19" si="8">E19*F19</f>
        <v>0.01</v>
      </c>
      <c r="H19" s="22">
        <f t="shared" si="1"/>
        <v>0</v>
      </c>
      <c r="I19" s="23">
        <f t="shared" si="2"/>
        <v>0</v>
      </c>
      <c r="J19" s="125">
        <f t="shared" ref="J19:J29" si="9">G19/$G$38</f>
        <v>1.751486365284118E-5</v>
      </c>
    </row>
    <row r="20" spans="1:10" x14ac:dyDescent="0.2">
      <c r="A20" s="107" t="s">
        <v>39</v>
      </c>
      <c r="B20" s="73">
        <f>IF($B$10="kWh",$B$4,$B$5)</f>
        <v>13</v>
      </c>
      <c r="C20" s="78">
        <f>VLOOKUP($B$3,'Data for Bill Impacts'!$A$3:$Y$15,10,0)</f>
        <v>6.0591999999999997</v>
      </c>
      <c r="D20" s="22">
        <f>B20*C20</f>
        <v>78.769599999999997</v>
      </c>
      <c r="E20" s="73">
        <f t="shared" si="3"/>
        <v>13</v>
      </c>
      <c r="F20" s="126">
        <f>VLOOKUP($B$3,'Data for Bill Impacts'!$A$3:$Y$15,19,0)</f>
        <v>9.5955999999999992</v>
      </c>
      <c r="G20" s="22">
        <f>E20*F20</f>
        <v>124.74279999999999</v>
      </c>
      <c r="H20" s="22">
        <f t="shared" si="1"/>
        <v>45.973199999999991</v>
      </c>
      <c r="I20" s="23">
        <f t="shared" si="2"/>
        <v>0.58364140480591487</v>
      </c>
      <c r="J20" s="125">
        <f t="shared" si="9"/>
        <v>0.21848531336736368</v>
      </c>
    </row>
    <row r="21" spans="1:10" x14ac:dyDescent="0.2">
      <c r="A21" s="107" t="s">
        <v>122</v>
      </c>
      <c r="B21" s="73">
        <f>IF($B$10="kWh",$B$4,$B$5)</f>
        <v>13</v>
      </c>
      <c r="C21" s="126">
        <f>VLOOKUP($B$3,'Data for Bill Impacts'!$A$3:$Y$15,14,0)</f>
        <v>1.72E-2</v>
      </c>
      <c r="D21" s="22">
        <f>B21*C21</f>
        <v>0.22359999999999999</v>
      </c>
      <c r="E21" s="73">
        <f t="shared" si="3"/>
        <v>13</v>
      </c>
      <c r="F21" s="126">
        <f>VLOOKUP($B$3,'Data for Bill Impacts'!$A$3:$Y$15,23,0)</f>
        <v>1.72E-2</v>
      </c>
      <c r="G21" s="22">
        <f>E21*F21</f>
        <v>0.22359999999999999</v>
      </c>
      <c r="H21" s="22">
        <f t="shared" si="1"/>
        <v>0</v>
      </c>
      <c r="I21" s="23">
        <f>IF(ISERROR(H21/D21),0,(H21/D21))</f>
        <v>0</v>
      </c>
      <c r="J21" s="125">
        <f t="shared" si="9"/>
        <v>3.9163235127752881E-4</v>
      </c>
    </row>
    <row r="22" spans="1:10" x14ac:dyDescent="0.2">
      <c r="A22" s="107" t="s">
        <v>108</v>
      </c>
      <c r="B22" s="73">
        <f>B9</f>
        <v>1409.0079999999998</v>
      </c>
      <c r="C22" s="126">
        <f>VLOOKUP($B$3,'Data for Bill Impacts'!$A$3:$Y$15,20,0)</f>
        <v>1.9E-3</v>
      </c>
      <c r="D22" s="22">
        <f>B22*C22</f>
        <v>2.6771151999999998</v>
      </c>
      <c r="E22" s="73">
        <f>B22</f>
        <v>1409.0079999999998</v>
      </c>
      <c r="F22" s="126">
        <f>VLOOKUP($B$3,'Data for Bill Impacts'!$A$3:$Y$15,21,0)</f>
        <v>1.9E-3</v>
      </c>
      <c r="G22" s="22">
        <f>E22*F22</f>
        <v>2.6771151999999998</v>
      </c>
      <c r="H22" s="22">
        <f t="shared" ref="H22" si="10">G22-D22</f>
        <v>0</v>
      </c>
      <c r="I22" s="23">
        <f>IF(ISERROR(H22/D22),0,(H22/D22))</f>
        <v>0</v>
      </c>
      <c r="J22" s="125">
        <f t="shared" si="9"/>
        <v>4.6889307710948651E-3</v>
      </c>
    </row>
    <row r="23" spans="1:10" s="1" customFormat="1" x14ac:dyDescent="0.2">
      <c r="A23" s="110" t="s">
        <v>79</v>
      </c>
      <c r="B23" s="74"/>
      <c r="C23" s="35"/>
      <c r="D23" s="35">
        <f>SUM(D16:D22)</f>
        <v>279.71031519999997</v>
      </c>
      <c r="E23" s="73"/>
      <c r="F23" s="35"/>
      <c r="G23" s="35">
        <f>SUM(G16:G22)</f>
        <v>325.68351519999993</v>
      </c>
      <c r="H23" s="35">
        <f t="shared" si="1"/>
        <v>45.973199999999963</v>
      </c>
      <c r="I23" s="36">
        <f t="shared" si="2"/>
        <v>0.16436004502418139</v>
      </c>
      <c r="J23" s="111">
        <f t="shared" si="9"/>
        <v>0.57043023627060274</v>
      </c>
    </row>
    <row r="24" spans="1:10" s="1" customFormat="1" x14ac:dyDescent="0.2">
      <c r="A24" s="107" t="s">
        <v>40</v>
      </c>
      <c r="B24" s="73">
        <f>B5</f>
        <v>13</v>
      </c>
      <c r="C24" s="126">
        <f>VLOOKUP($B$3,'Data for Bill Impacts'!$A$3:$Y$15,15,0)</f>
        <v>0.63108279999999994</v>
      </c>
      <c r="D24" s="22">
        <f>B24*C24</f>
        <v>8.2040763999999999</v>
      </c>
      <c r="E24" s="73">
        <f t="shared" si="3"/>
        <v>13</v>
      </c>
      <c r="F24" s="126">
        <f>VLOOKUP($B$3,'Data for Bill Impacts'!$A$3:$Y$15,24,0)</f>
        <v>0.63108279999999994</v>
      </c>
      <c r="G24" s="22">
        <f>E24*F24</f>
        <v>8.2040763999999999</v>
      </c>
      <c r="H24" s="22">
        <f t="shared" si="1"/>
        <v>0</v>
      </c>
      <c r="I24" s="23">
        <f t="shared" si="2"/>
        <v>0</v>
      </c>
      <c r="J24" s="125">
        <f t="shared" si="9"/>
        <v>1.4369327954349212E-2</v>
      </c>
    </row>
    <row r="25" spans="1:10" x14ac:dyDescent="0.2">
      <c r="A25" s="107" t="s">
        <v>41</v>
      </c>
      <c r="B25" s="73">
        <f>B5</f>
        <v>13</v>
      </c>
      <c r="C25" s="126">
        <f>VLOOKUP($B$3,'Data for Bill Impacts'!$A$3:$Y$15,16,0)</f>
        <v>0.54747599999999996</v>
      </c>
      <c r="D25" s="22">
        <f>B25*C25</f>
        <v>7.1171879999999996</v>
      </c>
      <c r="E25" s="73">
        <f t="shared" si="3"/>
        <v>13</v>
      </c>
      <c r="F25" s="126">
        <f>VLOOKUP($B$3,'Data for Bill Impacts'!$A$3:$Y$15,25,0)</f>
        <v>0.54747599999999996</v>
      </c>
      <c r="G25" s="22">
        <f>E25*F25</f>
        <v>7.1171879999999996</v>
      </c>
      <c r="H25" s="22">
        <f t="shared" si="1"/>
        <v>0</v>
      </c>
      <c r="I25" s="23">
        <f t="shared" si="2"/>
        <v>0</v>
      </c>
      <c r="J25" s="125">
        <f t="shared" si="9"/>
        <v>1.2465657741163741E-2</v>
      </c>
    </row>
    <row r="26" spans="1:10" x14ac:dyDescent="0.2">
      <c r="A26" s="110" t="s">
        <v>76</v>
      </c>
      <c r="B26" s="74"/>
      <c r="C26" s="35"/>
      <c r="D26" s="35">
        <f>SUM(D24:D25)</f>
        <v>15.3212644</v>
      </c>
      <c r="E26" s="73"/>
      <c r="F26" s="35"/>
      <c r="G26" s="35">
        <f>SUM(G24:G25)</f>
        <v>15.3212644</v>
      </c>
      <c r="H26" s="35">
        <f t="shared" si="1"/>
        <v>0</v>
      </c>
      <c r="I26" s="36">
        <f t="shared" si="2"/>
        <v>0</v>
      </c>
      <c r="J26" s="111">
        <f t="shared" si="9"/>
        <v>2.6834985695512955E-2</v>
      </c>
    </row>
    <row r="27" spans="1:10" s="1" customFormat="1" x14ac:dyDescent="0.2">
      <c r="A27" s="110" t="s">
        <v>80</v>
      </c>
      <c r="B27" s="74"/>
      <c r="C27" s="35"/>
      <c r="D27" s="35">
        <f>D23+D26</f>
        <v>295.03157959999999</v>
      </c>
      <c r="E27" s="73"/>
      <c r="F27" s="35"/>
      <c r="G27" s="35">
        <f>G23+G26</f>
        <v>341.00477959999995</v>
      </c>
      <c r="H27" s="35">
        <f t="shared" si="1"/>
        <v>45.973199999999963</v>
      </c>
      <c r="I27" s="36">
        <f t="shared" si="2"/>
        <v>0.15582467497997954</v>
      </c>
      <c r="J27" s="111">
        <f t="shared" si="9"/>
        <v>0.59726522196611576</v>
      </c>
    </row>
    <row r="28" spans="1:10" x14ac:dyDescent="0.2">
      <c r="A28" s="107" t="s">
        <v>42</v>
      </c>
      <c r="B28" s="73">
        <f>B9</f>
        <v>1409.0079999999998</v>
      </c>
      <c r="C28" s="34">
        <v>3.5999999999999999E-3</v>
      </c>
      <c r="D28" s="22">
        <f>B28*C28</f>
        <v>5.0724287999999991</v>
      </c>
      <c r="E28" s="73">
        <f t="shared" si="3"/>
        <v>1409.0079999999998</v>
      </c>
      <c r="F28" s="34">
        <v>3.5999999999999999E-3</v>
      </c>
      <c r="G28" s="22">
        <f>E28*F28</f>
        <v>5.0724287999999991</v>
      </c>
      <c r="H28" s="22">
        <f t="shared" si="1"/>
        <v>0</v>
      </c>
      <c r="I28" s="23">
        <f t="shared" si="2"/>
        <v>0</v>
      </c>
      <c r="J28" s="125">
        <f t="shared" si="9"/>
        <v>8.8842898820744795E-3</v>
      </c>
    </row>
    <row r="29" spans="1:10" s="1" customFormat="1" x14ac:dyDescent="0.2">
      <c r="A29" s="107" t="s">
        <v>43</v>
      </c>
      <c r="B29" s="73">
        <f>B9</f>
        <v>1409.0079999999998</v>
      </c>
      <c r="C29" s="34">
        <v>2.0999999999999999E-3</v>
      </c>
      <c r="D29" s="22">
        <f>B29*C29</f>
        <v>2.9589167999999995</v>
      </c>
      <c r="E29" s="73">
        <f t="shared" si="3"/>
        <v>1409.0079999999998</v>
      </c>
      <c r="F29" s="34">
        <v>2.0999999999999999E-3</v>
      </c>
      <c r="G29" s="22">
        <f>E29*F29</f>
        <v>2.9589167999999995</v>
      </c>
      <c r="H29" s="22">
        <f>G29-D29</f>
        <v>0</v>
      </c>
      <c r="I29" s="23">
        <f t="shared" si="2"/>
        <v>0</v>
      </c>
      <c r="J29" s="125">
        <f t="shared" si="9"/>
        <v>5.182502431210113E-3</v>
      </c>
    </row>
    <row r="30" spans="1:10" x14ac:dyDescent="0.2">
      <c r="A30" s="107" t="s">
        <v>96</v>
      </c>
      <c r="B30" s="73">
        <f>B9</f>
        <v>1409.0079999999998</v>
      </c>
      <c r="C30" s="34">
        <v>1.1000000000000001E-3</v>
      </c>
      <c r="D30" s="22">
        <f>B30*C30</f>
        <v>1.5499087999999999</v>
      </c>
      <c r="E30" s="73">
        <f t="shared" si="3"/>
        <v>1409.0079999999998</v>
      </c>
      <c r="F30" s="34">
        <v>1.1000000000000001E-3</v>
      </c>
      <c r="G30" s="22">
        <f>E30*F30</f>
        <v>1.5499087999999999</v>
      </c>
      <c r="H30" s="22">
        <f>G30-D30</f>
        <v>0</v>
      </c>
      <c r="I30" s="23">
        <f t="shared" ref="I30" si="11">IF(ISERROR(H30/D30),0,(H30/D30))</f>
        <v>0</v>
      </c>
      <c r="J30" s="125">
        <f t="shared" ref="J30" si="12">G30/$G$38</f>
        <v>2.7146441306338687E-3</v>
      </c>
    </row>
    <row r="31" spans="1:10" x14ac:dyDescent="0.2">
      <c r="A31" s="107" t="s">
        <v>44</v>
      </c>
      <c r="B31" s="73">
        <v>1</v>
      </c>
      <c r="C31" s="22">
        <v>0.25</v>
      </c>
      <c r="D31" s="22">
        <f>B31*C31</f>
        <v>0.25</v>
      </c>
      <c r="E31" s="73">
        <f t="shared" si="3"/>
        <v>1</v>
      </c>
      <c r="F31" s="22">
        <f>C31</f>
        <v>0.25</v>
      </c>
      <c r="G31" s="22">
        <f>E31*F31</f>
        <v>0.25</v>
      </c>
      <c r="H31" s="22">
        <f t="shared" si="1"/>
        <v>0</v>
      </c>
      <c r="I31" s="23">
        <f t="shared" si="2"/>
        <v>0</v>
      </c>
      <c r="J31" s="125">
        <f t="shared" ref="J31:J38" si="13">G31/$G$38</f>
        <v>4.3787159132102952E-4</v>
      </c>
    </row>
    <row r="32" spans="1:10" x14ac:dyDescent="0.2">
      <c r="A32" s="110" t="s">
        <v>45</v>
      </c>
      <c r="B32" s="74"/>
      <c r="C32" s="35"/>
      <c r="D32" s="35">
        <f>SUM(D28:D31)</f>
        <v>9.8312543999999988</v>
      </c>
      <c r="E32" s="73"/>
      <c r="F32" s="35"/>
      <c r="G32" s="35">
        <f>SUM(G28:G31)</f>
        <v>9.8312543999999988</v>
      </c>
      <c r="H32" s="35">
        <f t="shared" si="1"/>
        <v>0</v>
      </c>
      <c r="I32" s="36">
        <f t="shared" si="2"/>
        <v>0</v>
      </c>
      <c r="J32" s="111">
        <f t="shared" si="13"/>
        <v>1.7219308035239491E-2</v>
      </c>
    </row>
    <row r="33" spans="1:10" ht="13.5" thickBot="1" x14ac:dyDescent="0.25">
      <c r="A33" s="112" t="s">
        <v>46</v>
      </c>
      <c r="B33" s="113">
        <f>B4</f>
        <v>1328</v>
      </c>
      <c r="C33" s="114">
        <v>7.0000000000000001E-3</v>
      </c>
      <c r="D33" s="115">
        <f>B33*C33</f>
        <v>9.2959999999999994</v>
      </c>
      <c r="E33" s="116">
        <f t="shared" si="3"/>
        <v>1328</v>
      </c>
      <c r="F33" s="114">
        <f>C33</f>
        <v>7.0000000000000001E-3</v>
      </c>
      <c r="G33" s="115">
        <f>E33*F33</f>
        <v>9.2959999999999994</v>
      </c>
      <c r="H33" s="115">
        <f t="shared" si="1"/>
        <v>0</v>
      </c>
      <c r="I33" s="117">
        <f t="shared" si="2"/>
        <v>0</v>
      </c>
      <c r="J33" s="118">
        <f t="shared" si="13"/>
        <v>1.6281817251681163E-2</v>
      </c>
    </row>
    <row r="34" spans="1:10" x14ac:dyDescent="0.2">
      <c r="A34" s="37" t="s">
        <v>111</v>
      </c>
      <c r="B34" s="38"/>
      <c r="C34" s="39"/>
      <c r="D34" s="39">
        <f>SUM(D15,D23,D26,D32,D33)</f>
        <v>459.28665799999993</v>
      </c>
      <c r="E34" s="38"/>
      <c r="F34" s="39"/>
      <c r="G34" s="39">
        <f>SUM(G15,G23,G26,G32,G33)</f>
        <v>505.25985799999989</v>
      </c>
      <c r="H34" s="39">
        <f t="shared" si="1"/>
        <v>45.973199999999963</v>
      </c>
      <c r="I34" s="40">
        <f>IF(ISERROR(H34/D34),0,(H34/D34))</f>
        <v>0.10009696384430999</v>
      </c>
      <c r="J34" s="41">
        <f t="shared" si="13"/>
        <v>0.88495575221238942</v>
      </c>
    </row>
    <row r="35" spans="1:10" x14ac:dyDescent="0.2">
      <c r="A35" s="46" t="s">
        <v>102</v>
      </c>
      <c r="B35" s="43"/>
      <c r="C35" s="26">
        <v>0.13</v>
      </c>
      <c r="D35" s="26">
        <f>D34*C35</f>
        <v>59.707265539999995</v>
      </c>
      <c r="E35" s="26"/>
      <c r="F35" s="26">
        <f>C35</f>
        <v>0.13</v>
      </c>
      <c r="G35" s="26">
        <f>G34*F35</f>
        <v>65.683781539999984</v>
      </c>
      <c r="H35" s="26">
        <f t="shared" si="1"/>
        <v>5.9765159999999895</v>
      </c>
      <c r="I35" s="44">
        <f t="shared" ref="I35:I38" si="14">IF(ISERROR(H35/D35),0,(H35/D35))</f>
        <v>0.1000969638443099</v>
      </c>
      <c r="J35" s="45">
        <f t="shared" si="13"/>
        <v>0.11504424778761063</v>
      </c>
    </row>
    <row r="36" spans="1:10" x14ac:dyDescent="0.2">
      <c r="A36" s="46" t="s">
        <v>103</v>
      </c>
      <c r="B36" s="24"/>
      <c r="C36" s="25"/>
      <c r="D36" s="25">
        <f>SUM(D34:D35)</f>
        <v>518.99392353999997</v>
      </c>
      <c r="E36" s="25"/>
      <c r="F36" s="25"/>
      <c r="G36" s="25">
        <f>SUM(G34:G35)</f>
        <v>570.94363953999982</v>
      </c>
      <c r="H36" s="25">
        <f t="shared" si="1"/>
        <v>51.949715999999853</v>
      </c>
      <c r="I36" s="27">
        <f t="shared" si="14"/>
        <v>0.10009696384430979</v>
      </c>
      <c r="J36" s="47">
        <f t="shared" si="13"/>
        <v>1</v>
      </c>
    </row>
    <row r="37" spans="1:10" x14ac:dyDescent="0.2">
      <c r="A37" s="46" t="s">
        <v>104</v>
      </c>
      <c r="B37" s="43"/>
      <c r="C37" s="26">
        <v>0</v>
      </c>
      <c r="D37" s="26">
        <f>D34*C37</f>
        <v>0</v>
      </c>
      <c r="E37" s="26"/>
      <c r="F37" s="26">
        <f>C37</f>
        <v>0</v>
      </c>
      <c r="G37" s="26">
        <f>G34*F37</f>
        <v>0</v>
      </c>
      <c r="H37" s="26">
        <f t="shared" si="1"/>
        <v>0</v>
      </c>
      <c r="I37" s="44">
        <f t="shared" si="14"/>
        <v>0</v>
      </c>
      <c r="J37" s="45">
        <f t="shared" si="13"/>
        <v>0</v>
      </c>
    </row>
    <row r="38" spans="1:10" ht="13.5" thickBot="1" x14ac:dyDescent="0.25">
      <c r="A38" s="46" t="s">
        <v>105</v>
      </c>
      <c r="B38" s="49"/>
      <c r="C38" s="50"/>
      <c r="D38" s="50">
        <f>SUM(D36:D37)</f>
        <v>518.99392353999997</v>
      </c>
      <c r="E38" s="50"/>
      <c r="F38" s="50"/>
      <c r="G38" s="50">
        <f>SUM(G36:G37)</f>
        <v>570.94363953999982</v>
      </c>
      <c r="H38" s="50">
        <f t="shared" si="1"/>
        <v>51.949715999999853</v>
      </c>
      <c r="I38" s="51">
        <f t="shared" si="14"/>
        <v>0.10009696384430979</v>
      </c>
      <c r="J38" s="52">
        <f t="shared" si="13"/>
        <v>1</v>
      </c>
    </row>
    <row r="39" spans="1:10" x14ac:dyDescent="0.2">
      <c r="F39" s="69"/>
      <c r="G39" s="130"/>
    </row>
    <row r="40" spans="1:10" x14ac:dyDescent="0.2">
      <c r="F40" s="133"/>
    </row>
    <row r="41" spans="1:10" x14ac:dyDescent="0.2">
      <c r="F41" s="131"/>
    </row>
    <row r="42" spans="1:10" x14ac:dyDescent="0.2">
      <c r="F42" s="132"/>
      <c r="G42" s="130"/>
      <c r="H42" s="130"/>
    </row>
    <row r="43" spans="1:10" x14ac:dyDescent="0.2">
      <c r="F43" s="131"/>
      <c r="G43" s="130"/>
    </row>
  </sheetData>
  <mergeCells count="1">
    <mergeCell ref="A1:J1"/>
  </mergeCells>
  <dataValidations count="1">
    <dataValidation type="list" allowBlank="1" showInputMessage="1" showErrorMessage="1" sqref="WVI983034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B131064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B196600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B262136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B327672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B393208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B458744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B524280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B589816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B655352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B720888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B786424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B851960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B917496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B983032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formula1>Demand</formula1>
    </dataValidation>
  </dataValidation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1" tint="0.499984740745262"/>
    <pageSetUpPr fitToPage="1"/>
  </sheetPr>
  <dimension ref="A1:J40"/>
  <sheetViews>
    <sheetView tabSelected="1" view="pageBreakPreview" topLeftCell="A10" zoomScaleNormal="100" zoomScaleSheetLayoutView="100" workbookViewId="0">
      <selection activeCell="E1" sqref="E1:E1048576"/>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121</v>
      </c>
      <c r="B1" s="188"/>
      <c r="C1" s="188"/>
      <c r="D1" s="188"/>
      <c r="E1" s="188"/>
      <c r="F1" s="188"/>
      <c r="G1" s="188"/>
      <c r="H1" s="188"/>
      <c r="I1" s="188"/>
      <c r="J1" s="189"/>
    </row>
    <row r="3" spans="1:10" x14ac:dyDescent="0.2">
      <c r="A3" s="13" t="s">
        <v>13</v>
      </c>
      <c r="B3" s="13" t="s">
        <v>47</v>
      </c>
    </row>
    <row r="4" spans="1:10" x14ac:dyDescent="0.2">
      <c r="A4" s="15" t="s">
        <v>62</v>
      </c>
      <c r="B4" s="79">
        <v>5000</v>
      </c>
    </row>
    <row r="5" spans="1:10" x14ac:dyDescent="0.2">
      <c r="A5" s="15" t="s">
        <v>16</v>
      </c>
      <c r="B5" s="79">
        <v>100</v>
      </c>
    </row>
    <row r="6" spans="1:10" x14ac:dyDescent="0.2">
      <c r="A6" s="15" t="s">
        <v>20</v>
      </c>
      <c r="B6" s="80">
        <f>VLOOKUP($B$3,'Data for Bill Impacts'!$A$3:$Y$15,2,0)</f>
        <v>1.0609999999999999</v>
      </c>
    </row>
    <row r="7" spans="1:10" x14ac:dyDescent="0.2">
      <c r="A7" s="81" t="s">
        <v>48</v>
      </c>
      <c r="B7" s="82">
        <f>B4/(B5*730)</f>
        <v>6.8493150684931503E-2</v>
      </c>
    </row>
    <row r="8" spans="1:10" x14ac:dyDescent="0.2">
      <c r="A8" s="15" t="s">
        <v>15</v>
      </c>
      <c r="B8" s="79">
        <f>VLOOKUP($B$3,'Data for Bill Impacts'!$A$3:$Y$15,4,0)</f>
        <v>0</v>
      </c>
    </row>
    <row r="9" spans="1:10" x14ac:dyDescent="0.2">
      <c r="A9" s="15" t="s">
        <v>82</v>
      </c>
      <c r="B9" s="79">
        <f>B4*B6</f>
        <v>5305</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5305</v>
      </c>
      <c r="C13" s="103">
        <v>0.10299999999999999</v>
      </c>
      <c r="D13" s="104">
        <f>B13*C13</f>
        <v>546.41499999999996</v>
      </c>
      <c r="E13" s="102">
        <f>B13</f>
        <v>5305</v>
      </c>
      <c r="F13" s="103">
        <f>C13</f>
        <v>0.10299999999999999</v>
      </c>
      <c r="G13" s="104">
        <f>E13*F13</f>
        <v>546.41499999999996</v>
      </c>
      <c r="H13" s="104">
        <f>G13-D13</f>
        <v>0</v>
      </c>
      <c r="I13" s="105">
        <f>IF(ISERROR(H13/D13),0,(H13/D13))</f>
        <v>0</v>
      </c>
      <c r="J13" s="124">
        <f t="shared" ref="J13:J21" si="0">G13/$G$38</f>
        <v>0.25383439574511119</v>
      </c>
    </row>
    <row r="14" spans="1:10" x14ac:dyDescent="0.2">
      <c r="A14" s="107" t="s">
        <v>32</v>
      </c>
      <c r="B14" s="73">
        <v>0</v>
      </c>
      <c r="C14" s="21">
        <v>0.121</v>
      </c>
      <c r="D14" s="22">
        <f>B14*C14</f>
        <v>0</v>
      </c>
      <c r="E14" s="73">
        <f t="shared" ref="E14" si="1">B14</f>
        <v>0</v>
      </c>
      <c r="F14" s="21">
        <f>C14</f>
        <v>0.121</v>
      </c>
      <c r="G14" s="22">
        <f>E14*F14</f>
        <v>0</v>
      </c>
      <c r="H14" s="22">
        <f t="shared" ref="H14:H38" si="2">G14-D14</f>
        <v>0</v>
      </c>
      <c r="I14" s="23">
        <f t="shared" ref="I14:I33" si="3">IF(ISERROR(H14/D14),0,(H14/D14))</f>
        <v>0</v>
      </c>
      <c r="J14" s="125">
        <f t="shared" si="0"/>
        <v>0</v>
      </c>
    </row>
    <row r="15" spans="1:10" s="1" customFormat="1" x14ac:dyDescent="0.2">
      <c r="A15" s="46" t="s">
        <v>33</v>
      </c>
      <c r="B15" s="24"/>
      <c r="C15" s="25"/>
      <c r="D15" s="25">
        <f>SUM(D13:D14)</f>
        <v>546.41499999999996</v>
      </c>
      <c r="E15" s="76"/>
      <c r="F15" s="25"/>
      <c r="G15" s="25">
        <f>SUM(G13:G14)</f>
        <v>546.41499999999996</v>
      </c>
      <c r="H15" s="25">
        <f t="shared" si="2"/>
        <v>0</v>
      </c>
      <c r="I15" s="27">
        <f t="shared" si="3"/>
        <v>0</v>
      </c>
      <c r="J15" s="47">
        <f t="shared" si="0"/>
        <v>0.25383439574511119</v>
      </c>
    </row>
    <row r="16" spans="1:10" s="1" customFormat="1" x14ac:dyDescent="0.2">
      <c r="A16" s="107" t="s">
        <v>38</v>
      </c>
      <c r="B16" s="73">
        <v>1</v>
      </c>
      <c r="C16" s="78">
        <f>VLOOKUP($B$3,'Data for Bill Impacts'!$A$3:$Y$15,7,0)</f>
        <v>198.03</v>
      </c>
      <c r="D16" s="22">
        <f>B16*C16</f>
        <v>198.03</v>
      </c>
      <c r="E16" s="73">
        <f t="shared" ref="E16:E33" si="4">B16</f>
        <v>1</v>
      </c>
      <c r="F16" s="78">
        <f>VLOOKUP($B$3,'Data for Bill Impacts'!$A$3:$Y$15,17,0)</f>
        <v>198.03</v>
      </c>
      <c r="G16" s="22">
        <f>E16*F16</f>
        <v>198.03</v>
      </c>
      <c r="H16" s="22">
        <f t="shared" si="2"/>
        <v>0</v>
      </c>
      <c r="I16" s="23">
        <f t="shared" si="3"/>
        <v>0</v>
      </c>
      <c r="J16" s="125">
        <f t="shared" si="0"/>
        <v>9.1993860690874826E-2</v>
      </c>
    </row>
    <row r="17" spans="1:10" hidden="1" x14ac:dyDescent="0.2">
      <c r="A17" s="107" t="s">
        <v>83</v>
      </c>
      <c r="B17" s="73">
        <v>1</v>
      </c>
      <c r="C17" s="78">
        <f>VLOOKUP($B$3,'Data for Bill Impacts'!$A$3:$Y$15,8,0)</f>
        <v>0</v>
      </c>
      <c r="D17" s="22">
        <f>B17*C17</f>
        <v>0</v>
      </c>
      <c r="E17" s="73">
        <f t="shared" si="4"/>
        <v>1</v>
      </c>
      <c r="F17" s="78">
        <v>0</v>
      </c>
      <c r="G17" s="22">
        <f t="shared" ref="G17:G19" si="5">E17*F17</f>
        <v>0</v>
      </c>
      <c r="H17" s="22">
        <f t="shared" si="2"/>
        <v>0</v>
      </c>
      <c r="I17" s="23">
        <f t="shared" si="3"/>
        <v>0</v>
      </c>
      <c r="J17" s="125">
        <f t="shared" si="0"/>
        <v>0</v>
      </c>
    </row>
    <row r="18" spans="1:10" hidden="1" x14ac:dyDescent="0.2">
      <c r="A18" s="107" t="s">
        <v>84</v>
      </c>
      <c r="B18" s="73">
        <v>1</v>
      </c>
      <c r="C18" s="78">
        <f>VLOOKUP($B$3,'Data for Bill Impacts'!$A$3:$Y$15,11,0)</f>
        <v>0</v>
      </c>
      <c r="D18" s="22">
        <f t="shared" ref="D18:D19" si="6">B18*C18</f>
        <v>0</v>
      </c>
      <c r="E18" s="73">
        <f t="shared" si="4"/>
        <v>1</v>
      </c>
      <c r="F18" s="78">
        <f>VLOOKUP($B$3,'Data for Bill Impacts'!$A$3:$Y$15,12,0)</f>
        <v>0</v>
      </c>
      <c r="G18" s="22">
        <f t="shared" si="5"/>
        <v>0</v>
      </c>
      <c r="H18" s="22">
        <f t="shared" si="2"/>
        <v>0</v>
      </c>
      <c r="I18" s="23">
        <f t="shared" si="3"/>
        <v>0</v>
      </c>
      <c r="J18" s="125">
        <f t="shared" si="0"/>
        <v>0</v>
      </c>
    </row>
    <row r="19" spans="1:10" x14ac:dyDescent="0.2">
      <c r="A19" s="107" t="s">
        <v>85</v>
      </c>
      <c r="B19" s="73">
        <v>1</v>
      </c>
      <c r="C19" s="78">
        <f>VLOOKUP($B$3,'Data for Bill Impacts'!$A$3:$Y$15,13,0)</f>
        <v>0.01</v>
      </c>
      <c r="D19" s="22">
        <f t="shared" si="6"/>
        <v>0.01</v>
      </c>
      <c r="E19" s="73">
        <f t="shared" si="4"/>
        <v>1</v>
      </c>
      <c r="F19" s="78">
        <f>VLOOKUP($B$3,'Data for Bill Impacts'!$A$3:$Y$15,22,0)</f>
        <v>0.01</v>
      </c>
      <c r="G19" s="22">
        <f t="shared" si="5"/>
        <v>0.01</v>
      </c>
      <c r="H19" s="22">
        <f t="shared" si="2"/>
        <v>0</v>
      </c>
      <c r="I19" s="23">
        <f t="shared" si="3"/>
        <v>0</v>
      </c>
      <c r="J19" s="125">
        <f t="shared" si="0"/>
        <v>4.6454507241768844E-6</v>
      </c>
    </row>
    <row r="20" spans="1:10" x14ac:dyDescent="0.2">
      <c r="A20" s="107" t="s">
        <v>39</v>
      </c>
      <c r="B20" s="73">
        <f>IF($B$10="kWh",$B$4,$B$5)</f>
        <v>100</v>
      </c>
      <c r="C20" s="78">
        <f>VLOOKUP($B$3,'Data for Bill Impacts'!$A$3:$Y$15,10,0)</f>
        <v>6.0591999999999997</v>
      </c>
      <c r="D20" s="22">
        <f>B20*C20</f>
        <v>605.91999999999996</v>
      </c>
      <c r="E20" s="73">
        <f t="shared" si="4"/>
        <v>100</v>
      </c>
      <c r="F20" s="126">
        <f>VLOOKUP($B$3,'Data for Bill Impacts'!$A$3:$Y$15,19,0)</f>
        <v>9.5955999999999992</v>
      </c>
      <c r="G20" s="22">
        <f>E20*F20</f>
        <v>959.56</v>
      </c>
      <c r="H20" s="22">
        <f t="shared" si="2"/>
        <v>353.64</v>
      </c>
      <c r="I20" s="23">
        <f t="shared" si="3"/>
        <v>0.58364140480591498</v>
      </c>
      <c r="J20" s="125">
        <f t="shared" si="0"/>
        <v>0.44575886968911704</v>
      </c>
    </row>
    <row r="21" spans="1:10" s="1" customFormat="1" x14ac:dyDescent="0.2">
      <c r="A21" s="107" t="s">
        <v>122</v>
      </c>
      <c r="B21" s="73">
        <f>IF($B$10="kWh",$B$4,$B$5)</f>
        <v>100</v>
      </c>
      <c r="C21" s="126">
        <f>VLOOKUP($B$3,'Data for Bill Impacts'!$A$3:$Y$15,14,0)</f>
        <v>1.72E-2</v>
      </c>
      <c r="D21" s="22">
        <f>B21*C21</f>
        <v>1.72</v>
      </c>
      <c r="E21" s="73">
        <f t="shared" si="4"/>
        <v>100</v>
      </c>
      <c r="F21" s="126">
        <f>VLOOKUP($B$3,'Data for Bill Impacts'!$A$3:$Y$15,23,0)</f>
        <v>1.72E-2</v>
      </c>
      <c r="G21" s="22">
        <f>E21*F21</f>
        <v>1.72</v>
      </c>
      <c r="H21" s="22">
        <f t="shared" si="2"/>
        <v>0</v>
      </c>
      <c r="I21" s="23">
        <f>IF(ISERROR(H21/D21),0,(H21/D21))</f>
        <v>0</v>
      </c>
      <c r="J21" s="125">
        <f t="shared" si="0"/>
        <v>7.99017524558424E-4</v>
      </c>
    </row>
    <row r="22" spans="1:10" s="1" customFormat="1" x14ac:dyDescent="0.2">
      <c r="A22" s="107" t="s">
        <v>108</v>
      </c>
      <c r="B22" s="73">
        <f>B9</f>
        <v>5305</v>
      </c>
      <c r="C22" s="126">
        <f>VLOOKUP($B$3,'Data for Bill Impacts'!$A$3:$Y$15,20,0)</f>
        <v>1.9E-3</v>
      </c>
      <c r="D22" s="22">
        <f>B22*C22</f>
        <v>10.079499999999999</v>
      </c>
      <c r="E22" s="73">
        <f>B22</f>
        <v>5305</v>
      </c>
      <c r="F22" s="126">
        <f>VLOOKUP($B$3,'Data for Bill Impacts'!$A$3:$Y$15,21,0)</f>
        <v>1.9E-3</v>
      </c>
      <c r="G22" s="22">
        <f>E22*F22</f>
        <v>10.079499999999999</v>
      </c>
      <c r="H22" s="22">
        <f t="shared" ref="H22" si="7">G22-D22</f>
        <v>0</v>
      </c>
      <c r="I22" s="23">
        <f>IF(ISERROR(H22/D22),0,(H22/D22))</f>
        <v>0</v>
      </c>
      <c r="J22" s="125">
        <f t="shared" ref="J22" si="8">G22/$G$38</f>
        <v>4.6823820574340902E-3</v>
      </c>
    </row>
    <row r="23" spans="1:10" x14ac:dyDescent="0.2">
      <c r="A23" s="110" t="s">
        <v>93</v>
      </c>
      <c r="B23" s="74"/>
      <c r="C23" s="35"/>
      <c r="D23" s="35">
        <f>SUM(D16:D22)</f>
        <v>815.7595</v>
      </c>
      <c r="E23" s="73"/>
      <c r="F23" s="35"/>
      <c r="G23" s="35">
        <f>SUM(G16:G22)</f>
        <v>1169.3995</v>
      </c>
      <c r="H23" s="35">
        <f t="shared" si="2"/>
        <v>353.64</v>
      </c>
      <c r="I23" s="36">
        <f t="shared" si="3"/>
        <v>0.43351012154930463</v>
      </c>
      <c r="J23" s="111">
        <f t="shared" ref="J23:J29" si="9">G23/$G$38</f>
        <v>0.5432387754127086</v>
      </c>
    </row>
    <row r="24" spans="1:10" x14ac:dyDescent="0.2">
      <c r="A24" s="107" t="s">
        <v>40</v>
      </c>
      <c r="B24" s="73">
        <f>B5</f>
        <v>100</v>
      </c>
      <c r="C24" s="126">
        <f>VLOOKUP($B$3,'Data for Bill Impacts'!$A$3:$Y$15,15,0)</f>
        <v>0.63108279999999994</v>
      </c>
      <c r="D24" s="22">
        <f>B24*C24</f>
        <v>63.108279999999993</v>
      </c>
      <c r="E24" s="73">
        <f t="shared" si="4"/>
        <v>100</v>
      </c>
      <c r="F24" s="126">
        <f>VLOOKUP($B$3,'Data for Bill Impacts'!$A$3:$Y$15,24,0)</f>
        <v>0.63108279999999994</v>
      </c>
      <c r="G24" s="22">
        <f>E24*F24</f>
        <v>63.108279999999993</v>
      </c>
      <c r="H24" s="22">
        <f t="shared" si="2"/>
        <v>0</v>
      </c>
      <c r="I24" s="23">
        <f t="shared" si="3"/>
        <v>0</v>
      </c>
      <c r="J24" s="125">
        <f t="shared" si="9"/>
        <v>2.9316640502755752E-2</v>
      </c>
    </row>
    <row r="25" spans="1:10" s="1" customFormat="1" x14ac:dyDescent="0.2">
      <c r="A25" s="107" t="s">
        <v>41</v>
      </c>
      <c r="B25" s="73">
        <f>B5</f>
        <v>100</v>
      </c>
      <c r="C25" s="126">
        <f>VLOOKUP($B$3,'Data for Bill Impacts'!$A$3:$Y$15,16,0)</f>
        <v>0.54747599999999996</v>
      </c>
      <c r="D25" s="22">
        <f>B25*C25</f>
        <v>54.747599999999998</v>
      </c>
      <c r="E25" s="73">
        <f t="shared" si="4"/>
        <v>100</v>
      </c>
      <c r="F25" s="126">
        <f>VLOOKUP($B$3,'Data for Bill Impacts'!$A$3:$Y$15,25,0)</f>
        <v>0.54747599999999996</v>
      </c>
      <c r="G25" s="22">
        <f>E25*F25</f>
        <v>54.747599999999998</v>
      </c>
      <c r="H25" s="22">
        <f t="shared" si="2"/>
        <v>0</v>
      </c>
      <c r="I25" s="23">
        <f t="shared" si="3"/>
        <v>0</v>
      </c>
      <c r="J25" s="125">
        <f t="shared" si="9"/>
        <v>2.5432727806694637E-2</v>
      </c>
    </row>
    <row r="26" spans="1:10" x14ac:dyDescent="0.2">
      <c r="A26" s="110" t="s">
        <v>76</v>
      </c>
      <c r="B26" s="74"/>
      <c r="C26" s="35"/>
      <c r="D26" s="35">
        <f>SUM(D24:D25)</f>
        <v>117.85587999999998</v>
      </c>
      <c r="E26" s="73"/>
      <c r="F26" s="35"/>
      <c r="G26" s="35">
        <f>SUM(G24:G25)</f>
        <v>117.85587999999998</v>
      </c>
      <c r="H26" s="35">
        <f t="shared" si="2"/>
        <v>0</v>
      </c>
      <c r="I26" s="36">
        <f t="shared" si="3"/>
        <v>0</v>
      </c>
      <c r="J26" s="111">
        <f t="shared" si="9"/>
        <v>5.4749368309450389E-2</v>
      </c>
    </row>
    <row r="27" spans="1:10" s="1" customFormat="1" x14ac:dyDescent="0.2">
      <c r="A27" s="110" t="s">
        <v>80</v>
      </c>
      <c r="B27" s="74"/>
      <c r="C27" s="35"/>
      <c r="D27" s="35">
        <f>D23+D26</f>
        <v>933.61537999999996</v>
      </c>
      <c r="E27" s="73"/>
      <c r="F27" s="35"/>
      <c r="G27" s="35">
        <f>G23+G26</f>
        <v>1287.2553800000001</v>
      </c>
      <c r="H27" s="35">
        <f t="shared" si="2"/>
        <v>353.6400000000001</v>
      </c>
      <c r="I27" s="36">
        <f t="shared" si="3"/>
        <v>0.37878553371732171</v>
      </c>
      <c r="J27" s="111">
        <f t="shared" si="9"/>
        <v>0.59798814372215903</v>
      </c>
    </row>
    <row r="28" spans="1:10" x14ac:dyDescent="0.2">
      <c r="A28" s="107" t="s">
        <v>42</v>
      </c>
      <c r="B28" s="73">
        <f>B9</f>
        <v>5305</v>
      </c>
      <c r="C28" s="34">
        <v>3.5999999999999999E-3</v>
      </c>
      <c r="D28" s="22">
        <f>B28*C28</f>
        <v>19.097999999999999</v>
      </c>
      <c r="E28" s="73">
        <f t="shared" si="4"/>
        <v>5305</v>
      </c>
      <c r="F28" s="34">
        <v>3.5999999999999999E-3</v>
      </c>
      <c r="G28" s="22">
        <f>E28*F28</f>
        <v>19.097999999999999</v>
      </c>
      <c r="H28" s="22">
        <f t="shared" si="2"/>
        <v>0</v>
      </c>
      <c r="I28" s="23">
        <f t="shared" si="3"/>
        <v>0</v>
      </c>
      <c r="J28" s="125">
        <f t="shared" si="9"/>
        <v>8.8718817930330124E-3</v>
      </c>
    </row>
    <row r="29" spans="1:10" x14ac:dyDescent="0.2">
      <c r="A29" s="107" t="s">
        <v>43</v>
      </c>
      <c r="B29" s="73">
        <f>B9</f>
        <v>5305</v>
      </c>
      <c r="C29" s="34">
        <v>2.0999999999999999E-3</v>
      </c>
      <c r="D29" s="22">
        <f>B29*C29</f>
        <v>11.140499999999999</v>
      </c>
      <c r="E29" s="73">
        <f t="shared" si="4"/>
        <v>5305</v>
      </c>
      <c r="F29" s="34">
        <v>2.0999999999999999E-3</v>
      </c>
      <c r="G29" s="22">
        <f>E29*F29</f>
        <v>11.140499999999999</v>
      </c>
      <c r="H29" s="22">
        <f>G29-D29</f>
        <v>0</v>
      </c>
      <c r="I29" s="23">
        <f t="shared" si="3"/>
        <v>0</v>
      </c>
      <c r="J29" s="125">
        <f t="shared" si="9"/>
        <v>5.1752643792692572E-3</v>
      </c>
    </row>
    <row r="30" spans="1:10" x14ac:dyDescent="0.2">
      <c r="A30" s="107" t="s">
        <v>96</v>
      </c>
      <c r="B30" s="73">
        <f>B9</f>
        <v>5305</v>
      </c>
      <c r="C30" s="34">
        <v>1.1000000000000001E-3</v>
      </c>
      <c r="D30" s="22">
        <f>B30*C30</f>
        <v>5.8355000000000006</v>
      </c>
      <c r="E30" s="73">
        <f t="shared" si="4"/>
        <v>5305</v>
      </c>
      <c r="F30" s="34">
        <v>1.1000000000000001E-3</v>
      </c>
      <c r="G30" s="22">
        <f>E30*F30</f>
        <v>5.8355000000000006</v>
      </c>
      <c r="H30" s="22">
        <f>G30-D30</f>
        <v>0</v>
      </c>
      <c r="I30" s="23">
        <f t="shared" ref="I30" si="10">IF(ISERROR(H30/D30),0,(H30/D30))</f>
        <v>0</v>
      </c>
      <c r="J30" s="125">
        <f t="shared" ref="J30" si="11">G30/$G$38</f>
        <v>2.710852770093421E-3</v>
      </c>
    </row>
    <row r="31" spans="1:10" x14ac:dyDescent="0.2">
      <c r="A31" s="107" t="s">
        <v>44</v>
      </c>
      <c r="B31" s="73">
        <v>1</v>
      </c>
      <c r="C31" s="22">
        <v>0.25</v>
      </c>
      <c r="D31" s="22">
        <f>B31*C31</f>
        <v>0.25</v>
      </c>
      <c r="E31" s="73">
        <f t="shared" si="4"/>
        <v>1</v>
      </c>
      <c r="F31" s="22">
        <f>C31</f>
        <v>0.25</v>
      </c>
      <c r="G31" s="22">
        <f>E31*F31</f>
        <v>0.25</v>
      </c>
      <c r="H31" s="22">
        <f t="shared" si="2"/>
        <v>0</v>
      </c>
      <c r="I31" s="23">
        <f t="shared" si="3"/>
        <v>0</v>
      </c>
      <c r="J31" s="125">
        <f t="shared" ref="J31:J38" si="12">G31/$G$38</f>
        <v>1.161362681044221E-4</v>
      </c>
    </row>
    <row r="32" spans="1:10" x14ac:dyDescent="0.2">
      <c r="A32" s="110" t="s">
        <v>45</v>
      </c>
      <c r="B32" s="74"/>
      <c r="C32" s="35"/>
      <c r="D32" s="35">
        <f>SUM(D28:D31)</f>
        <v>36.323999999999998</v>
      </c>
      <c r="E32" s="73"/>
      <c r="F32" s="35"/>
      <c r="G32" s="35">
        <f>SUM(G28:G31)</f>
        <v>36.323999999999998</v>
      </c>
      <c r="H32" s="35">
        <f t="shared" si="2"/>
        <v>0</v>
      </c>
      <c r="I32" s="36">
        <f t="shared" si="3"/>
        <v>0</v>
      </c>
      <c r="J32" s="111">
        <f t="shared" si="12"/>
        <v>1.6874135210500112E-2</v>
      </c>
    </row>
    <row r="33" spans="1:10" ht="13.5" thickBot="1" x14ac:dyDescent="0.25">
      <c r="A33" s="112" t="s">
        <v>46</v>
      </c>
      <c r="B33" s="113">
        <f>B4</f>
        <v>5000</v>
      </c>
      <c r="C33" s="114">
        <v>7.0000000000000001E-3</v>
      </c>
      <c r="D33" s="115">
        <f>B33*C33</f>
        <v>35</v>
      </c>
      <c r="E33" s="116">
        <f t="shared" si="4"/>
        <v>5000</v>
      </c>
      <c r="F33" s="114">
        <f>C33</f>
        <v>7.0000000000000001E-3</v>
      </c>
      <c r="G33" s="115">
        <f>E33*F33</f>
        <v>35</v>
      </c>
      <c r="H33" s="115">
        <f t="shared" si="2"/>
        <v>0</v>
      </c>
      <c r="I33" s="117">
        <f t="shared" si="3"/>
        <v>0</v>
      </c>
      <c r="J33" s="118">
        <f t="shared" si="12"/>
        <v>1.6259077534619092E-2</v>
      </c>
    </row>
    <row r="34" spans="1:10" x14ac:dyDescent="0.2">
      <c r="A34" s="37" t="s">
        <v>111</v>
      </c>
      <c r="B34" s="38"/>
      <c r="C34" s="39"/>
      <c r="D34" s="39">
        <f>SUM(D15,D23,D26,D32,D33)</f>
        <v>1551.3543800000002</v>
      </c>
      <c r="E34" s="38"/>
      <c r="F34" s="39"/>
      <c r="G34" s="39">
        <f>SUM(G15,G23,G26,G32,G33)</f>
        <v>1904.9943800000001</v>
      </c>
      <c r="H34" s="39">
        <f t="shared" si="2"/>
        <v>353.63999999999987</v>
      </c>
      <c r="I34" s="40">
        <f>IF(ISERROR(H34/D34),0,(H34/D34))</f>
        <v>0.22795565253117719</v>
      </c>
      <c r="J34" s="41">
        <f t="shared" si="12"/>
        <v>0.88495575221238942</v>
      </c>
    </row>
    <row r="35" spans="1:10" x14ac:dyDescent="0.2">
      <c r="A35" s="46" t="s">
        <v>102</v>
      </c>
      <c r="B35" s="43"/>
      <c r="C35" s="26">
        <v>0.13</v>
      </c>
      <c r="D35" s="26">
        <f>D34*C35</f>
        <v>201.67606940000005</v>
      </c>
      <c r="E35" s="26"/>
      <c r="F35" s="26">
        <f>C35</f>
        <v>0.13</v>
      </c>
      <c r="G35" s="26">
        <f>G34*F35</f>
        <v>247.64926940000001</v>
      </c>
      <c r="H35" s="26">
        <f t="shared" si="2"/>
        <v>45.973199999999963</v>
      </c>
      <c r="I35" s="44">
        <f t="shared" ref="I35:I38" si="13">IF(ISERROR(H35/D35),0,(H35/D35))</f>
        <v>0.22795565253117708</v>
      </c>
      <c r="J35" s="45">
        <f t="shared" si="12"/>
        <v>0.11504424778761063</v>
      </c>
    </row>
    <row r="36" spans="1:10" x14ac:dyDescent="0.2">
      <c r="A36" s="46" t="s">
        <v>103</v>
      </c>
      <c r="B36" s="24"/>
      <c r="C36" s="25"/>
      <c r="D36" s="25">
        <f>SUM(D34:D35)</f>
        <v>1753.0304494000002</v>
      </c>
      <c r="E36" s="25"/>
      <c r="F36" s="25"/>
      <c r="G36" s="25">
        <f>SUM(G34:G35)</f>
        <v>2152.6436494</v>
      </c>
      <c r="H36" s="25">
        <f t="shared" si="2"/>
        <v>399.61319999999978</v>
      </c>
      <c r="I36" s="27">
        <f t="shared" si="13"/>
        <v>0.22795565253117717</v>
      </c>
      <c r="J36" s="47">
        <f t="shared" si="12"/>
        <v>1</v>
      </c>
    </row>
    <row r="37" spans="1:10" x14ac:dyDescent="0.2">
      <c r="A37" s="46" t="s">
        <v>104</v>
      </c>
      <c r="B37" s="43"/>
      <c r="C37" s="26">
        <v>0</v>
      </c>
      <c r="D37" s="26">
        <f>D34*C37</f>
        <v>0</v>
      </c>
      <c r="E37" s="26"/>
      <c r="F37" s="26">
        <f>C37</f>
        <v>0</v>
      </c>
      <c r="G37" s="26">
        <f>G34*F37</f>
        <v>0</v>
      </c>
      <c r="H37" s="26">
        <f t="shared" si="2"/>
        <v>0</v>
      </c>
      <c r="I37" s="44">
        <f t="shared" si="13"/>
        <v>0</v>
      </c>
      <c r="J37" s="45">
        <f t="shared" si="12"/>
        <v>0</v>
      </c>
    </row>
    <row r="38" spans="1:10" ht="13.5" thickBot="1" x14ac:dyDescent="0.25">
      <c r="A38" s="46" t="s">
        <v>105</v>
      </c>
      <c r="B38" s="49"/>
      <c r="C38" s="50"/>
      <c r="D38" s="50">
        <f>SUM(D36:D37)</f>
        <v>1753.0304494000002</v>
      </c>
      <c r="E38" s="50"/>
      <c r="F38" s="50"/>
      <c r="G38" s="50">
        <f>SUM(G36:G37)</f>
        <v>2152.6436494</v>
      </c>
      <c r="H38" s="50">
        <f t="shared" si="2"/>
        <v>399.61319999999978</v>
      </c>
      <c r="I38" s="51">
        <f t="shared" si="13"/>
        <v>0.22795565253117717</v>
      </c>
      <c r="J38" s="52">
        <f t="shared" si="12"/>
        <v>1</v>
      </c>
    </row>
    <row r="39" spans="1:10" x14ac:dyDescent="0.2">
      <c r="F39" s="69"/>
    </row>
    <row r="40" spans="1:10" x14ac:dyDescent="0.2">
      <c r="F40" s="69"/>
    </row>
  </sheetData>
  <mergeCells count="1">
    <mergeCell ref="A1:J1"/>
  </mergeCells>
  <dataValidations count="1">
    <dataValidation type="list" allowBlank="1" showInputMessage="1" showErrorMessage="1" sqref="WVI983032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B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B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B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B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B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B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B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B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B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B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B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B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B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B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formula1>Demand</formula1>
    </dataValidation>
  </dataValidation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theme="1" tint="0.499984740745262"/>
    <pageSetUpPr fitToPage="1"/>
  </sheetPr>
  <dimension ref="A1:J38"/>
  <sheetViews>
    <sheetView tabSelected="1" view="pageBreakPreview" topLeftCell="A19" zoomScaleNormal="100" zoomScaleSheetLayoutView="100" workbookViewId="0">
      <selection activeCell="E1" sqref="E1:E1048576"/>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118</v>
      </c>
      <c r="B1" s="188"/>
      <c r="C1" s="188"/>
      <c r="D1" s="188"/>
      <c r="E1" s="188"/>
      <c r="F1" s="188"/>
      <c r="G1" s="188"/>
      <c r="H1" s="188"/>
      <c r="I1" s="188"/>
      <c r="J1" s="189"/>
    </row>
    <row r="3" spans="1:10" x14ac:dyDescent="0.2">
      <c r="A3" s="13" t="s">
        <v>13</v>
      </c>
      <c r="B3" s="13" t="s">
        <v>11</v>
      </c>
    </row>
    <row r="4" spans="1:10" x14ac:dyDescent="0.2">
      <c r="A4" s="15" t="s">
        <v>62</v>
      </c>
      <c r="B4" s="79">
        <v>200000</v>
      </c>
    </row>
    <row r="5" spans="1:10" x14ac:dyDescent="0.2">
      <c r="A5" s="15" t="s">
        <v>16</v>
      </c>
      <c r="B5" s="79">
        <v>500</v>
      </c>
    </row>
    <row r="6" spans="1:10" x14ac:dyDescent="0.2">
      <c r="A6" s="15" t="s">
        <v>20</v>
      </c>
      <c r="B6" s="80">
        <f>VLOOKUP($B$3,'Data for Bill Impacts'!$A$3:$Y$15,2,0)</f>
        <v>1.034</v>
      </c>
    </row>
    <row r="7" spans="1:10" x14ac:dyDescent="0.2">
      <c r="A7" s="81" t="s">
        <v>48</v>
      </c>
      <c r="B7" s="82">
        <f>B4/(B5*730)</f>
        <v>0.54794520547945202</v>
      </c>
    </row>
    <row r="8" spans="1:10" x14ac:dyDescent="0.2">
      <c r="A8" s="15" t="s">
        <v>15</v>
      </c>
      <c r="B8" s="79">
        <f>VLOOKUP($B$3,'Data for Bill Impacts'!$A$3:$Y$15,4,0)</f>
        <v>0</v>
      </c>
    </row>
    <row r="9" spans="1:10" x14ac:dyDescent="0.2">
      <c r="A9" s="15" t="s">
        <v>82</v>
      </c>
      <c r="B9" s="79">
        <f>B4*B6</f>
        <v>206800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206800</v>
      </c>
      <c r="C13" s="103">
        <v>0.10299999999999999</v>
      </c>
      <c r="D13" s="104">
        <f>B13*C13</f>
        <v>21300.399999999998</v>
      </c>
      <c r="E13" s="102">
        <f>B13</f>
        <v>206800</v>
      </c>
      <c r="F13" s="103">
        <f>C13</f>
        <v>0.10299999999999999</v>
      </c>
      <c r="G13" s="104">
        <f>E13*F13</f>
        <v>21300.399999999998</v>
      </c>
      <c r="H13" s="104">
        <f>G13-D13</f>
        <v>0</v>
      </c>
      <c r="I13" s="105">
        <f>IF(ISERROR(H13/D13),0,(H13/D13))</f>
        <v>0</v>
      </c>
      <c r="J13" s="124">
        <f t="shared" ref="J13:J27" si="0">G13/$G$36</f>
        <v>0.6369229576964579</v>
      </c>
    </row>
    <row r="14" spans="1:10" x14ac:dyDescent="0.2">
      <c r="A14" s="107" t="s">
        <v>32</v>
      </c>
      <c r="B14" s="73">
        <v>0</v>
      </c>
      <c r="C14" s="21">
        <v>0.121</v>
      </c>
      <c r="D14" s="22">
        <f>B14*C14</f>
        <v>0</v>
      </c>
      <c r="E14" s="73">
        <f t="shared" ref="E14" si="1">B14</f>
        <v>0</v>
      </c>
      <c r="F14" s="21">
        <f>C14</f>
        <v>0.121</v>
      </c>
      <c r="G14" s="22">
        <f>E14*F14</f>
        <v>0</v>
      </c>
      <c r="H14" s="22">
        <f t="shared" ref="H14:H36" si="2">G14-D14</f>
        <v>0</v>
      </c>
      <c r="I14" s="23">
        <f t="shared" ref="I14:I31" si="3">IF(ISERROR(H14/D14),0,(H14/D14))</f>
        <v>0</v>
      </c>
      <c r="J14" s="125">
        <f t="shared" si="0"/>
        <v>0</v>
      </c>
    </row>
    <row r="15" spans="1:10" s="1" customFormat="1" x14ac:dyDescent="0.2">
      <c r="A15" s="46" t="s">
        <v>33</v>
      </c>
      <c r="B15" s="24"/>
      <c r="C15" s="25"/>
      <c r="D15" s="25">
        <f>SUM(D13:D14)</f>
        <v>21300.399999999998</v>
      </c>
      <c r="E15" s="76"/>
      <c r="F15" s="25"/>
      <c r="G15" s="25">
        <f>SUM(G13:G14)</f>
        <v>21300.399999999998</v>
      </c>
      <c r="H15" s="25">
        <f t="shared" si="2"/>
        <v>0</v>
      </c>
      <c r="I15" s="27">
        <f t="shared" si="3"/>
        <v>0</v>
      </c>
      <c r="J15" s="47">
        <f t="shared" si="0"/>
        <v>0.6369229576964579</v>
      </c>
    </row>
    <row r="16" spans="1:10" s="1" customFormat="1" x14ac:dyDescent="0.2">
      <c r="A16" s="107" t="s">
        <v>38</v>
      </c>
      <c r="B16" s="73">
        <v>1</v>
      </c>
      <c r="C16" s="78">
        <f>VLOOKUP($B$3,'Data for Bill Impacts'!$A$3:$Y$15,7,0)</f>
        <v>1204.08</v>
      </c>
      <c r="D16" s="22">
        <f>B16*C16</f>
        <v>1204.08</v>
      </c>
      <c r="E16" s="73">
        <f t="shared" ref="E16:E31" si="4">B16</f>
        <v>1</v>
      </c>
      <c r="F16" s="78">
        <f>VLOOKUP($B$3,'Data for Bill Impacts'!$A$3:$Y$15,17,0)</f>
        <v>1226.6300000000001</v>
      </c>
      <c r="G16" s="22">
        <f>E16*F16</f>
        <v>1226.6300000000001</v>
      </c>
      <c r="H16" s="22">
        <f t="shared" si="2"/>
        <v>22.550000000000182</v>
      </c>
      <c r="I16" s="23">
        <f t="shared" si="3"/>
        <v>1.8727991495581842E-2</v>
      </c>
      <c r="J16" s="125">
        <f t="shared" si="0"/>
        <v>3.6678597941785428E-2</v>
      </c>
    </row>
    <row r="17" spans="1:10" x14ac:dyDescent="0.2">
      <c r="A17" s="107" t="s">
        <v>85</v>
      </c>
      <c r="B17" s="73">
        <v>1</v>
      </c>
      <c r="C17" s="78">
        <f>VLOOKUP($B$3,'Data for Bill Impacts'!$A$3:$Y$15,13,0)</f>
        <v>3.83</v>
      </c>
      <c r="D17" s="22">
        <f t="shared" ref="D17" si="5">B17*C17</f>
        <v>3.83</v>
      </c>
      <c r="E17" s="73">
        <f t="shared" si="4"/>
        <v>1</v>
      </c>
      <c r="F17" s="78">
        <f>VLOOKUP($B$3,'Data for Bill Impacts'!$A$3:$Y$15,22,0)</f>
        <v>3.83</v>
      </c>
      <c r="G17" s="22">
        <f t="shared" ref="G17" si="6">E17*F17</f>
        <v>3.83</v>
      </c>
      <c r="H17" s="22">
        <f t="shared" si="2"/>
        <v>0</v>
      </c>
      <c r="I17" s="23">
        <f t="shared" si="3"/>
        <v>0</v>
      </c>
      <c r="J17" s="125">
        <f t="shared" si="0"/>
        <v>1.1452437174782793E-4</v>
      </c>
    </row>
    <row r="18" spans="1:10" x14ac:dyDescent="0.2">
      <c r="A18" s="107" t="s">
        <v>39</v>
      </c>
      <c r="B18" s="73">
        <f>IF($B$10="kWh",$B$4,$B$5)</f>
        <v>500</v>
      </c>
      <c r="C18" s="78">
        <f>VLOOKUP($B$3,'Data for Bill Impacts'!$A$3:$Y$15,10,0)</f>
        <v>1.3153070071616677</v>
      </c>
      <c r="D18" s="22">
        <f>B18*C18</f>
        <v>657.6535035808339</v>
      </c>
      <c r="E18" s="73">
        <f t="shared" si="4"/>
        <v>500</v>
      </c>
      <c r="F18" s="78">
        <f>VLOOKUP($B$3,'Data for Bill Impacts'!$A$3:$Y$15,19,0)</f>
        <v>1.3683020513538697</v>
      </c>
      <c r="G18" s="22">
        <f>E18*F18</f>
        <v>684.15102567693486</v>
      </c>
      <c r="H18" s="22">
        <f t="shared" si="2"/>
        <v>26.497522096100965</v>
      </c>
      <c r="I18" s="23">
        <f t="shared" si="3"/>
        <v>4.0291007273321834E-2</v>
      </c>
      <c r="J18" s="125">
        <f t="shared" si="0"/>
        <v>2.0457432479447275E-2</v>
      </c>
    </row>
    <row r="19" spans="1:10" s="1" customFormat="1" x14ac:dyDescent="0.2">
      <c r="A19" s="107" t="s">
        <v>122</v>
      </c>
      <c r="B19" s="73">
        <f>IF($B$10="kWh",$B$4,$B$5)</f>
        <v>500</v>
      </c>
      <c r="C19" s="126">
        <f>VLOOKUP($B$3,'Data for Bill Impacts'!$A$3:$Y$15,14,0)</f>
        <v>0.27289999999999998</v>
      </c>
      <c r="D19" s="22">
        <f>B19*C19</f>
        <v>136.44999999999999</v>
      </c>
      <c r="E19" s="73">
        <f>B19</f>
        <v>500</v>
      </c>
      <c r="F19" s="126">
        <f>VLOOKUP($B$3,'Data for Bill Impacts'!$A$3:$Y$15,23,0)</f>
        <v>0.27289999999999998</v>
      </c>
      <c r="G19" s="22">
        <f>E19*F19</f>
        <v>136.44999999999999</v>
      </c>
      <c r="H19" s="22">
        <f>G19-D19</f>
        <v>0</v>
      </c>
      <c r="I19" s="23">
        <f>IF(ISERROR(H19/D19),0,(H19/D19))</f>
        <v>0</v>
      </c>
      <c r="J19" s="125">
        <f t="shared" si="0"/>
        <v>4.0801176305459846E-3</v>
      </c>
    </row>
    <row r="20" spans="1:10" s="1" customFormat="1" x14ac:dyDescent="0.2">
      <c r="A20" s="107" t="s">
        <v>108</v>
      </c>
      <c r="B20" s="73">
        <f>B9</f>
        <v>206800</v>
      </c>
      <c r="C20" s="126">
        <f>VLOOKUP($B$3,'Data for Bill Impacts'!$A$3:$Y$15,20,0)</f>
        <v>1.9E-3</v>
      </c>
      <c r="D20" s="22">
        <f>B20*C20</f>
        <v>392.92</v>
      </c>
      <c r="E20" s="73">
        <f t="shared" si="4"/>
        <v>206800</v>
      </c>
      <c r="F20" s="78">
        <f>VLOOKUP($B$3,'Data for Bill Impacts'!$A$3:$Y$15,21,0)</f>
        <v>1.9E-3</v>
      </c>
      <c r="G20" s="22">
        <f>E20*F20</f>
        <v>392.92</v>
      </c>
      <c r="H20" s="22">
        <f t="shared" si="2"/>
        <v>0</v>
      </c>
      <c r="I20" s="23">
        <f>IF(ISERROR(H20/D20),0,(H20/D20))</f>
        <v>0</v>
      </c>
      <c r="J20" s="125">
        <f t="shared" si="0"/>
        <v>1.1749064268187089E-2</v>
      </c>
    </row>
    <row r="21" spans="1:10" x14ac:dyDescent="0.2">
      <c r="A21" s="110" t="s">
        <v>93</v>
      </c>
      <c r="B21" s="74"/>
      <c r="C21" s="35"/>
      <c r="D21" s="35">
        <f>SUM(D16:D20)</f>
        <v>2394.9335035808335</v>
      </c>
      <c r="E21" s="73"/>
      <c r="F21" s="35"/>
      <c r="G21" s="35">
        <f>SUM(G16:G20)</f>
        <v>2443.9810256769347</v>
      </c>
      <c r="H21" s="35">
        <f t="shared" si="2"/>
        <v>49.047522096101147</v>
      </c>
      <c r="I21" s="36">
        <f t="shared" si="3"/>
        <v>2.0479701011642596E-2</v>
      </c>
      <c r="J21" s="111">
        <f t="shared" si="0"/>
        <v>7.3079736691713595E-2</v>
      </c>
    </row>
    <row r="22" spans="1:10" x14ac:dyDescent="0.2">
      <c r="A22" s="107" t="s">
        <v>40</v>
      </c>
      <c r="B22" s="73">
        <f>B5</f>
        <v>500</v>
      </c>
      <c r="C22" s="126">
        <f>VLOOKUP($B$3,'Data for Bill Impacts'!$A$3:$Y$15,15,0)</f>
        <v>3.4866480000000002</v>
      </c>
      <c r="D22" s="22">
        <f>B22*C22</f>
        <v>1743.3240000000001</v>
      </c>
      <c r="E22" s="73">
        <f t="shared" si="4"/>
        <v>500</v>
      </c>
      <c r="F22" s="126">
        <f>VLOOKUP($B$3,'Data for Bill Impacts'!$A$3:$Y$15,24,0)</f>
        <v>3.4866480000000002</v>
      </c>
      <c r="G22" s="22">
        <f>E22*F22</f>
        <v>1743.3240000000001</v>
      </c>
      <c r="H22" s="22">
        <f t="shared" si="2"/>
        <v>0</v>
      </c>
      <c r="I22" s="23">
        <f t="shared" si="3"/>
        <v>0</v>
      </c>
      <c r="J22" s="125">
        <f t="shared" si="0"/>
        <v>5.2128743042535348E-2</v>
      </c>
    </row>
    <row r="23" spans="1:10" s="1" customFormat="1" x14ac:dyDescent="0.2">
      <c r="A23" s="107" t="s">
        <v>41</v>
      </c>
      <c r="B23" s="73">
        <f>B5</f>
        <v>500</v>
      </c>
      <c r="C23" s="126">
        <f>VLOOKUP($B$3,'Data for Bill Impacts'!$A$3:$Y$15,16,0)</f>
        <v>2.6021643999999999</v>
      </c>
      <c r="D23" s="22">
        <f>B23*C23</f>
        <v>1301.0822000000001</v>
      </c>
      <c r="E23" s="73">
        <f t="shared" si="4"/>
        <v>500</v>
      </c>
      <c r="F23" s="126">
        <f>VLOOKUP($B$3,'Data for Bill Impacts'!$A$3:$Y$15,25,0)</f>
        <v>2.6021643999999999</v>
      </c>
      <c r="G23" s="22">
        <f>E23*F23</f>
        <v>1301.0822000000001</v>
      </c>
      <c r="H23" s="22">
        <f t="shared" si="2"/>
        <v>0</v>
      </c>
      <c r="I23" s="23">
        <f t="shared" si="3"/>
        <v>0</v>
      </c>
      <c r="J23" s="125">
        <f t="shared" si="0"/>
        <v>3.8904862022788984E-2</v>
      </c>
    </row>
    <row r="24" spans="1:10" x14ac:dyDescent="0.2">
      <c r="A24" s="110" t="s">
        <v>76</v>
      </c>
      <c r="B24" s="74"/>
      <c r="C24" s="35"/>
      <c r="D24" s="35">
        <f>SUM(D22:D23)</f>
        <v>3044.4062000000004</v>
      </c>
      <c r="E24" s="73"/>
      <c r="F24" s="35"/>
      <c r="G24" s="35">
        <f>SUM(G22:G23)</f>
        <v>3044.4062000000004</v>
      </c>
      <c r="H24" s="35">
        <f t="shared" si="2"/>
        <v>0</v>
      </c>
      <c r="I24" s="36">
        <f t="shared" si="3"/>
        <v>0</v>
      </c>
      <c r="J24" s="111">
        <f t="shared" si="0"/>
        <v>9.1033605065324347E-2</v>
      </c>
    </row>
    <row r="25" spans="1:10" s="1" customFormat="1" x14ac:dyDescent="0.2">
      <c r="A25" s="110" t="s">
        <v>80</v>
      </c>
      <c r="B25" s="74"/>
      <c r="C25" s="35"/>
      <c r="D25" s="35">
        <f>D21+D24</f>
        <v>5439.3397035808339</v>
      </c>
      <c r="E25" s="73"/>
      <c r="F25" s="35"/>
      <c r="G25" s="35">
        <f>G21+G24</f>
        <v>5488.3872256769355</v>
      </c>
      <c r="H25" s="35">
        <f t="shared" si="2"/>
        <v>49.047522096101602</v>
      </c>
      <c r="I25" s="36">
        <f t="shared" si="3"/>
        <v>9.0171831084226214E-3</v>
      </c>
      <c r="J25" s="111">
        <f t="shared" si="0"/>
        <v>0.16411334175703796</v>
      </c>
    </row>
    <row r="26" spans="1:10" x14ac:dyDescent="0.2">
      <c r="A26" s="107" t="s">
        <v>42</v>
      </c>
      <c r="B26" s="73">
        <f>B9</f>
        <v>206800</v>
      </c>
      <c r="C26" s="34">
        <v>3.5999999999999999E-3</v>
      </c>
      <c r="D26" s="22">
        <f>B26*C26</f>
        <v>744.48</v>
      </c>
      <c r="E26" s="73">
        <f t="shared" si="4"/>
        <v>206800</v>
      </c>
      <c r="F26" s="34">
        <v>3.5999999999999999E-3</v>
      </c>
      <c r="G26" s="22">
        <f>E26*F26</f>
        <v>744.48</v>
      </c>
      <c r="H26" s="22">
        <f t="shared" si="2"/>
        <v>0</v>
      </c>
      <c r="I26" s="23">
        <f t="shared" si="3"/>
        <v>0</v>
      </c>
      <c r="J26" s="125">
        <f t="shared" si="0"/>
        <v>2.226138492919659E-2</v>
      </c>
    </row>
    <row r="27" spans="1:10" x14ac:dyDescent="0.2">
      <c r="A27" s="107" t="s">
        <v>43</v>
      </c>
      <c r="B27" s="73">
        <f>B9</f>
        <v>206800</v>
      </c>
      <c r="C27" s="34">
        <v>2.0999999999999999E-3</v>
      </c>
      <c r="D27" s="22">
        <f>B27*C27</f>
        <v>434.28</v>
      </c>
      <c r="E27" s="73">
        <f t="shared" si="4"/>
        <v>206800</v>
      </c>
      <c r="F27" s="34">
        <v>2.0999999999999999E-3</v>
      </c>
      <c r="G27" s="22">
        <f>E27*F27</f>
        <v>434.28</v>
      </c>
      <c r="H27" s="22">
        <f>G27-D27</f>
        <v>0</v>
      </c>
      <c r="I27" s="23">
        <f t="shared" si="3"/>
        <v>0</v>
      </c>
      <c r="J27" s="125">
        <f t="shared" si="0"/>
        <v>1.2985807875364677E-2</v>
      </c>
    </row>
    <row r="28" spans="1:10" x14ac:dyDescent="0.2">
      <c r="A28" s="107" t="s">
        <v>96</v>
      </c>
      <c r="B28" s="73">
        <f>B9</f>
        <v>206800</v>
      </c>
      <c r="C28" s="34">
        <v>1.1000000000000001E-3</v>
      </c>
      <c r="D28" s="22">
        <f>B28*C28</f>
        <v>227.48000000000002</v>
      </c>
      <c r="E28" s="73">
        <f t="shared" si="4"/>
        <v>206800</v>
      </c>
      <c r="F28" s="34">
        <v>1.1000000000000001E-3</v>
      </c>
      <c r="G28" s="22">
        <f>E28*F28</f>
        <v>227.48000000000002</v>
      </c>
      <c r="H28" s="22">
        <f>G28-D28</f>
        <v>0</v>
      </c>
      <c r="I28" s="23">
        <f t="shared" ref="I28" si="7">IF(ISERROR(H28/D28),0,(H28/D28))</f>
        <v>0</v>
      </c>
      <c r="J28" s="125">
        <f t="shared" ref="J28" si="8">G28/$G$36</f>
        <v>6.8020898394767363E-3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7.4754811845840684E-6</v>
      </c>
    </row>
    <row r="30" spans="1:10" x14ac:dyDescent="0.2">
      <c r="A30" s="110" t="s">
        <v>45</v>
      </c>
      <c r="B30" s="74"/>
      <c r="C30" s="35"/>
      <c r="D30" s="35">
        <f>SUM(D26:D29)</f>
        <v>1406.49</v>
      </c>
      <c r="E30" s="73"/>
      <c r="F30" s="35"/>
      <c r="G30" s="35">
        <f>SUM(G26:G29)</f>
        <v>1406.49</v>
      </c>
      <c r="H30" s="35">
        <f t="shared" si="2"/>
        <v>0</v>
      </c>
      <c r="I30" s="36">
        <f t="shared" si="3"/>
        <v>0</v>
      </c>
      <c r="J30" s="111">
        <f t="shared" si="9"/>
        <v>4.2056758125222589E-2</v>
      </c>
    </row>
    <row r="31" spans="1:10" ht="13.5" thickBot="1" x14ac:dyDescent="0.25">
      <c r="A31" s="112" t="s">
        <v>46</v>
      </c>
      <c r="B31" s="113">
        <f>B4</f>
        <v>200000</v>
      </c>
      <c r="C31" s="114">
        <v>7.0000000000000001E-3</v>
      </c>
      <c r="D31" s="115">
        <f>B31*C31</f>
        <v>1400</v>
      </c>
      <c r="E31" s="116">
        <f t="shared" si="4"/>
        <v>200000</v>
      </c>
      <c r="F31" s="114">
        <f>C31</f>
        <v>7.0000000000000001E-3</v>
      </c>
      <c r="G31" s="115">
        <f>E31*F31</f>
        <v>1400</v>
      </c>
      <c r="H31" s="115">
        <f t="shared" si="2"/>
        <v>0</v>
      </c>
      <c r="I31" s="117">
        <f t="shared" si="3"/>
        <v>0</v>
      </c>
      <c r="J31" s="118">
        <f t="shared" si="9"/>
        <v>4.1862694633670781E-2</v>
      </c>
    </row>
    <row r="32" spans="1:10" x14ac:dyDescent="0.2">
      <c r="A32" s="37" t="s">
        <v>111</v>
      </c>
      <c r="B32" s="38"/>
      <c r="C32" s="39"/>
      <c r="D32" s="39">
        <f>SUM(D15,D21,D24,D30,D31)</f>
        <v>29546.229703580833</v>
      </c>
      <c r="E32" s="38"/>
      <c r="F32" s="39"/>
      <c r="G32" s="39">
        <f>SUM(G15,G21,G24,G30,G31)</f>
        <v>29595.277225676935</v>
      </c>
      <c r="H32" s="39">
        <f t="shared" si="2"/>
        <v>49.047522096101602</v>
      </c>
      <c r="I32" s="40">
        <f>IF(ISERROR(H32/D32),0,(H32/D32))</f>
        <v>1.660026425982782E-3</v>
      </c>
      <c r="J32" s="41">
        <f t="shared" si="9"/>
        <v>0.88495575221238931</v>
      </c>
    </row>
    <row r="33" spans="1:10" x14ac:dyDescent="0.2">
      <c r="A33" s="46" t="s">
        <v>102</v>
      </c>
      <c r="B33" s="43"/>
      <c r="C33" s="26">
        <v>0.13</v>
      </c>
      <c r="D33" s="26">
        <f>D32*C33</f>
        <v>3841.0098614655085</v>
      </c>
      <c r="E33" s="26"/>
      <c r="F33" s="26">
        <f>C33</f>
        <v>0.13</v>
      </c>
      <c r="G33" s="26">
        <f>G32*F33</f>
        <v>3847.3860393380019</v>
      </c>
      <c r="H33" s="26">
        <f t="shared" si="2"/>
        <v>6.376177872493372</v>
      </c>
      <c r="I33" s="44">
        <f t="shared" ref="I33:I36" si="10">IF(ISERROR(H33/D33),0,(H33/D33))</f>
        <v>1.6600264259828245E-3</v>
      </c>
      <c r="J33" s="45">
        <f t="shared" si="9"/>
        <v>0.11504424778761062</v>
      </c>
    </row>
    <row r="34" spans="1:10" x14ac:dyDescent="0.2">
      <c r="A34" s="46" t="s">
        <v>103</v>
      </c>
      <c r="B34" s="24"/>
      <c r="C34" s="25"/>
      <c r="D34" s="25">
        <f>SUM(D32:D33)</f>
        <v>33387.239565046344</v>
      </c>
      <c r="E34" s="25"/>
      <c r="F34" s="25"/>
      <c r="G34" s="25">
        <f>SUM(G32:G33)</f>
        <v>33442.66326501494</v>
      </c>
      <c r="H34" s="25">
        <f t="shared" si="2"/>
        <v>55.423699968596338</v>
      </c>
      <c r="I34" s="27">
        <f t="shared" si="10"/>
        <v>1.6600264259828276E-3</v>
      </c>
      <c r="J34" s="47">
        <f t="shared" si="9"/>
        <v>1</v>
      </c>
    </row>
    <row r="35" spans="1:10" x14ac:dyDescent="0.2">
      <c r="A35" s="46" t="s">
        <v>104</v>
      </c>
      <c r="B35" s="43"/>
      <c r="C35" s="26">
        <v>0</v>
      </c>
      <c r="D35" s="26">
        <f>D32*C35</f>
        <v>0</v>
      </c>
      <c r="E35" s="26"/>
      <c r="F35" s="26">
        <f>C35</f>
        <v>0</v>
      </c>
      <c r="G35" s="26">
        <f>G32*F35</f>
        <v>0</v>
      </c>
      <c r="H35" s="26">
        <f t="shared" si="2"/>
        <v>0</v>
      </c>
      <c r="I35" s="44">
        <f t="shared" si="10"/>
        <v>0</v>
      </c>
      <c r="J35" s="45">
        <f t="shared" si="9"/>
        <v>0</v>
      </c>
    </row>
    <row r="36" spans="1:10" ht="13.5" thickBot="1" x14ac:dyDescent="0.25">
      <c r="A36" s="46" t="s">
        <v>105</v>
      </c>
      <c r="B36" s="49"/>
      <c r="C36" s="50"/>
      <c r="D36" s="50">
        <f>SUM(D34:D35)</f>
        <v>33387.239565046344</v>
      </c>
      <c r="E36" s="50"/>
      <c r="F36" s="50"/>
      <c r="G36" s="50">
        <f>SUM(G34:G35)</f>
        <v>33442.66326501494</v>
      </c>
      <c r="H36" s="50">
        <f t="shared" si="2"/>
        <v>55.423699968596338</v>
      </c>
      <c r="I36" s="51">
        <f t="shared" si="10"/>
        <v>1.6600264259828276E-3</v>
      </c>
      <c r="J36" s="52">
        <f t="shared" si="9"/>
        <v>1</v>
      </c>
    </row>
    <row r="37" spans="1:10" x14ac:dyDescent="0.2">
      <c r="A37" s="170"/>
      <c r="F37" s="69"/>
    </row>
    <row r="38" spans="1:10" x14ac:dyDescent="0.2">
      <c r="A38" s="171"/>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theme="1" tint="0.499984740745262"/>
    <pageSetUpPr fitToPage="1"/>
  </sheetPr>
  <dimension ref="A1:J38"/>
  <sheetViews>
    <sheetView tabSelected="1" view="pageBreakPreview" topLeftCell="A5" zoomScaleNormal="100" zoomScaleSheetLayoutView="100" workbookViewId="0">
      <selection activeCell="E1" sqref="E1:E1048576"/>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119</v>
      </c>
      <c r="B1" s="188"/>
      <c r="C1" s="188"/>
      <c r="D1" s="188"/>
      <c r="E1" s="188"/>
      <c r="F1" s="188"/>
      <c r="G1" s="188"/>
      <c r="H1" s="188"/>
      <c r="I1" s="188"/>
      <c r="J1" s="189"/>
    </row>
    <row r="3" spans="1:10" x14ac:dyDescent="0.2">
      <c r="A3" s="13" t="s">
        <v>13</v>
      </c>
      <c r="B3" s="13" t="s">
        <v>11</v>
      </c>
    </row>
    <row r="4" spans="1:10" x14ac:dyDescent="0.2">
      <c r="A4" s="15" t="s">
        <v>62</v>
      </c>
      <c r="B4" s="79">
        <f>VLOOKUP(B3,'Data for Bill Impacts'!A19:D31,3,FALSE)</f>
        <v>1601036</v>
      </c>
    </row>
    <row r="5" spans="1:10" x14ac:dyDescent="0.2">
      <c r="A5" s="15" t="s">
        <v>16</v>
      </c>
      <c r="B5" s="79">
        <f>VLOOKUP(B3,'Data for Bill Impacts'!A19:D31,4,FALSE)</f>
        <v>3091</v>
      </c>
    </row>
    <row r="6" spans="1:10" x14ac:dyDescent="0.2">
      <c r="A6" s="15" t="s">
        <v>20</v>
      </c>
      <c r="B6" s="80">
        <f>VLOOKUP($B$3,'Data for Bill Impacts'!$A$3:$Y$15,2,0)</f>
        <v>1.034</v>
      </c>
    </row>
    <row r="7" spans="1:10" x14ac:dyDescent="0.2">
      <c r="A7" s="81" t="s">
        <v>48</v>
      </c>
      <c r="B7" s="82">
        <f>B4/(B5*730)</f>
        <v>0.70954383694597223</v>
      </c>
    </row>
    <row r="8" spans="1:10" x14ac:dyDescent="0.2">
      <c r="A8" s="15" t="s">
        <v>15</v>
      </c>
      <c r="B8" s="79">
        <f>VLOOKUP($B$3,'Data for Bill Impacts'!$A$3:$Y$15,4,0)</f>
        <v>0</v>
      </c>
    </row>
    <row r="9" spans="1:10" x14ac:dyDescent="0.2">
      <c r="A9" s="15" t="s">
        <v>82</v>
      </c>
      <c r="B9" s="79">
        <f>B4*B6</f>
        <v>1655471.2240000002</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1655471.2240000002</v>
      </c>
      <c r="C13" s="103">
        <v>0.10299999999999999</v>
      </c>
      <c r="D13" s="104">
        <f>B13*C13</f>
        <v>170513.53607200002</v>
      </c>
      <c r="E13" s="102">
        <f>B13</f>
        <v>1655471.2240000002</v>
      </c>
      <c r="F13" s="103">
        <f>C13</f>
        <v>0.10299999999999999</v>
      </c>
      <c r="G13" s="104">
        <f>E13*F13</f>
        <v>170513.53607200002</v>
      </c>
      <c r="H13" s="104">
        <f>G13-D13</f>
        <v>0</v>
      </c>
      <c r="I13" s="105">
        <f>IF(ISERROR(H13/D13),0,(H13/D13))</f>
        <v>0</v>
      </c>
      <c r="J13" s="124">
        <f t="shared" ref="J13:J27" si="0">G13/$G$36</f>
        <v>0.68202752666160282</v>
      </c>
    </row>
    <row r="14" spans="1:10" x14ac:dyDescent="0.2">
      <c r="A14" s="107" t="s">
        <v>32</v>
      </c>
      <c r="B14" s="73">
        <v>0</v>
      </c>
      <c r="C14" s="21">
        <v>0.121</v>
      </c>
      <c r="D14" s="22">
        <f>B14*C14</f>
        <v>0</v>
      </c>
      <c r="E14" s="73">
        <f t="shared" ref="E14" si="1">B14</f>
        <v>0</v>
      </c>
      <c r="F14" s="21">
        <f>C14</f>
        <v>0.121</v>
      </c>
      <c r="G14" s="22">
        <f>E14*F14</f>
        <v>0</v>
      </c>
      <c r="H14" s="22">
        <f t="shared" ref="H14:H36" si="2">G14-D14</f>
        <v>0</v>
      </c>
      <c r="I14" s="23">
        <f t="shared" ref="I14:I31" si="3">IF(ISERROR(H14/D14),0,(H14/D14))</f>
        <v>0</v>
      </c>
      <c r="J14" s="125">
        <f t="shared" si="0"/>
        <v>0</v>
      </c>
    </row>
    <row r="15" spans="1:10" s="1" customFormat="1" x14ac:dyDescent="0.2">
      <c r="A15" s="46" t="s">
        <v>33</v>
      </c>
      <c r="B15" s="24"/>
      <c r="C15" s="25"/>
      <c r="D15" s="25">
        <f>SUM(D13:D14)</f>
        <v>170513.53607200002</v>
      </c>
      <c r="E15" s="76"/>
      <c r="F15" s="25"/>
      <c r="G15" s="25">
        <f>SUM(G13:G14)</f>
        <v>170513.53607200002</v>
      </c>
      <c r="H15" s="25">
        <f t="shared" si="2"/>
        <v>0</v>
      </c>
      <c r="I15" s="27">
        <f t="shared" si="3"/>
        <v>0</v>
      </c>
      <c r="J15" s="47">
        <f t="shared" si="0"/>
        <v>0.68202752666160282</v>
      </c>
    </row>
    <row r="16" spans="1:10" s="1" customFormat="1" x14ac:dyDescent="0.2">
      <c r="A16" s="107" t="s">
        <v>38</v>
      </c>
      <c r="B16" s="73">
        <v>1</v>
      </c>
      <c r="C16" s="78">
        <f>VLOOKUP($B$3,'Data for Bill Impacts'!$A$3:$Y$15,7,0)</f>
        <v>1204.08</v>
      </c>
      <c r="D16" s="22">
        <f>B16*C16</f>
        <v>1204.08</v>
      </c>
      <c r="E16" s="73">
        <f t="shared" ref="E16:E31" si="4">B16</f>
        <v>1</v>
      </c>
      <c r="F16" s="78">
        <f>VLOOKUP($B$3,'Data for Bill Impacts'!$A$3:$Y$15,17,0)</f>
        <v>1226.6300000000001</v>
      </c>
      <c r="G16" s="22">
        <f>E16*F16</f>
        <v>1226.6300000000001</v>
      </c>
      <c r="H16" s="22">
        <f t="shared" si="2"/>
        <v>22.550000000000182</v>
      </c>
      <c r="I16" s="23">
        <f t="shared" si="3"/>
        <v>1.8727991495581842E-2</v>
      </c>
      <c r="J16" s="125">
        <f t="shared" si="0"/>
        <v>4.9063285197233032E-3</v>
      </c>
    </row>
    <row r="17" spans="1:10" x14ac:dyDescent="0.2">
      <c r="A17" s="107" t="s">
        <v>85</v>
      </c>
      <c r="B17" s="73">
        <v>1</v>
      </c>
      <c r="C17" s="78">
        <f>VLOOKUP($B$3,'Data for Bill Impacts'!$A$3:$Y$15,13,0)</f>
        <v>3.83</v>
      </c>
      <c r="D17" s="22">
        <f t="shared" ref="D17" si="5">B17*C17</f>
        <v>3.83</v>
      </c>
      <c r="E17" s="73">
        <f t="shared" si="4"/>
        <v>1</v>
      </c>
      <c r="F17" s="78">
        <f>VLOOKUP($B$3,'Data for Bill Impacts'!$A$3:$Y$15,22,0)</f>
        <v>3.83</v>
      </c>
      <c r="G17" s="22">
        <f t="shared" ref="G17" si="6">E17*F17</f>
        <v>3.83</v>
      </c>
      <c r="H17" s="22">
        <f t="shared" si="2"/>
        <v>0</v>
      </c>
      <c r="I17" s="23">
        <f t="shared" si="3"/>
        <v>0</v>
      </c>
      <c r="J17" s="125">
        <f t="shared" si="0"/>
        <v>1.5319402126590944E-5</v>
      </c>
    </row>
    <row r="18" spans="1:10" x14ac:dyDescent="0.2">
      <c r="A18" s="107" t="s">
        <v>39</v>
      </c>
      <c r="B18" s="73">
        <f>IF($B$10="kWh",$B$4,$B$5)</f>
        <v>3091</v>
      </c>
      <c r="C18" s="78">
        <f>VLOOKUP($B$3,'Data for Bill Impacts'!$A$3:$Y$15,10,0)</f>
        <v>1.3153070071616677</v>
      </c>
      <c r="D18" s="22">
        <f>B18*C18</f>
        <v>4065.613959136715</v>
      </c>
      <c r="E18" s="73">
        <f t="shared" si="4"/>
        <v>3091</v>
      </c>
      <c r="F18" s="78">
        <f>VLOOKUP($B$3,'Data for Bill Impacts'!$A$3:$Y$15,19,0)</f>
        <v>1.3683020513538697</v>
      </c>
      <c r="G18" s="22">
        <f>E18*F18</f>
        <v>4229.4216407348113</v>
      </c>
      <c r="H18" s="22">
        <f t="shared" si="2"/>
        <v>163.80768159809622</v>
      </c>
      <c r="I18" s="23">
        <f t="shared" si="3"/>
        <v>4.0291007273321848E-2</v>
      </c>
      <c r="J18" s="125">
        <f t="shared" si="0"/>
        <v>1.6917026338726535E-2</v>
      </c>
    </row>
    <row r="19" spans="1:10" s="1" customFormat="1" x14ac:dyDescent="0.2">
      <c r="A19" s="107" t="s">
        <v>122</v>
      </c>
      <c r="B19" s="73">
        <f>IF($B$10="kWh",$B$4,$B$5)</f>
        <v>3091</v>
      </c>
      <c r="C19" s="126">
        <f>VLOOKUP($B$3,'Data for Bill Impacts'!$A$3:$Y$15,14,0)</f>
        <v>0.27289999999999998</v>
      </c>
      <c r="D19" s="22">
        <f>B19*C19</f>
        <v>843.5338999999999</v>
      </c>
      <c r="E19" s="73">
        <f>B19</f>
        <v>3091</v>
      </c>
      <c r="F19" s="126">
        <f>VLOOKUP($B$3,'Data for Bill Impacts'!$A$3:$Y$15,23,0)</f>
        <v>0.27289999999999998</v>
      </c>
      <c r="G19" s="22">
        <f>E19*F19</f>
        <v>843.5338999999999</v>
      </c>
      <c r="H19" s="22">
        <f>G19-D19</f>
        <v>0</v>
      </c>
      <c r="I19" s="23">
        <f>IF(ISERROR(H19/D19),0,(H19/D19))</f>
        <v>0</v>
      </c>
      <c r="J19" s="125">
        <f t="shared" si="0"/>
        <v>3.374003922065679E-3</v>
      </c>
    </row>
    <row r="20" spans="1:10" s="1" customFormat="1" x14ac:dyDescent="0.2">
      <c r="A20" s="107" t="s">
        <v>108</v>
      </c>
      <c r="B20" s="73">
        <f>B9</f>
        <v>1655471.2240000002</v>
      </c>
      <c r="C20" s="126">
        <f>VLOOKUP($B$3,'Data for Bill Impacts'!$A$3:$Y$15,20,0)</f>
        <v>1.9E-3</v>
      </c>
      <c r="D20" s="22">
        <f>B20*C20</f>
        <v>3145.3953256000004</v>
      </c>
      <c r="E20" s="73">
        <f t="shared" si="4"/>
        <v>1655471.2240000002</v>
      </c>
      <c r="F20" s="78">
        <f>VLOOKUP($B$3,'Data for Bill Impacts'!$A$3:$Y$15,21,0)</f>
        <v>1.9E-3</v>
      </c>
      <c r="G20" s="22">
        <f>E20*F20</f>
        <v>3145.3953256000004</v>
      </c>
      <c r="H20" s="22">
        <f t="shared" si="2"/>
        <v>0</v>
      </c>
      <c r="I20" s="23">
        <f>IF(ISERROR(H20/D20),0,(H20/D20))</f>
        <v>0</v>
      </c>
      <c r="J20" s="125">
        <f t="shared" si="0"/>
        <v>1.2581090297641217E-2</v>
      </c>
    </row>
    <row r="21" spans="1:10" x14ac:dyDescent="0.2">
      <c r="A21" s="110" t="s">
        <v>79</v>
      </c>
      <c r="B21" s="74"/>
      <c r="C21" s="35"/>
      <c r="D21" s="35">
        <f>SUM(D16:D20)</f>
        <v>9262.4531847367161</v>
      </c>
      <c r="E21" s="73"/>
      <c r="F21" s="35"/>
      <c r="G21" s="35">
        <f>SUM(G16:G20)</f>
        <v>9448.8108663348121</v>
      </c>
      <c r="H21" s="35">
        <f t="shared" si="2"/>
        <v>186.35768159809595</v>
      </c>
      <c r="I21" s="36">
        <f t="shared" si="3"/>
        <v>2.0119689447412104E-2</v>
      </c>
      <c r="J21" s="111">
        <f t="shared" si="0"/>
        <v>3.7793768480283325E-2</v>
      </c>
    </row>
    <row r="22" spans="1:10" x14ac:dyDescent="0.2">
      <c r="A22" s="107" t="s">
        <v>40</v>
      </c>
      <c r="B22" s="73">
        <f>B5</f>
        <v>3091</v>
      </c>
      <c r="C22" s="126">
        <f>VLOOKUP($B$3,'Data for Bill Impacts'!$A$3:$Y$15,15,0)</f>
        <v>3.4866480000000002</v>
      </c>
      <c r="D22" s="22">
        <f>B22*C22</f>
        <v>10777.228968000001</v>
      </c>
      <c r="E22" s="73">
        <f t="shared" si="4"/>
        <v>3091</v>
      </c>
      <c r="F22" s="126">
        <f>VLOOKUP($B$3,'Data for Bill Impacts'!$A$3:$Y$15,24,0)</f>
        <v>3.4866480000000002</v>
      </c>
      <c r="G22" s="22">
        <f>E22*F22</f>
        <v>10777.228968000001</v>
      </c>
      <c r="H22" s="22">
        <f t="shared" si="2"/>
        <v>0</v>
      </c>
      <c r="I22" s="23">
        <f t="shared" si="3"/>
        <v>0</v>
      </c>
      <c r="J22" s="125">
        <f t="shared" si="0"/>
        <v>4.3107233517268077E-2</v>
      </c>
    </row>
    <row r="23" spans="1:10" s="1" customFormat="1" x14ac:dyDescent="0.2">
      <c r="A23" s="107" t="s">
        <v>41</v>
      </c>
      <c r="B23" s="73">
        <f>B5</f>
        <v>3091</v>
      </c>
      <c r="C23" s="126">
        <f>VLOOKUP($B$3,'Data for Bill Impacts'!$A$3:$Y$15,16,0)</f>
        <v>2.6021643999999999</v>
      </c>
      <c r="D23" s="22">
        <f>B23*C23</f>
        <v>8043.2901603999999</v>
      </c>
      <c r="E23" s="73">
        <f t="shared" si="4"/>
        <v>3091</v>
      </c>
      <c r="F23" s="126">
        <f>VLOOKUP($B$3,'Data for Bill Impacts'!$A$3:$Y$15,25,0)</f>
        <v>2.6021643999999999</v>
      </c>
      <c r="G23" s="22">
        <f>E23*F23</f>
        <v>8043.2901603999999</v>
      </c>
      <c r="H23" s="22">
        <f t="shared" si="2"/>
        <v>0</v>
      </c>
      <c r="I23" s="23">
        <f t="shared" si="3"/>
        <v>0</v>
      </c>
      <c r="J23" s="125">
        <f t="shared" si="0"/>
        <v>3.2171905062146157E-2</v>
      </c>
    </row>
    <row r="24" spans="1:10" x14ac:dyDescent="0.2">
      <c r="A24" s="110" t="s">
        <v>76</v>
      </c>
      <c r="B24" s="74"/>
      <c r="C24" s="35"/>
      <c r="D24" s="35">
        <f>SUM(D22:D23)</f>
        <v>18820.519128400003</v>
      </c>
      <c r="E24" s="73"/>
      <c r="F24" s="35"/>
      <c r="G24" s="35">
        <f>SUM(G22:G23)</f>
        <v>18820.519128400003</v>
      </c>
      <c r="H24" s="35">
        <f t="shared" si="2"/>
        <v>0</v>
      </c>
      <c r="I24" s="36">
        <f t="shared" si="3"/>
        <v>0</v>
      </c>
      <c r="J24" s="111">
        <f t="shared" si="0"/>
        <v>7.5279138579414248E-2</v>
      </c>
    </row>
    <row r="25" spans="1:10" s="1" customFormat="1" x14ac:dyDescent="0.2">
      <c r="A25" s="110" t="s">
        <v>80</v>
      </c>
      <c r="B25" s="74"/>
      <c r="C25" s="35"/>
      <c r="D25" s="35">
        <f>D21+D24</f>
        <v>28082.972313136721</v>
      </c>
      <c r="E25" s="73"/>
      <c r="F25" s="35"/>
      <c r="G25" s="35">
        <f>G21+G24</f>
        <v>28269.329994734813</v>
      </c>
      <c r="H25" s="35">
        <f t="shared" si="2"/>
        <v>186.35768159809231</v>
      </c>
      <c r="I25" s="36">
        <f t="shared" si="3"/>
        <v>6.6359671447924857E-3</v>
      </c>
      <c r="J25" s="111">
        <f t="shared" si="0"/>
        <v>0.11307290705969757</v>
      </c>
    </row>
    <row r="26" spans="1:10" x14ac:dyDescent="0.2">
      <c r="A26" s="107" t="s">
        <v>42</v>
      </c>
      <c r="B26" s="73">
        <f>B9</f>
        <v>1655471.2240000002</v>
      </c>
      <c r="C26" s="34">
        <v>3.5999999999999999E-3</v>
      </c>
      <c r="D26" s="22">
        <f>B26*C26</f>
        <v>5959.6964064000003</v>
      </c>
      <c r="E26" s="73">
        <f t="shared" si="4"/>
        <v>1655471.2240000002</v>
      </c>
      <c r="F26" s="34">
        <v>3.5999999999999999E-3</v>
      </c>
      <c r="G26" s="22">
        <f>E26*F26</f>
        <v>5959.6964064000003</v>
      </c>
      <c r="H26" s="22">
        <f t="shared" si="2"/>
        <v>0</v>
      </c>
      <c r="I26" s="23">
        <f t="shared" si="3"/>
        <v>0</v>
      </c>
      <c r="J26" s="125">
        <f t="shared" si="0"/>
        <v>2.3837855300793884E-2</v>
      </c>
    </row>
    <row r="27" spans="1:10" x14ac:dyDescent="0.2">
      <c r="A27" s="107" t="s">
        <v>43</v>
      </c>
      <c r="B27" s="73">
        <f>B9</f>
        <v>1655471.2240000002</v>
      </c>
      <c r="C27" s="34">
        <v>2.0999999999999999E-3</v>
      </c>
      <c r="D27" s="22">
        <f>B27*C27</f>
        <v>3476.4895704</v>
      </c>
      <c r="E27" s="73">
        <f t="shared" si="4"/>
        <v>1655471.2240000002</v>
      </c>
      <c r="F27" s="34">
        <v>2.0999999999999999E-3</v>
      </c>
      <c r="G27" s="22">
        <f>E27*F27</f>
        <v>3476.4895704</v>
      </c>
      <c r="H27" s="22">
        <f>G27-D27</f>
        <v>0</v>
      </c>
      <c r="I27" s="23">
        <f t="shared" si="3"/>
        <v>0</v>
      </c>
      <c r="J27" s="125">
        <f t="shared" si="0"/>
        <v>1.3905415592129764E-2</v>
      </c>
    </row>
    <row r="28" spans="1:10" x14ac:dyDescent="0.2">
      <c r="A28" s="107" t="s">
        <v>96</v>
      </c>
      <c r="B28" s="73">
        <f>B9</f>
        <v>1655471.2240000002</v>
      </c>
      <c r="C28" s="34">
        <v>1.1000000000000001E-3</v>
      </c>
      <c r="D28" s="22">
        <f>B28*C28</f>
        <v>1821.0183464000004</v>
      </c>
      <c r="E28" s="73">
        <f t="shared" si="4"/>
        <v>1655471.2240000002</v>
      </c>
      <c r="F28" s="34">
        <v>1.1000000000000001E-3</v>
      </c>
      <c r="G28" s="22">
        <f>E28*F28</f>
        <v>1821.0183464000004</v>
      </c>
      <c r="H28" s="22">
        <f>G28-D28</f>
        <v>0</v>
      </c>
      <c r="I28" s="23">
        <f t="shared" ref="I28" si="7">IF(ISERROR(H28/D28),0,(H28/D28))</f>
        <v>0</v>
      </c>
      <c r="J28" s="125">
        <f t="shared" ref="J28" si="8">G28/$G$36</f>
        <v>7.2837891196870213E-3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9.9996097432055777E-7</v>
      </c>
    </row>
    <row r="30" spans="1:10" x14ac:dyDescent="0.2">
      <c r="A30" s="110" t="s">
        <v>45</v>
      </c>
      <c r="B30" s="74"/>
      <c r="C30" s="35"/>
      <c r="D30" s="35">
        <f>SUM(D26:D29)</f>
        <v>11257.4543232</v>
      </c>
      <c r="E30" s="73"/>
      <c r="F30" s="35"/>
      <c r="G30" s="35">
        <f>SUM(G26:G29)</f>
        <v>11257.4543232</v>
      </c>
      <c r="H30" s="35">
        <f t="shared" si="2"/>
        <v>0</v>
      </c>
      <c r="I30" s="36">
        <f t="shared" si="3"/>
        <v>0</v>
      </c>
      <c r="J30" s="111">
        <f t="shared" si="9"/>
        <v>4.5028059973584986E-2</v>
      </c>
    </row>
    <row r="31" spans="1:10" ht="13.5" thickBot="1" x14ac:dyDescent="0.25">
      <c r="A31" s="112" t="s">
        <v>46</v>
      </c>
      <c r="B31" s="113">
        <f>B4</f>
        <v>1601036</v>
      </c>
      <c r="C31" s="114">
        <v>7.0000000000000001E-3</v>
      </c>
      <c r="D31" s="115">
        <f>B31*C31</f>
        <v>11207.252</v>
      </c>
      <c r="E31" s="116">
        <f t="shared" si="4"/>
        <v>1601036</v>
      </c>
      <c r="F31" s="114">
        <f>C31</f>
        <v>7.0000000000000001E-3</v>
      </c>
      <c r="G31" s="115">
        <f>E31*F31</f>
        <v>11207.252</v>
      </c>
      <c r="H31" s="115">
        <f t="shared" si="2"/>
        <v>0</v>
      </c>
      <c r="I31" s="117">
        <f t="shared" si="3"/>
        <v>0</v>
      </c>
      <c r="J31" s="118">
        <f t="shared" si="9"/>
        <v>4.4827258517504076E-2</v>
      </c>
    </row>
    <row r="32" spans="1:10" x14ac:dyDescent="0.2">
      <c r="A32" s="37" t="s">
        <v>111</v>
      </c>
      <c r="B32" s="38"/>
      <c r="C32" s="39"/>
      <c r="D32" s="39">
        <f>SUM(D15,D21,D24,D30,D31)</f>
        <v>221061.21470833672</v>
      </c>
      <c r="E32" s="38"/>
      <c r="F32" s="39"/>
      <c r="G32" s="39">
        <f>SUM(G15,G21,G24,G30,G31)</f>
        <v>221247.57238993482</v>
      </c>
      <c r="H32" s="39">
        <f t="shared" si="2"/>
        <v>186.35768159810686</v>
      </c>
      <c r="I32" s="40">
        <f>IF(ISERROR(H32/D32),0,(H32/D32))</f>
        <v>8.4301392193100483E-4</v>
      </c>
      <c r="J32" s="41">
        <f t="shared" si="9"/>
        <v>0.88495575221238942</v>
      </c>
    </row>
    <row r="33" spans="1:10" x14ac:dyDescent="0.2">
      <c r="A33" s="46" t="s">
        <v>102</v>
      </c>
      <c r="B33" s="43"/>
      <c r="C33" s="26">
        <v>0.13</v>
      </c>
      <c r="D33" s="26">
        <f>D32*C33</f>
        <v>28737.957912083773</v>
      </c>
      <c r="E33" s="26"/>
      <c r="F33" s="26">
        <f>C33</f>
        <v>0.13</v>
      </c>
      <c r="G33" s="26">
        <f>G32*F33</f>
        <v>28762.184410691527</v>
      </c>
      <c r="H33" s="26">
        <f t="shared" si="2"/>
        <v>24.226498607753456</v>
      </c>
      <c r="I33" s="44">
        <f t="shared" ref="I33:I36" si="10">IF(ISERROR(H33/D33),0,(H33/D33))</f>
        <v>8.4301392193098965E-4</v>
      </c>
      <c r="J33" s="45">
        <f t="shared" si="9"/>
        <v>0.11504424778761062</v>
      </c>
    </row>
    <row r="34" spans="1:10" x14ac:dyDescent="0.2">
      <c r="A34" s="46" t="s">
        <v>103</v>
      </c>
      <c r="B34" s="24"/>
      <c r="C34" s="25"/>
      <c r="D34" s="25">
        <f>SUM(D32:D33)</f>
        <v>249799.17262042049</v>
      </c>
      <c r="E34" s="25"/>
      <c r="F34" s="25"/>
      <c r="G34" s="25">
        <f>SUM(G32:G33)</f>
        <v>250009.75680062635</v>
      </c>
      <c r="H34" s="25">
        <f t="shared" si="2"/>
        <v>210.58418020585668</v>
      </c>
      <c r="I34" s="27">
        <f t="shared" si="10"/>
        <v>8.4301392193098857E-4</v>
      </c>
      <c r="J34" s="47">
        <f t="shared" si="9"/>
        <v>1</v>
      </c>
    </row>
    <row r="35" spans="1:10" x14ac:dyDescent="0.2">
      <c r="A35" s="46" t="s">
        <v>104</v>
      </c>
      <c r="B35" s="43"/>
      <c r="C35" s="26">
        <v>0</v>
      </c>
      <c r="D35" s="26">
        <f>D32*C35</f>
        <v>0</v>
      </c>
      <c r="E35" s="26"/>
      <c r="F35" s="26">
        <f>C35</f>
        <v>0</v>
      </c>
      <c r="G35" s="26">
        <f>G32*F35</f>
        <v>0</v>
      </c>
      <c r="H35" s="26">
        <f t="shared" si="2"/>
        <v>0</v>
      </c>
      <c r="I35" s="44">
        <f t="shared" si="10"/>
        <v>0</v>
      </c>
      <c r="J35" s="45">
        <f t="shared" si="9"/>
        <v>0</v>
      </c>
    </row>
    <row r="36" spans="1:10" ht="13.5" thickBot="1" x14ac:dyDescent="0.25">
      <c r="A36" s="46" t="s">
        <v>105</v>
      </c>
      <c r="B36" s="49"/>
      <c r="C36" s="50"/>
      <c r="D36" s="50">
        <f>SUM(D34:D35)</f>
        <v>249799.17262042049</v>
      </c>
      <c r="E36" s="50"/>
      <c r="F36" s="50"/>
      <c r="G36" s="50">
        <f>SUM(G34:G35)</f>
        <v>250009.75680062635</v>
      </c>
      <c r="H36" s="50">
        <f t="shared" si="2"/>
        <v>210.58418020585668</v>
      </c>
      <c r="I36" s="51">
        <f t="shared" si="10"/>
        <v>8.4301392193098857E-4</v>
      </c>
      <c r="J36" s="52">
        <f t="shared" si="9"/>
        <v>1</v>
      </c>
    </row>
    <row r="37" spans="1:10" x14ac:dyDescent="0.2">
      <c r="A37" s="170"/>
      <c r="F37" s="69"/>
    </row>
    <row r="38" spans="1:10" x14ac:dyDescent="0.2">
      <c r="A38" s="171"/>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1" tint="0.499984740745262"/>
    <pageSetUpPr fitToPage="1"/>
  </sheetPr>
  <dimension ref="A1:J38"/>
  <sheetViews>
    <sheetView tabSelected="1" view="pageBreakPreview" topLeftCell="A7" zoomScaleNormal="100" zoomScaleSheetLayoutView="100" workbookViewId="0">
      <selection activeCell="E1" sqref="E1:E1048576"/>
    </sheetView>
  </sheetViews>
  <sheetFormatPr defaultRowHeight="12.75" x14ac:dyDescent="0.2"/>
  <cols>
    <col min="1" max="1" width="66.28515625" bestFit="1" customWidth="1"/>
    <col min="2" max="2" width="20.7109375" bestFit="1" customWidth="1"/>
    <col min="3" max="3" width="10.5703125" customWidth="1"/>
    <col min="4" max="4" width="10.5703125" bestFit="1" customWidth="1"/>
    <col min="5" max="5" width="11.7109375" customWidth="1"/>
    <col min="6" max="6" width="10.140625" customWidth="1"/>
    <col min="7" max="7" width="12.28515625" customWidth="1"/>
    <col min="8" max="8" width="10.85546875" bestFit="1" customWidth="1"/>
    <col min="9" max="9" width="11.140625" bestFit="1" customWidth="1"/>
    <col min="10" max="10" width="10.42578125" customWidth="1"/>
    <col min="256" max="256" width="66.28515625" bestFit="1" customWidth="1"/>
    <col min="257" max="257" width="20.710937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66.28515625" bestFit="1" customWidth="1"/>
    <col min="513" max="513" width="20.710937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66.28515625" bestFit="1" customWidth="1"/>
    <col min="769" max="769" width="20.710937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66.28515625" bestFit="1" customWidth="1"/>
    <col min="1025" max="1025" width="20.710937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66.28515625" bestFit="1" customWidth="1"/>
    <col min="1281" max="1281" width="20.710937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66.28515625" bestFit="1" customWidth="1"/>
    <col min="1537" max="1537" width="20.710937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66.28515625" bestFit="1" customWidth="1"/>
    <col min="1793" max="1793" width="20.710937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66.28515625" bestFit="1" customWidth="1"/>
    <col min="2049" max="2049" width="20.710937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66.28515625" bestFit="1" customWidth="1"/>
    <col min="2305" max="2305" width="20.710937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66.28515625" bestFit="1" customWidth="1"/>
    <col min="2561" max="2561" width="20.710937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66.28515625" bestFit="1" customWidth="1"/>
    <col min="2817" max="2817" width="20.710937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66.28515625" bestFit="1" customWidth="1"/>
    <col min="3073" max="3073" width="20.710937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66.28515625" bestFit="1" customWidth="1"/>
    <col min="3329" max="3329" width="20.710937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66.28515625" bestFit="1" customWidth="1"/>
    <col min="3585" max="3585" width="20.710937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66.28515625" bestFit="1" customWidth="1"/>
    <col min="3841" max="3841" width="20.710937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66.28515625" bestFit="1" customWidth="1"/>
    <col min="4097" max="4097" width="20.710937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66.28515625" bestFit="1" customWidth="1"/>
    <col min="4353" max="4353" width="20.710937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66.28515625" bestFit="1" customWidth="1"/>
    <col min="4609" max="4609" width="20.710937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66.28515625" bestFit="1" customWidth="1"/>
    <col min="4865" max="4865" width="20.710937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66.28515625" bestFit="1" customWidth="1"/>
    <col min="5121" max="5121" width="20.710937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66.28515625" bestFit="1" customWidth="1"/>
    <col min="5377" max="5377" width="20.710937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66.28515625" bestFit="1" customWidth="1"/>
    <col min="5633" max="5633" width="20.710937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66.28515625" bestFit="1" customWidth="1"/>
    <col min="5889" max="5889" width="20.710937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66.28515625" bestFit="1" customWidth="1"/>
    <col min="6145" max="6145" width="20.710937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66.28515625" bestFit="1" customWidth="1"/>
    <col min="6401" max="6401" width="20.710937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66.28515625" bestFit="1" customWidth="1"/>
    <col min="6657" max="6657" width="20.710937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66.28515625" bestFit="1" customWidth="1"/>
    <col min="6913" max="6913" width="20.710937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66.28515625" bestFit="1" customWidth="1"/>
    <col min="7169" max="7169" width="20.710937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66.28515625" bestFit="1" customWidth="1"/>
    <col min="7425" max="7425" width="20.710937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66.28515625" bestFit="1" customWidth="1"/>
    <col min="7681" max="7681" width="20.710937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66.28515625" bestFit="1" customWidth="1"/>
    <col min="7937" max="7937" width="20.710937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66.28515625" bestFit="1" customWidth="1"/>
    <col min="8193" max="8193" width="20.710937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66.28515625" bestFit="1" customWidth="1"/>
    <col min="8449" max="8449" width="20.710937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66.28515625" bestFit="1" customWidth="1"/>
    <col min="8705" max="8705" width="20.710937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66.28515625" bestFit="1" customWidth="1"/>
    <col min="8961" max="8961" width="20.710937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66.28515625" bestFit="1" customWidth="1"/>
    <col min="9217" max="9217" width="20.710937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66.28515625" bestFit="1" customWidth="1"/>
    <col min="9473" max="9473" width="20.710937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66.28515625" bestFit="1" customWidth="1"/>
    <col min="9729" max="9729" width="20.710937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66.28515625" bestFit="1" customWidth="1"/>
    <col min="9985" max="9985" width="20.710937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66.28515625" bestFit="1" customWidth="1"/>
    <col min="10241" max="10241" width="20.710937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66.28515625" bestFit="1" customWidth="1"/>
    <col min="10497" max="10497" width="20.710937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66.28515625" bestFit="1" customWidth="1"/>
    <col min="10753" max="10753" width="20.710937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66.28515625" bestFit="1" customWidth="1"/>
    <col min="11009" max="11009" width="20.710937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66.28515625" bestFit="1" customWidth="1"/>
    <col min="11265" max="11265" width="20.710937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66.28515625" bestFit="1" customWidth="1"/>
    <col min="11521" max="11521" width="20.710937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66.28515625" bestFit="1" customWidth="1"/>
    <col min="11777" max="11777" width="20.710937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66.28515625" bestFit="1" customWidth="1"/>
    <col min="12033" max="12033" width="20.710937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66.28515625" bestFit="1" customWidth="1"/>
    <col min="12289" max="12289" width="20.710937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66.28515625" bestFit="1" customWidth="1"/>
    <col min="12545" max="12545" width="20.710937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66.28515625" bestFit="1" customWidth="1"/>
    <col min="12801" max="12801" width="20.710937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66.28515625" bestFit="1" customWidth="1"/>
    <col min="13057" max="13057" width="20.710937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66.28515625" bestFit="1" customWidth="1"/>
    <col min="13313" max="13313" width="20.710937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66.28515625" bestFit="1" customWidth="1"/>
    <col min="13569" max="13569" width="20.710937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66.28515625" bestFit="1" customWidth="1"/>
    <col min="13825" max="13825" width="20.710937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66.28515625" bestFit="1" customWidth="1"/>
    <col min="14081" max="14081" width="20.710937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66.28515625" bestFit="1" customWidth="1"/>
    <col min="14337" max="14337" width="20.710937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66.28515625" bestFit="1" customWidth="1"/>
    <col min="14593" max="14593" width="20.710937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66.28515625" bestFit="1" customWidth="1"/>
    <col min="14849" max="14849" width="20.710937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66.28515625" bestFit="1" customWidth="1"/>
    <col min="15105" max="15105" width="20.710937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66.28515625" bestFit="1" customWidth="1"/>
    <col min="15361" max="15361" width="20.710937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66.28515625" bestFit="1" customWidth="1"/>
    <col min="15617" max="15617" width="20.710937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66.28515625" bestFit="1" customWidth="1"/>
    <col min="15873" max="15873" width="20.710937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66.28515625" bestFit="1" customWidth="1"/>
    <col min="16129" max="16129" width="20.710937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121</v>
      </c>
      <c r="B1" s="188"/>
      <c r="C1" s="188"/>
      <c r="D1" s="188"/>
      <c r="E1" s="188"/>
      <c r="F1" s="188"/>
      <c r="G1" s="188"/>
      <c r="H1" s="188"/>
      <c r="I1" s="188"/>
      <c r="J1" s="189"/>
    </row>
    <row r="3" spans="1:10" x14ac:dyDescent="0.2">
      <c r="A3" s="13" t="s">
        <v>13</v>
      </c>
      <c r="B3" s="13" t="s">
        <v>11</v>
      </c>
    </row>
    <row r="4" spans="1:10" x14ac:dyDescent="0.2">
      <c r="A4" s="15" t="s">
        <v>62</v>
      </c>
      <c r="B4" s="79">
        <v>4000000</v>
      </c>
    </row>
    <row r="5" spans="1:10" x14ac:dyDescent="0.2">
      <c r="A5" s="15" t="s">
        <v>16</v>
      </c>
      <c r="B5" s="79">
        <v>10000</v>
      </c>
    </row>
    <row r="6" spans="1:10" x14ac:dyDescent="0.2">
      <c r="A6" s="15" t="s">
        <v>20</v>
      </c>
      <c r="B6" s="80">
        <f>VLOOKUP($B$3,'Data for Bill Impacts'!$A$3:$Y$15,2,0)</f>
        <v>1.034</v>
      </c>
    </row>
    <row r="7" spans="1:10" x14ac:dyDescent="0.2">
      <c r="A7" s="81" t="s">
        <v>48</v>
      </c>
      <c r="B7" s="82">
        <f>B4/(B5*730)</f>
        <v>0.54794520547945202</v>
      </c>
    </row>
    <row r="8" spans="1:10" x14ac:dyDescent="0.2">
      <c r="A8" s="15" t="s">
        <v>15</v>
      </c>
      <c r="B8" s="79">
        <f>VLOOKUP($B$3,'Data for Bill Impacts'!$A$3:$Y$15,4,0)</f>
        <v>0</v>
      </c>
    </row>
    <row r="9" spans="1:10" x14ac:dyDescent="0.2">
      <c r="A9" s="15" t="s">
        <v>82</v>
      </c>
      <c r="B9" s="79">
        <f>B4*B6</f>
        <v>4136000</v>
      </c>
    </row>
    <row r="10" spans="1:10" x14ac:dyDescent="0.2">
      <c r="A10" s="15" t="s">
        <v>21</v>
      </c>
      <c r="B10" s="16" t="s">
        <v>19</v>
      </c>
    </row>
    <row r="11" spans="1:10" ht="13.5" thickBot="1" x14ac:dyDescent="0.25"/>
    <row r="12" spans="1:10" s="20" customFormat="1" ht="26.25" thickBot="1" x14ac:dyDescent="0.25">
      <c r="A12" s="17"/>
      <c r="B12" s="18" t="s">
        <v>22</v>
      </c>
      <c r="C12" s="18" t="s">
        <v>23</v>
      </c>
      <c r="D12" s="18" t="s">
        <v>24</v>
      </c>
      <c r="E12" s="18" t="s">
        <v>22</v>
      </c>
      <c r="F12" s="18" t="s">
        <v>25</v>
      </c>
      <c r="G12" s="18" t="s">
        <v>26</v>
      </c>
      <c r="H12" s="18" t="s">
        <v>27</v>
      </c>
      <c r="I12" s="18" t="s">
        <v>28</v>
      </c>
      <c r="J12" s="123" t="s">
        <v>49</v>
      </c>
    </row>
    <row r="13" spans="1:10" x14ac:dyDescent="0.2">
      <c r="A13" s="101" t="s">
        <v>31</v>
      </c>
      <c r="B13" s="102">
        <f>B9</f>
        <v>4136000</v>
      </c>
      <c r="C13" s="103">
        <v>0.10299999999999999</v>
      </c>
      <c r="D13" s="104">
        <f>B13*C13</f>
        <v>426008</v>
      </c>
      <c r="E13" s="102">
        <f>B13</f>
        <v>4136000</v>
      </c>
      <c r="F13" s="103">
        <f>C13</f>
        <v>0.10299999999999999</v>
      </c>
      <c r="G13" s="104">
        <f>E13*F13</f>
        <v>426008</v>
      </c>
      <c r="H13" s="104">
        <f>G13-D13</f>
        <v>0</v>
      </c>
      <c r="I13" s="105">
        <f>IF(ISERROR(H13/D13),0,(H13/D13))</f>
        <v>0</v>
      </c>
      <c r="J13" s="124">
        <f t="shared" ref="J13:J27" si="0">G13/$G$36</f>
        <v>0.66311979824789336</v>
      </c>
    </row>
    <row r="14" spans="1:10" x14ac:dyDescent="0.2">
      <c r="A14" s="107" t="s">
        <v>32</v>
      </c>
      <c r="B14" s="73">
        <v>0</v>
      </c>
      <c r="C14" s="21">
        <v>0.121</v>
      </c>
      <c r="D14" s="22">
        <f>B14*C14</f>
        <v>0</v>
      </c>
      <c r="E14" s="73">
        <f t="shared" ref="E14" si="1">B14</f>
        <v>0</v>
      </c>
      <c r="F14" s="21">
        <f>C14</f>
        <v>0.121</v>
      </c>
      <c r="G14" s="22">
        <f>E14*F14</f>
        <v>0</v>
      </c>
      <c r="H14" s="22">
        <f t="shared" ref="H14:H36" si="2">G14-D14</f>
        <v>0</v>
      </c>
      <c r="I14" s="23">
        <f t="shared" ref="I14:I31" si="3">IF(ISERROR(H14/D14),0,(H14/D14))</f>
        <v>0</v>
      </c>
      <c r="J14" s="125">
        <f t="shared" si="0"/>
        <v>0</v>
      </c>
    </row>
    <row r="15" spans="1:10" s="1" customFormat="1" x14ac:dyDescent="0.2">
      <c r="A15" s="46" t="s">
        <v>33</v>
      </c>
      <c r="B15" s="24"/>
      <c r="C15" s="25"/>
      <c r="D15" s="25">
        <f>SUM(D13:D14)</f>
        <v>426008</v>
      </c>
      <c r="E15" s="76"/>
      <c r="F15" s="25"/>
      <c r="G15" s="25">
        <f>SUM(G13:G14)</f>
        <v>426008</v>
      </c>
      <c r="H15" s="25">
        <f t="shared" si="2"/>
        <v>0</v>
      </c>
      <c r="I15" s="27">
        <f t="shared" si="3"/>
        <v>0</v>
      </c>
      <c r="J15" s="47">
        <f t="shared" si="0"/>
        <v>0.66311979824789336</v>
      </c>
    </row>
    <row r="16" spans="1:10" s="1" customFormat="1" x14ac:dyDescent="0.2">
      <c r="A16" s="107" t="s">
        <v>38</v>
      </c>
      <c r="B16" s="73">
        <v>1</v>
      </c>
      <c r="C16" s="78">
        <f>VLOOKUP($B$3,'Data for Bill Impacts'!$A$3:$Y$15,7,0)</f>
        <v>1204.08</v>
      </c>
      <c r="D16" s="22">
        <f>B16*C16</f>
        <v>1204.08</v>
      </c>
      <c r="E16" s="73">
        <f t="shared" ref="E16:E31" si="4">B16</f>
        <v>1</v>
      </c>
      <c r="F16" s="78">
        <f>VLOOKUP($B$3,'Data for Bill Impacts'!$A$3:$Y$15,17,0)</f>
        <v>1226.6300000000001</v>
      </c>
      <c r="G16" s="22">
        <f>E16*F16</f>
        <v>1226.6300000000001</v>
      </c>
      <c r="H16" s="22">
        <f t="shared" si="2"/>
        <v>22.550000000000182</v>
      </c>
      <c r="I16" s="23">
        <f t="shared" si="3"/>
        <v>1.8727991495581842E-2</v>
      </c>
      <c r="J16" s="125">
        <f t="shared" si="0"/>
        <v>1.9093600076167899E-3</v>
      </c>
    </row>
    <row r="17" spans="1:10" x14ac:dyDescent="0.2">
      <c r="A17" s="107" t="s">
        <v>85</v>
      </c>
      <c r="B17" s="73">
        <v>1</v>
      </c>
      <c r="C17" s="78">
        <f>VLOOKUP($B$3,'Data for Bill Impacts'!$A$3:$Y$15,13,0)</f>
        <v>3.83</v>
      </c>
      <c r="D17" s="22">
        <f t="shared" ref="D17" si="5">B17*C17</f>
        <v>3.83</v>
      </c>
      <c r="E17" s="73">
        <f t="shared" si="4"/>
        <v>1</v>
      </c>
      <c r="F17" s="78">
        <f>VLOOKUP($B$3,'Data for Bill Impacts'!$A$3:$Y$15,22,0)</f>
        <v>3.83</v>
      </c>
      <c r="G17" s="22">
        <f t="shared" ref="G17" si="6">E17*F17</f>
        <v>3.83</v>
      </c>
      <c r="H17" s="22">
        <f t="shared" si="2"/>
        <v>0</v>
      </c>
      <c r="I17" s="23">
        <f t="shared" si="3"/>
        <v>0</v>
      </c>
      <c r="J17" s="125">
        <f t="shared" si="0"/>
        <v>5.9617397496982018E-6</v>
      </c>
    </row>
    <row r="18" spans="1:10" x14ac:dyDescent="0.2">
      <c r="A18" s="107" t="s">
        <v>39</v>
      </c>
      <c r="B18" s="73">
        <f>IF($B$10="kWh",$B$4,$B$5)</f>
        <v>10000</v>
      </c>
      <c r="C18" s="78">
        <f>VLOOKUP($B$3,'Data for Bill Impacts'!$A$3:$Y$15,10,0)</f>
        <v>1.3153070071616677</v>
      </c>
      <c r="D18" s="22">
        <f>B18*C18</f>
        <v>13153.070071616678</v>
      </c>
      <c r="E18" s="73">
        <f t="shared" si="4"/>
        <v>10000</v>
      </c>
      <c r="F18" s="78">
        <f>VLOOKUP($B$3,'Data for Bill Impacts'!$A$3:$Y$15,19,0)</f>
        <v>1.3683020513538697</v>
      </c>
      <c r="G18" s="22">
        <f>E18*F18</f>
        <v>13683.020513538697</v>
      </c>
      <c r="H18" s="22">
        <f t="shared" si="2"/>
        <v>529.95044192201931</v>
      </c>
      <c r="I18" s="23">
        <f t="shared" si="3"/>
        <v>4.0291007273321834E-2</v>
      </c>
      <c r="J18" s="125">
        <f t="shared" si="0"/>
        <v>2.1298853078720509E-2</v>
      </c>
    </row>
    <row r="19" spans="1:10" s="1" customFormat="1" x14ac:dyDescent="0.2">
      <c r="A19" s="107" t="s">
        <v>122</v>
      </c>
      <c r="B19" s="73">
        <f>IF($B$10="kWh",$B$4,$B$5)</f>
        <v>10000</v>
      </c>
      <c r="C19" s="126">
        <f>VLOOKUP($B$3,'Data for Bill Impacts'!$A$3:$Y$15,14,0)</f>
        <v>0.27289999999999998</v>
      </c>
      <c r="D19" s="22">
        <f>B19*C19</f>
        <v>2728.9999999999995</v>
      </c>
      <c r="E19" s="73">
        <f>B19</f>
        <v>10000</v>
      </c>
      <c r="F19" s="126">
        <f>VLOOKUP($B$3,'Data for Bill Impacts'!$A$3:$Y$15,23,0)</f>
        <v>0.27289999999999998</v>
      </c>
      <c r="G19" s="22">
        <f>E19*F19</f>
        <v>2728.9999999999995</v>
      </c>
      <c r="H19" s="22">
        <f>G19-D19</f>
        <v>0</v>
      </c>
      <c r="I19" s="23">
        <f>IF(ISERROR(H19/D19),0,(H19/D19))</f>
        <v>0</v>
      </c>
      <c r="J19" s="125">
        <f t="shared" si="0"/>
        <v>4.24793414541159E-3</v>
      </c>
    </row>
    <row r="20" spans="1:10" s="1" customFormat="1" x14ac:dyDescent="0.2">
      <c r="A20" s="107" t="s">
        <v>108</v>
      </c>
      <c r="B20" s="73">
        <f>B9</f>
        <v>4136000</v>
      </c>
      <c r="C20" s="126">
        <f>VLOOKUP($B$3,'Data for Bill Impacts'!$A$3:$Y$15,20,0)</f>
        <v>1.9E-3</v>
      </c>
      <c r="D20" s="22">
        <f>B20*C20</f>
        <v>7858.4</v>
      </c>
      <c r="E20" s="73">
        <f t="shared" si="4"/>
        <v>4136000</v>
      </c>
      <c r="F20" s="78">
        <f>VLOOKUP($B$3,'Data for Bill Impacts'!$A$3:$Y$15,21,0)</f>
        <v>1.9E-3</v>
      </c>
      <c r="G20" s="22">
        <f>E20*F20</f>
        <v>7858.4</v>
      </c>
      <c r="H20" s="22">
        <f t="shared" si="2"/>
        <v>0</v>
      </c>
      <c r="I20" s="23">
        <f>IF(ISERROR(H20/D20),0,(H20/D20))</f>
        <v>0</v>
      </c>
      <c r="J20" s="125">
        <f t="shared" si="0"/>
        <v>1.2232306957970847E-2</v>
      </c>
    </row>
    <row r="21" spans="1:10" x14ac:dyDescent="0.2">
      <c r="A21" s="110" t="s">
        <v>93</v>
      </c>
      <c r="B21" s="74"/>
      <c r="C21" s="35"/>
      <c r="D21" s="35">
        <f>SUM(D16:D20)</f>
        <v>24948.380071616673</v>
      </c>
      <c r="E21" s="73"/>
      <c r="F21" s="35"/>
      <c r="G21" s="35">
        <f>SUM(G16:G20)</f>
        <v>25500.880513538694</v>
      </c>
      <c r="H21" s="35">
        <f t="shared" si="2"/>
        <v>552.5004419220204</v>
      </c>
      <c r="I21" s="36">
        <f t="shared" si="3"/>
        <v>2.2145744145953199E-2</v>
      </c>
      <c r="J21" s="111">
        <f t="shared" si="0"/>
        <v>3.9694415929469429E-2</v>
      </c>
    </row>
    <row r="22" spans="1:10" x14ac:dyDescent="0.2">
      <c r="A22" s="107" t="s">
        <v>40</v>
      </c>
      <c r="B22" s="73">
        <f>B5</f>
        <v>10000</v>
      </c>
      <c r="C22" s="126">
        <f>VLOOKUP($B$3,'Data for Bill Impacts'!$A$3:$Y$15,15,0)</f>
        <v>3.4866480000000002</v>
      </c>
      <c r="D22" s="22">
        <f>B22*C22</f>
        <v>34866.480000000003</v>
      </c>
      <c r="E22" s="73">
        <f t="shared" si="4"/>
        <v>10000</v>
      </c>
      <c r="F22" s="126">
        <f>VLOOKUP($B$3,'Data for Bill Impacts'!$A$3:$Y$15,24,0)</f>
        <v>3.4866480000000002</v>
      </c>
      <c r="G22" s="22">
        <f>E22*F22</f>
        <v>34866.480000000003</v>
      </c>
      <c r="H22" s="22">
        <f t="shared" si="2"/>
        <v>0</v>
      </c>
      <c r="I22" s="23">
        <f t="shared" si="3"/>
        <v>0</v>
      </c>
      <c r="J22" s="125">
        <f t="shared" si="0"/>
        <v>5.4272814555628553E-2</v>
      </c>
    </row>
    <row r="23" spans="1:10" s="1" customFormat="1" x14ac:dyDescent="0.2">
      <c r="A23" s="107" t="s">
        <v>41</v>
      </c>
      <c r="B23" s="73">
        <f>B5</f>
        <v>10000</v>
      </c>
      <c r="C23" s="126">
        <f>VLOOKUP($B$3,'Data for Bill Impacts'!$A$3:$Y$15,16,0)</f>
        <v>2.6021643999999999</v>
      </c>
      <c r="D23" s="22">
        <f>B23*C23</f>
        <v>26021.644</v>
      </c>
      <c r="E23" s="73">
        <f t="shared" si="4"/>
        <v>10000</v>
      </c>
      <c r="F23" s="126">
        <f>VLOOKUP($B$3,'Data for Bill Impacts'!$A$3:$Y$15,25,0)</f>
        <v>2.6021643999999999</v>
      </c>
      <c r="G23" s="22">
        <f>E23*F23</f>
        <v>26021.644</v>
      </c>
      <c r="H23" s="22">
        <f t="shared" si="2"/>
        <v>0</v>
      </c>
      <c r="I23" s="23">
        <f t="shared" si="3"/>
        <v>0</v>
      </c>
      <c r="J23" s="125">
        <f t="shared" si="0"/>
        <v>4.0505031171617675E-2</v>
      </c>
    </row>
    <row r="24" spans="1:10" x14ac:dyDescent="0.2">
      <c r="A24" s="110" t="s">
        <v>76</v>
      </c>
      <c r="B24" s="74"/>
      <c r="C24" s="35"/>
      <c r="D24" s="35">
        <f>SUM(D22:D23)</f>
        <v>60888.124000000003</v>
      </c>
      <c r="E24" s="73"/>
      <c r="F24" s="35"/>
      <c r="G24" s="35">
        <f>SUM(G22:G23)</f>
        <v>60888.124000000003</v>
      </c>
      <c r="H24" s="35">
        <f t="shared" si="2"/>
        <v>0</v>
      </c>
      <c r="I24" s="36">
        <f t="shared" si="3"/>
        <v>0</v>
      </c>
      <c r="J24" s="111">
        <f t="shared" si="0"/>
        <v>9.4777845727246235E-2</v>
      </c>
    </row>
    <row r="25" spans="1:10" s="1" customFormat="1" x14ac:dyDescent="0.2">
      <c r="A25" s="110" t="s">
        <v>80</v>
      </c>
      <c r="B25" s="74"/>
      <c r="C25" s="35"/>
      <c r="D25" s="35">
        <f>D21+D24</f>
        <v>85836.504071616684</v>
      </c>
      <c r="E25" s="73"/>
      <c r="F25" s="35"/>
      <c r="G25" s="35">
        <f>G21+G24</f>
        <v>86389.004513538704</v>
      </c>
      <c r="H25" s="35">
        <f t="shared" si="2"/>
        <v>552.5004419220204</v>
      </c>
      <c r="I25" s="36">
        <f t="shared" si="3"/>
        <v>6.4366605781270882E-3</v>
      </c>
      <c r="J25" s="111">
        <f t="shared" si="0"/>
        <v>0.13447226165671566</v>
      </c>
    </row>
    <row r="26" spans="1:10" x14ac:dyDescent="0.2">
      <c r="A26" s="107" t="s">
        <v>42</v>
      </c>
      <c r="B26" s="73">
        <f>B9</f>
        <v>4136000</v>
      </c>
      <c r="C26" s="34">
        <v>3.5999999999999999E-3</v>
      </c>
      <c r="D26" s="22">
        <f>B26*C26</f>
        <v>14889.6</v>
      </c>
      <c r="E26" s="73">
        <f t="shared" si="4"/>
        <v>4136000</v>
      </c>
      <c r="F26" s="34">
        <v>3.5999999999999999E-3</v>
      </c>
      <c r="G26" s="22">
        <f>E26*F26</f>
        <v>14889.6</v>
      </c>
      <c r="H26" s="22">
        <f t="shared" si="2"/>
        <v>0</v>
      </c>
      <c r="I26" s="23">
        <f t="shared" si="3"/>
        <v>0</v>
      </c>
      <c r="J26" s="125">
        <f t="shared" si="0"/>
        <v>2.3177002657207922E-2</v>
      </c>
    </row>
    <row r="27" spans="1:10" x14ac:dyDescent="0.2">
      <c r="A27" s="107" t="s">
        <v>43</v>
      </c>
      <c r="B27" s="73">
        <f>B9</f>
        <v>4136000</v>
      </c>
      <c r="C27" s="34">
        <v>2.0999999999999999E-3</v>
      </c>
      <c r="D27" s="22">
        <f>B27*C27</f>
        <v>8685.6</v>
      </c>
      <c r="E27" s="73">
        <f t="shared" si="4"/>
        <v>4136000</v>
      </c>
      <c r="F27" s="34">
        <v>2.0999999999999999E-3</v>
      </c>
      <c r="G27" s="22">
        <f>E27*F27</f>
        <v>8685.6</v>
      </c>
      <c r="H27" s="22">
        <f>G27-D27</f>
        <v>0</v>
      </c>
      <c r="I27" s="23">
        <f t="shared" si="3"/>
        <v>0</v>
      </c>
      <c r="J27" s="125">
        <f t="shared" si="0"/>
        <v>1.3519918216704622E-2</v>
      </c>
    </row>
    <row r="28" spans="1:10" x14ac:dyDescent="0.2">
      <c r="A28" s="107" t="s">
        <v>96</v>
      </c>
      <c r="B28" s="73">
        <f>B9</f>
        <v>4136000</v>
      </c>
      <c r="C28" s="34">
        <v>1.1000000000000001E-3</v>
      </c>
      <c r="D28" s="22">
        <f>B28*C28</f>
        <v>4549.6000000000004</v>
      </c>
      <c r="E28" s="73">
        <f t="shared" si="4"/>
        <v>4136000</v>
      </c>
      <c r="F28" s="34">
        <v>1.1000000000000001E-3</v>
      </c>
      <c r="G28" s="22">
        <f>E28*F28</f>
        <v>4549.6000000000004</v>
      </c>
      <c r="H28" s="22">
        <f>G28-D28</f>
        <v>0</v>
      </c>
      <c r="I28" s="23">
        <f t="shared" ref="I28" si="7">IF(ISERROR(H28/D28),0,(H28/D28))</f>
        <v>0</v>
      </c>
      <c r="J28" s="125">
        <f t="shared" ref="J28" si="8">G28/$G$36</f>
        <v>7.0818619230357547E-3</v>
      </c>
    </row>
    <row r="29" spans="1:10" x14ac:dyDescent="0.2">
      <c r="A29" s="107" t="s">
        <v>44</v>
      </c>
      <c r="B29" s="73">
        <v>1</v>
      </c>
      <c r="C29" s="22">
        <v>0.25</v>
      </c>
      <c r="D29" s="22">
        <f>B29*C29</f>
        <v>0.25</v>
      </c>
      <c r="E29" s="73">
        <f t="shared" si="4"/>
        <v>1</v>
      </c>
      <c r="F29" s="22">
        <f>C29</f>
        <v>0.25</v>
      </c>
      <c r="G29" s="22">
        <f>E29*F29</f>
        <v>0.25</v>
      </c>
      <c r="H29" s="22">
        <f t="shared" si="2"/>
        <v>0</v>
      </c>
      <c r="I29" s="23">
        <f t="shared" si="3"/>
        <v>0</v>
      </c>
      <c r="J29" s="125">
        <f t="shared" ref="J29:J36" si="9">G29/$G$36</f>
        <v>3.8914750324400791E-7</v>
      </c>
    </row>
    <row r="30" spans="1:10" x14ac:dyDescent="0.2">
      <c r="A30" s="110" t="s">
        <v>45</v>
      </c>
      <c r="B30" s="74"/>
      <c r="C30" s="35"/>
      <c r="D30" s="35">
        <f>SUM(D26:D29)</f>
        <v>28125.050000000003</v>
      </c>
      <c r="E30" s="73"/>
      <c r="F30" s="35"/>
      <c r="G30" s="35">
        <f>SUM(G26:G29)</f>
        <v>28125.050000000003</v>
      </c>
      <c r="H30" s="35">
        <f t="shared" si="2"/>
        <v>0</v>
      </c>
      <c r="I30" s="36">
        <f t="shared" si="3"/>
        <v>0</v>
      </c>
      <c r="J30" s="111">
        <f t="shared" si="9"/>
        <v>4.3779171944451543E-2</v>
      </c>
    </row>
    <row r="31" spans="1:10" ht="13.5" thickBot="1" x14ac:dyDescent="0.25">
      <c r="A31" s="112" t="s">
        <v>46</v>
      </c>
      <c r="B31" s="113">
        <f>B4</f>
        <v>4000000</v>
      </c>
      <c r="C31" s="114">
        <v>7.0000000000000001E-3</v>
      </c>
      <c r="D31" s="115">
        <f>B31*C31</f>
        <v>28000</v>
      </c>
      <c r="E31" s="116">
        <f t="shared" si="4"/>
        <v>4000000</v>
      </c>
      <c r="F31" s="114">
        <f>C31</f>
        <v>7.0000000000000001E-3</v>
      </c>
      <c r="G31" s="115">
        <f>E31*F31</f>
        <v>28000</v>
      </c>
      <c r="H31" s="115">
        <f t="shared" si="2"/>
        <v>0</v>
      </c>
      <c r="I31" s="117">
        <f t="shared" si="3"/>
        <v>0</v>
      </c>
      <c r="J31" s="118">
        <f t="shared" si="9"/>
        <v>4.3584520363328889E-2</v>
      </c>
    </row>
    <row r="32" spans="1:10" x14ac:dyDescent="0.2">
      <c r="A32" s="37" t="s">
        <v>111</v>
      </c>
      <c r="B32" s="38"/>
      <c r="C32" s="39"/>
      <c r="D32" s="39">
        <f>SUM(D15,D21,D24,D30,D31)</f>
        <v>567969.55407161673</v>
      </c>
      <c r="E32" s="38"/>
      <c r="F32" s="39"/>
      <c r="G32" s="39">
        <f>SUM(G15,G21,G24,G30,G31)</f>
        <v>568522.05451353872</v>
      </c>
      <c r="H32" s="39">
        <f t="shared" si="2"/>
        <v>552.5004419219913</v>
      </c>
      <c r="I32" s="40">
        <f>IF(ISERROR(H32/D32),0,(H32/D32))</f>
        <v>9.7276418773025483E-4</v>
      </c>
      <c r="J32" s="41">
        <f t="shared" si="9"/>
        <v>0.88495575221238942</v>
      </c>
    </row>
    <row r="33" spans="1:10" x14ac:dyDescent="0.2">
      <c r="A33" s="46" t="s">
        <v>102</v>
      </c>
      <c r="B33" s="43"/>
      <c r="C33" s="26">
        <v>0.13</v>
      </c>
      <c r="D33" s="26">
        <f>D32*C33</f>
        <v>73836.042029310178</v>
      </c>
      <c r="E33" s="26"/>
      <c r="F33" s="26">
        <f>C33</f>
        <v>0.13</v>
      </c>
      <c r="G33" s="26">
        <f>G32*F33</f>
        <v>73907.86708676003</v>
      </c>
      <c r="H33" s="26">
        <f t="shared" si="2"/>
        <v>71.825057449852466</v>
      </c>
      <c r="I33" s="44">
        <f t="shared" ref="I33:I36" si="10">IF(ISERROR(H33/D33),0,(H33/D33))</f>
        <v>9.7276418773016809E-4</v>
      </c>
      <c r="J33" s="45">
        <f t="shared" si="9"/>
        <v>0.11504424778761062</v>
      </c>
    </row>
    <row r="34" spans="1:10" x14ac:dyDescent="0.2">
      <c r="A34" s="46" t="s">
        <v>103</v>
      </c>
      <c r="B34" s="24"/>
      <c r="C34" s="25"/>
      <c r="D34" s="25">
        <f>SUM(D32:D33)</f>
        <v>641805.59610092686</v>
      </c>
      <c r="E34" s="25"/>
      <c r="F34" s="25"/>
      <c r="G34" s="25">
        <f>SUM(G32:G33)</f>
        <v>642429.92160029872</v>
      </c>
      <c r="H34" s="25">
        <f t="shared" si="2"/>
        <v>624.32549937185831</v>
      </c>
      <c r="I34" s="27">
        <f t="shared" si="10"/>
        <v>9.7276418773026762E-4</v>
      </c>
      <c r="J34" s="47">
        <f t="shared" si="9"/>
        <v>1</v>
      </c>
    </row>
    <row r="35" spans="1:10" x14ac:dyDescent="0.2">
      <c r="A35" s="46" t="s">
        <v>104</v>
      </c>
      <c r="B35" s="43"/>
      <c r="C35" s="26">
        <v>0</v>
      </c>
      <c r="D35" s="26">
        <f>D32*C35</f>
        <v>0</v>
      </c>
      <c r="E35" s="26"/>
      <c r="F35" s="26">
        <f>C35</f>
        <v>0</v>
      </c>
      <c r="G35" s="26">
        <f>G32*F35</f>
        <v>0</v>
      </c>
      <c r="H35" s="26">
        <f t="shared" si="2"/>
        <v>0</v>
      </c>
      <c r="I35" s="44">
        <f t="shared" si="10"/>
        <v>0</v>
      </c>
      <c r="J35" s="45">
        <f t="shared" si="9"/>
        <v>0</v>
      </c>
    </row>
    <row r="36" spans="1:10" ht="13.5" thickBot="1" x14ac:dyDescent="0.25">
      <c r="A36" s="46" t="s">
        <v>105</v>
      </c>
      <c r="B36" s="49"/>
      <c r="C36" s="50"/>
      <c r="D36" s="50">
        <f>SUM(D34:D35)</f>
        <v>641805.59610092686</v>
      </c>
      <c r="E36" s="50"/>
      <c r="F36" s="50"/>
      <c r="G36" s="50">
        <f>SUM(G34:G35)</f>
        <v>642429.92160029872</v>
      </c>
      <c r="H36" s="50">
        <f t="shared" si="2"/>
        <v>624.32549937185831</v>
      </c>
      <c r="I36" s="51">
        <f t="shared" si="10"/>
        <v>9.7276418773026762E-4</v>
      </c>
      <c r="J36" s="52">
        <f t="shared" si="9"/>
        <v>1</v>
      </c>
    </row>
    <row r="37" spans="1:10" x14ac:dyDescent="0.2">
      <c r="A37" s="170"/>
      <c r="F37" s="69"/>
    </row>
    <row r="38" spans="1:10" x14ac:dyDescent="0.2">
      <c r="A38" s="171"/>
      <c r="F38" s="69"/>
    </row>
  </sheetData>
  <mergeCells count="1">
    <mergeCell ref="A1:J1"/>
  </mergeCells>
  <dataValidations count="1">
    <dataValidation type="list" allowBlank="1" showInputMessage="1" showErrorMessage="1" sqref="WVI983030 IW3 SS3 ACO3 AMK3 AWG3 BGC3 BPY3 BZU3 CJQ3 CTM3 DDI3 DNE3 DXA3 EGW3 EQS3 FAO3 FKK3 FUG3 GEC3 GNY3 GXU3 HHQ3 HRM3 IBI3 ILE3 IVA3 JEW3 JOS3 JYO3 KIK3 KSG3 LCC3 LLY3 LVU3 MFQ3 MPM3 MZI3 NJE3 NTA3 OCW3 OMS3 OWO3 PGK3 PQG3 QAC3 QJY3 QTU3 RDQ3 RNM3 RXI3 SHE3 SRA3 TAW3 TKS3 TUO3 UEK3 UOG3 UYC3 VHY3 VRU3 WBQ3 WLM3 WVI3 B65526 IW65526 SS65526 ACO65526 AMK65526 AWG65526 BGC65526 BPY65526 BZU65526 CJQ65526 CTM65526 DDI65526 DNE65526 DXA65526 EGW65526 EQS65526 FAO65526 FKK65526 FUG65526 GEC65526 GNY65526 GXU65526 HHQ65526 HRM65526 IBI65526 ILE65526 IVA65526 JEW65526 JOS65526 JYO65526 KIK65526 KSG65526 LCC65526 LLY65526 LVU65526 MFQ65526 MPM65526 MZI65526 NJE65526 NTA65526 OCW65526 OMS65526 OWO65526 PGK65526 PQG65526 QAC65526 QJY65526 QTU65526 RDQ65526 RNM65526 RXI65526 SHE65526 SRA65526 TAW65526 TKS65526 TUO65526 UEK65526 UOG65526 UYC65526 VHY65526 VRU65526 WBQ65526 WLM65526 WVI65526 B131062 IW131062 SS131062 ACO131062 AMK131062 AWG131062 BGC131062 BPY131062 BZU131062 CJQ131062 CTM131062 DDI131062 DNE131062 DXA131062 EGW131062 EQS131062 FAO131062 FKK131062 FUG131062 GEC131062 GNY131062 GXU131062 HHQ131062 HRM131062 IBI131062 ILE131062 IVA131062 JEW131062 JOS131062 JYO131062 KIK131062 KSG131062 LCC131062 LLY131062 LVU131062 MFQ131062 MPM131062 MZI131062 NJE131062 NTA131062 OCW131062 OMS131062 OWO131062 PGK131062 PQG131062 QAC131062 QJY131062 QTU131062 RDQ131062 RNM131062 RXI131062 SHE131062 SRA131062 TAW131062 TKS131062 TUO131062 UEK131062 UOG131062 UYC131062 VHY131062 VRU131062 WBQ131062 WLM131062 WVI131062 B196598 IW196598 SS196598 ACO196598 AMK196598 AWG196598 BGC196598 BPY196598 BZU196598 CJQ196598 CTM196598 DDI196598 DNE196598 DXA196598 EGW196598 EQS196598 FAO196598 FKK196598 FUG196598 GEC196598 GNY196598 GXU196598 HHQ196598 HRM196598 IBI196598 ILE196598 IVA196598 JEW196598 JOS196598 JYO196598 KIK196598 KSG196598 LCC196598 LLY196598 LVU196598 MFQ196598 MPM196598 MZI196598 NJE196598 NTA196598 OCW196598 OMS196598 OWO196598 PGK196598 PQG196598 QAC196598 QJY196598 QTU196598 RDQ196598 RNM196598 RXI196598 SHE196598 SRA196598 TAW196598 TKS196598 TUO196598 UEK196598 UOG196598 UYC196598 VHY196598 VRU196598 WBQ196598 WLM196598 WVI196598 B262134 IW262134 SS262134 ACO262134 AMK262134 AWG262134 BGC262134 BPY262134 BZU262134 CJQ262134 CTM262134 DDI262134 DNE262134 DXA262134 EGW262134 EQS262134 FAO262134 FKK262134 FUG262134 GEC262134 GNY262134 GXU262134 HHQ262134 HRM262134 IBI262134 ILE262134 IVA262134 JEW262134 JOS262134 JYO262134 KIK262134 KSG262134 LCC262134 LLY262134 LVU262134 MFQ262134 MPM262134 MZI262134 NJE262134 NTA262134 OCW262134 OMS262134 OWO262134 PGK262134 PQG262134 QAC262134 QJY262134 QTU262134 RDQ262134 RNM262134 RXI262134 SHE262134 SRA262134 TAW262134 TKS262134 TUO262134 UEK262134 UOG262134 UYC262134 VHY262134 VRU262134 WBQ262134 WLM262134 WVI262134 B327670 IW327670 SS327670 ACO327670 AMK327670 AWG327670 BGC327670 BPY327670 BZU327670 CJQ327670 CTM327670 DDI327670 DNE327670 DXA327670 EGW327670 EQS327670 FAO327670 FKK327670 FUG327670 GEC327670 GNY327670 GXU327670 HHQ327670 HRM327670 IBI327670 ILE327670 IVA327670 JEW327670 JOS327670 JYO327670 KIK327670 KSG327670 LCC327670 LLY327670 LVU327670 MFQ327670 MPM327670 MZI327670 NJE327670 NTA327670 OCW327670 OMS327670 OWO327670 PGK327670 PQG327670 QAC327670 QJY327670 QTU327670 RDQ327670 RNM327670 RXI327670 SHE327670 SRA327670 TAW327670 TKS327670 TUO327670 UEK327670 UOG327670 UYC327670 VHY327670 VRU327670 WBQ327670 WLM327670 WVI327670 B393206 IW393206 SS393206 ACO393206 AMK393206 AWG393206 BGC393206 BPY393206 BZU393206 CJQ393206 CTM393206 DDI393206 DNE393206 DXA393206 EGW393206 EQS393206 FAO393206 FKK393206 FUG393206 GEC393206 GNY393206 GXU393206 HHQ393206 HRM393206 IBI393206 ILE393206 IVA393206 JEW393206 JOS393206 JYO393206 KIK393206 KSG393206 LCC393206 LLY393206 LVU393206 MFQ393206 MPM393206 MZI393206 NJE393206 NTA393206 OCW393206 OMS393206 OWO393206 PGK393206 PQG393206 QAC393206 QJY393206 QTU393206 RDQ393206 RNM393206 RXI393206 SHE393206 SRA393206 TAW393206 TKS393206 TUO393206 UEK393206 UOG393206 UYC393206 VHY393206 VRU393206 WBQ393206 WLM393206 WVI393206 B458742 IW458742 SS458742 ACO458742 AMK458742 AWG458742 BGC458742 BPY458742 BZU458742 CJQ458742 CTM458742 DDI458742 DNE458742 DXA458742 EGW458742 EQS458742 FAO458742 FKK458742 FUG458742 GEC458742 GNY458742 GXU458742 HHQ458742 HRM458742 IBI458742 ILE458742 IVA458742 JEW458742 JOS458742 JYO458742 KIK458742 KSG458742 LCC458742 LLY458742 LVU458742 MFQ458742 MPM458742 MZI458742 NJE458742 NTA458742 OCW458742 OMS458742 OWO458742 PGK458742 PQG458742 QAC458742 QJY458742 QTU458742 RDQ458742 RNM458742 RXI458742 SHE458742 SRA458742 TAW458742 TKS458742 TUO458742 UEK458742 UOG458742 UYC458742 VHY458742 VRU458742 WBQ458742 WLM458742 WVI458742 B524278 IW524278 SS524278 ACO524278 AMK524278 AWG524278 BGC524278 BPY524278 BZU524278 CJQ524278 CTM524278 DDI524278 DNE524278 DXA524278 EGW524278 EQS524278 FAO524278 FKK524278 FUG524278 GEC524278 GNY524278 GXU524278 HHQ524278 HRM524278 IBI524278 ILE524278 IVA524278 JEW524278 JOS524278 JYO524278 KIK524278 KSG524278 LCC524278 LLY524278 LVU524278 MFQ524278 MPM524278 MZI524278 NJE524278 NTA524278 OCW524278 OMS524278 OWO524278 PGK524278 PQG524278 QAC524278 QJY524278 QTU524278 RDQ524278 RNM524278 RXI524278 SHE524278 SRA524278 TAW524278 TKS524278 TUO524278 UEK524278 UOG524278 UYC524278 VHY524278 VRU524278 WBQ524278 WLM524278 WVI524278 B589814 IW589814 SS589814 ACO589814 AMK589814 AWG589814 BGC589814 BPY589814 BZU589814 CJQ589814 CTM589814 DDI589814 DNE589814 DXA589814 EGW589814 EQS589814 FAO589814 FKK589814 FUG589814 GEC589814 GNY589814 GXU589814 HHQ589814 HRM589814 IBI589814 ILE589814 IVA589814 JEW589814 JOS589814 JYO589814 KIK589814 KSG589814 LCC589814 LLY589814 LVU589814 MFQ589814 MPM589814 MZI589814 NJE589814 NTA589814 OCW589814 OMS589814 OWO589814 PGK589814 PQG589814 QAC589814 QJY589814 QTU589814 RDQ589814 RNM589814 RXI589814 SHE589814 SRA589814 TAW589814 TKS589814 TUO589814 UEK589814 UOG589814 UYC589814 VHY589814 VRU589814 WBQ589814 WLM589814 WVI589814 B655350 IW655350 SS655350 ACO655350 AMK655350 AWG655350 BGC655350 BPY655350 BZU655350 CJQ655350 CTM655350 DDI655350 DNE655350 DXA655350 EGW655350 EQS655350 FAO655350 FKK655350 FUG655350 GEC655350 GNY655350 GXU655350 HHQ655350 HRM655350 IBI655350 ILE655350 IVA655350 JEW655350 JOS655350 JYO655350 KIK655350 KSG655350 LCC655350 LLY655350 LVU655350 MFQ655350 MPM655350 MZI655350 NJE655350 NTA655350 OCW655350 OMS655350 OWO655350 PGK655350 PQG655350 QAC655350 QJY655350 QTU655350 RDQ655350 RNM655350 RXI655350 SHE655350 SRA655350 TAW655350 TKS655350 TUO655350 UEK655350 UOG655350 UYC655350 VHY655350 VRU655350 WBQ655350 WLM655350 WVI655350 B720886 IW720886 SS720886 ACO720886 AMK720886 AWG720886 BGC720886 BPY720886 BZU720886 CJQ720886 CTM720886 DDI720886 DNE720886 DXA720886 EGW720886 EQS720886 FAO720886 FKK720886 FUG720886 GEC720886 GNY720886 GXU720886 HHQ720886 HRM720886 IBI720886 ILE720886 IVA720886 JEW720886 JOS720886 JYO720886 KIK720886 KSG720886 LCC720886 LLY720886 LVU720886 MFQ720886 MPM720886 MZI720886 NJE720886 NTA720886 OCW720886 OMS720886 OWO720886 PGK720886 PQG720886 QAC720886 QJY720886 QTU720886 RDQ720886 RNM720886 RXI720886 SHE720886 SRA720886 TAW720886 TKS720886 TUO720886 UEK720886 UOG720886 UYC720886 VHY720886 VRU720886 WBQ720886 WLM720886 WVI720886 B786422 IW786422 SS786422 ACO786422 AMK786422 AWG786422 BGC786422 BPY786422 BZU786422 CJQ786422 CTM786422 DDI786422 DNE786422 DXA786422 EGW786422 EQS786422 FAO786422 FKK786422 FUG786422 GEC786422 GNY786422 GXU786422 HHQ786422 HRM786422 IBI786422 ILE786422 IVA786422 JEW786422 JOS786422 JYO786422 KIK786422 KSG786422 LCC786422 LLY786422 LVU786422 MFQ786422 MPM786422 MZI786422 NJE786422 NTA786422 OCW786422 OMS786422 OWO786422 PGK786422 PQG786422 QAC786422 QJY786422 QTU786422 RDQ786422 RNM786422 RXI786422 SHE786422 SRA786422 TAW786422 TKS786422 TUO786422 UEK786422 UOG786422 UYC786422 VHY786422 VRU786422 WBQ786422 WLM786422 WVI786422 B851958 IW851958 SS851958 ACO851958 AMK851958 AWG851958 BGC851958 BPY851958 BZU851958 CJQ851958 CTM851958 DDI851958 DNE851958 DXA851958 EGW851958 EQS851958 FAO851958 FKK851958 FUG851958 GEC851958 GNY851958 GXU851958 HHQ851958 HRM851958 IBI851958 ILE851958 IVA851958 JEW851958 JOS851958 JYO851958 KIK851958 KSG851958 LCC851958 LLY851958 LVU851958 MFQ851958 MPM851958 MZI851958 NJE851958 NTA851958 OCW851958 OMS851958 OWO851958 PGK851958 PQG851958 QAC851958 QJY851958 QTU851958 RDQ851958 RNM851958 RXI851958 SHE851958 SRA851958 TAW851958 TKS851958 TUO851958 UEK851958 UOG851958 UYC851958 VHY851958 VRU851958 WBQ851958 WLM851958 WVI851958 B917494 IW917494 SS917494 ACO917494 AMK917494 AWG917494 BGC917494 BPY917494 BZU917494 CJQ917494 CTM917494 DDI917494 DNE917494 DXA917494 EGW917494 EQS917494 FAO917494 FKK917494 FUG917494 GEC917494 GNY917494 GXU917494 HHQ917494 HRM917494 IBI917494 ILE917494 IVA917494 JEW917494 JOS917494 JYO917494 KIK917494 KSG917494 LCC917494 LLY917494 LVU917494 MFQ917494 MPM917494 MZI917494 NJE917494 NTA917494 OCW917494 OMS917494 OWO917494 PGK917494 PQG917494 QAC917494 QJY917494 QTU917494 RDQ917494 RNM917494 RXI917494 SHE917494 SRA917494 TAW917494 TKS917494 TUO917494 UEK917494 UOG917494 UYC917494 VHY917494 VRU917494 WBQ917494 WLM917494 WVI917494 B983030 IW983030 SS983030 ACO983030 AMK983030 AWG983030 BGC983030 BPY983030 BZU983030 CJQ983030 CTM983030 DDI983030 DNE983030 DXA983030 EGW983030 EQS983030 FAO983030 FKK983030 FUG983030 GEC983030 GNY983030 GXU983030 HHQ983030 HRM983030 IBI983030 ILE983030 IVA983030 JEW983030 JOS983030 JYO983030 KIK983030 KSG983030 LCC983030 LLY983030 LVU983030 MFQ983030 MPM983030 MZI983030 NJE983030 NTA983030 OCW983030 OMS983030 OWO983030 PGK983030 PQG983030 QAC983030 QJY983030 QTU983030 RDQ983030 RNM983030 RXI983030 SHE983030 SRA983030 TAW983030 TKS983030 TUO983030 UEK983030 UOG983030 UYC983030 VHY983030 VRU983030 WBQ983030 WLM983030">
      <formula1>Demand</formula1>
    </dataValidation>
  </dataValidation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Impacts'!$A$12:$A$15</xm:f>
          </x14:formula1>
          <xm:sqref>B3</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1" tint="0.499984740745262"/>
    <pageSetUpPr fitToPage="1"/>
  </sheetPr>
  <dimension ref="A1:J48"/>
  <sheetViews>
    <sheetView tabSelected="1" view="pageBreakPreview" topLeftCell="A13"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118</v>
      </c>
      <c r="B1" s="188"/>
      <c r="C1" s="188"/>
      <c r="D1" s="188"/>
      <c r="E1" s="188"/>
      <c r="F1" s="188"/>
      <c r="G1" s="188"/>
      <c r="H1" s="188"/>
      <c r="I1" s="188"/>
      <c r="J1" s="189"/>
    </row>
    <row r="3" spans="1:10" x14ac:dyDescent="0.2">
      <c r="A3" s="13" t="s">
        <v>13</v>
      </c>
      <c r="B3" s="13" t="s">
        <v>12</v>
      </c>
    </row>
    <row r="4" spans="1:10" x14ac:dyDescent="0.2">
      <c r="A4" s="15" t="s">
        <v>62</v>
      </c>
      <c r="B4" s="15">
        <v>100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109.2</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100</v>
      </c>
      <c r="C12" s="103">
        <v>0.10299999999999999</v>
      </c>
      <c r="D12" s="104">
        <f>B12*C12</f>
        <v>10.299999999999999</v>
      </c>
      <c r="E12" s="102">
        <f>B12</f>
        <v>100</v>
      </c>
      <c r="F12" s="103">
        <f>C12</f>
        <v>0.10299999999999999</v>
      </c>
      <c r="G12" s="104">
        <f>E12*F12</f>
        <v>10.299999999999999</v>
      </c>
      <c r="H12" s="104">
        <f>G12-D12</f>
        <v>0</v>
      </c>
      <c r="I12" s="105">
        <f>IF(ISERROR(H12/D12),0,(H12/D12))</f>
        <v>0</v>
      </c>
      <c r="J12" s="124">
        <f t="shared" ref="J12:J28" si="0">G12/$G$37</f>
        <v>0.18657990215746303</v>
      </c>
    </row>
    <row r="13" spans="1:10" x14ac:dyDescent="0.2">
      <c r="A13" s="107" t="s">
        <v>32</v>
      </c>
      <c r="B13" s="73">
        <f>IF(B4&gt;B7,(B4)-B7,0)</f>
        <v>0</v>
      </c>
      <c r="C13" s="21">
        <v>0.121</v>
      </c>
      <c r="D13" s="22">
        <f>B13*C13</f>
        <v>0</v>
      </c>
      <c r="E13" s="73">
        <f t="shared" ref="E13" si="1">B13</f>
        <v>0</v>
      </c>
      <c r="F13" s="21">
        <f>C13</f>
        <v>0.121</v>
      </c>
      <c r="G13" s="22">
        <f>E13*F13</f>
        <v>0</v>
      </c>
      <c r="H13" s="22">
        <f t="shared" ref="H13:H37" si="2">G13-D13</f>
        <v>0</v>
      </c>
      <c r="I13" s="23">
        <f t="shared" ref="I13:I37" si="3">IF(ISERROR(H13/D13),0,(H13/D13))</f>
        <v>0</v>
      </c>
      <c r="J13" s="125">
        <f t="shared" si="0"/>
        <v>0</v>
      </c>
    </row>
    <row r="14" spans="1:10" s="1" customFormat="1" x14ac:dyDescent="0.2">
      <c r="A14" s="46" t="s">
        <v>33</v>
      </c>
      <c r="B14" s="24"/>
      <c r="C14" s="25"/>
      <c r="D14" s="25">
        <f>SUM(D12:D13)</f>
        <v>10.299999999999999</v>
      </c>
      <c r="E14" s="76"/>
      <c r="F14" s="25"/>
      <c r="G14" s="25">
        <f>SUM(G12:G13)</f>
        <v>10.299999999999999</v>
      </c>
      <c r="H14" s="25">
        <f t="shared" si="2"/>
        <v>0</v>
      </c>
      <c r="I14" s="27">
        <f t="shared" si="3"/>
        <v>0</v>
      </c>
      <c r="J14" s="47">
        <f t="shared" si="0"/>
        <v>0.18657990215746303</v>
      </c>
    </row>
    <row r="15" spans="1:10" x14ac:dyDescent="0.2">
      <c r="A15" s="107" t="s">
        <v>38</v>
      </c>
      <c r="B15" s="73">
        <v>1</v>
      </c>
      <c r="C15" s="78">
        <f>VLOOKUP($B$3,'Data for Bill Impacts'!$A$3:$Y$15,7,0)</f>
        <v>35.1</v>
      </c>
      <c r="D15" s="22">
        <f>B15*C15</f>
        <v>35.1</v>
      </c>
      <c r="E15" s="73">
        <f t="shared" ref="E15:E32" si="4">B15</f>
        <v>1</v>
      </c>
      <c r="F15" s="78">
        <f>VLOOKUP($B$3,'Data for Bill Impacts'!$A$3:$Y$15,17,0)</f>
        <v>35.76</v>
      </c>
      <c r="G15" s="22">
        <f>E15*F15</f>
        <v>35.76</v>
      </c>
      <c r="H15" s="22">
        <f t="shared" si="2"/>
        <v>0.65999999999999659</v>
      </c>
      <c r="I15" s="23">
        <f t="shared" si="3"/>
        <v>1.8803418803418705E-2</v>
      </c>
      <c r="J15" s="125">
        <f t="shared" si="0"/>
        <v>0.6477764370049397</v>
      </c>
    </row>
    <row r="16" spans="1:10" x14ac:dyDescent="0.2">
      <c r="A16" s="107" t="s">
        <v>85</v>
      </c>
      <c r="B16" s="73">
        <v>1</v>
      </c>
      <c r="C16" s="128">
        <f>VLOOKUP($B$3,'Data for Bill Impacts'!$A$3:$Y$15,13,0)</f>
        <v>-0.01</v>
      </c>
      <c r="D16" s="22">
        <f t="shared" ref="D16" si="5">B16*C16</f>
        <v>-0.01</v>
      </c>
      <c r="E16" s="73">
        <f t="shared" si="4"/>
        <v>1</v>
      </c>
      <c r="F16" s="128">
        <f>VLOOKUP($B$3,'Data for Bill Impacts'!$A$3:$Y$15,22,0)</f>
        <v>-0.01</v>
      </c>
      <c r="G16" s="22">
        <f t="shared" ref="G16" si="6">E16*F16</f>
        <v>-0.01</v>
      </c>
      <c r="H16" s="22">
        <f t="shared" si="2"/>
        <v>0</v>
      </c>
      <c r="I16" s="23">
        <f t="shared" si="3"/>
        <v>0</v>
      </c>
      <c r="J16" s="125">
        <f t="shared" si="0"/>
        <v>-1.8114553607520686E-4</v>
      </c>
    </row>
    <row r="17" spans="1:10" x14ac:dyDescent="0.2">
      <c r="A17" s="107" t="s">
        <v>39</v>
      </c>
      <c r="B17" s="73">
        <f>IF($B$9="kWh",$B$4,$B$5)</f>
        <v>100</v>
      </c>
      <c r="C17" s="78">
        <f>VLOOKUP($B$3,'Data for Bill Impacts'!$A$3:$Y$15,10,0)</f>
        <v>2.87E-2</v>
      </c>
      <c r="D17" s="22">
        <f>B17*C17</f>
        <v>2.87</v>
      </c>
      <c r="E17" s="73">
        <f t="shared" si="4"/>
        <v>100</v>
      </c>
      <c r="F17" s="78">
        <f>VLOOKUP($B$3,'Data for Bill Impacts'!$A$3:$Y$15,19,0)</f>
        <v>2.93E-2</v>
      </c>
      <c r="G17" s="22">
        <f>E17*F17</f>
        <v>2.93</v>
      </c>
      <c r="H17" s="22">
        <f t="shared" si="2"/>
        <v>6.0000000000000053E-2</v>
      </c>
      <c r="I17" s="23">
        <f t="shared" si="3"/>
        <v>2.0905923344947754E-2</v>
      </c>
      <c r="J17" s="125">
        <f t="shared" si="0"/>
        <v>5.3075642070035609E-2</v>
      </c>
    </row>
    <row r="18" spans="1:10" s="1" customFormat="1" x14ac:dyDescent="0.2">
      <c r="A18" s="107" t="s">
        <v>122</v>
      </c>
      <c r="B18" s="73">
        <f>IF($B$9="kWh",$B$4,$B$5)</f>
        <v>100</v>
      </c>
      <c r="C18" s="126">
        <f>VLOOKUP($B$3,'Data for Bill Impacts'!$A$3:$Y$15,14,0)</f>
        <v>2.0000000000000001E-4</v>
      </c>
      <c r="D18" s="22">
        <f>B18*C18</f>
        <v>0.02</v>
      </c>
      <c r="E18" s="73">
        <f>B18</f>
        <v>100</v>
      </c>
      <c r="F18" s="126">
        <f>VLOOKUP($B$3,'Data for Bill Impacts'!$A$3:$Y$15,23,0)</f>
        <v>2.0000000000000001E-4</v>
      </c>
      <c r="G18" s="22">
        <f>E18*F18</f>
        <v>0.02</v>
      </c>
      <c r="H18" s="22">
        <f>G18-D18</f>
        <v>0</v>
      </c>
      <c r="I18" s="23">
        <f>IF(ISERROR(H18/D18),0,(H18/D18))</f>
        <v>0</v>
      </c>
      <c r="J18" s="125">
        <f t="shared" si="0"/>
        <v>3.6229107215041373E-4</v>
      </c>
    </row>
    <row r="19" spans="1:10" hidden="1" x14ac:dyDescent="0.2">
      <c r="A19" s="107" t="s">
        <v>108</v>
      </c>
      <c r="B19" s="73">
        <f>B8</f>
        <v>109.2</v>
      </c>
      <c r="C19" s="78">
        <v>0</v>
      </c>
      <c r="D19" s="22">
        <f>B19*C19</f>
        <v>0</v>
      </c>
      <c r="E19" s="73">
        <f t="shared" si="4"/>
        <v>109.2</v>
      </c>
      <c r="F19" s="78">
        <v>0</v>
      </c>
      <c r="G19" s="22">
        <f>E19*F19</f>
        <v>0</v>
      </c>
      <c r="H19" s="22">
        <f t="shared" si="2"/>
        <v>0</v>
      </c>
      <c r="I19" s="23">
        <f>IF(ISERROR(H19/D19),0,(H19/D19))</f>
        <v>0</v>
      </c>
      <c r="J19" s="125">
        <f t="shared" si="0"/>
        <v>0</v>
      </c>
    </row>
    <row r="20" spans="1:10" x14ac:dyDescent="0.2">
      <c r="A20" s="110" t="s">
        <v>72</v>
      </c>
      <c r="B20" s="74"/>
      <c r="C20" s="35"/>
      <c r="D20" s="35">
        <f>SUM(D15:D19)</f>
        <v>37.980000000000004</v>
      </c>
      <c r="E20" s="73"/>
      <c r="F20" s="35"/>
      <c r="G20" s="35">
        <f>SUM(G15:G19)</f>
        <v>38.700000000000003</v>
      </c>
      <c r="H20" s="35">
        <f t="shared" si="2"/>
        <v>0.71999999999999886</v>
      </c>
      <c r="I20" s="36">
        <f t="shared" si="3"/>
        <v>1.8957345971563948E-2</v>
      </c>
      <c r="J20" s="111">
        <f t="shared" si="0"/>
        <v>0.70103322461105055</v>
      </c>
    </row>
    <row r="21" spans="1:10" s="1" customFormat="1" x14ac:dyDescent="0.2">
      <c r="A21" s="119" t="s">
        <v>81</v>
      </c>
      <c r="B21" s="120">
        <f>B8-B4</f>
        <v>9.2000000000000028</v>
      </c>
      <c r="C21" s="121">
        <f>IF(B4&gt;B7,C13,C12)</f>
        <v>0.10299999999999999</v>
      </c>
      <c r="D21" s="22">
        <f>B21*C21</f>
        <v>0.94760000000000022</v>
      </c>
      <c r="E21" s="73">
        <f>B21</f>
        <v>9.2000000000000028</v>
      </c>
      <c r="F21" s="121">
        <f>C21</f>
        <v>0.10299999999999999</v>
      </c>
      <c r="G21" s="22">
        <f>E21*F21</f>
        <v>0.94760000000000022</v>
      </c>
      <c r="H21" s="22">
        <f t="shared" si="2"/>
        <v>0</v>
      </c>
      <c r="I21" s="23">
        <f>IF(ISERROR(H21/D21),0,(H21/D21))</f>
        <v>0</v>
      </c>
      <c r="J21" s="125">
        <f t="shared" si="0"/>
        <v>1.7165350998486605E-2</v>
      </c>
    </row>
    <row r="22" spans="1:10" x14ac:dyDescent="0.2">
      <c r="A22" s="110" t="s">
        <v>79</v>
      </c>
      <c r="B22" s="74"/>
      <c r="C22" s="35"/>
      <c r="D22" s="35">
        <f>SUM(D20,D21:D21)</f>
        <v>38.927600000000005</v>
      </c>
      <c r="E22" s="73"/>
      <c r="F22" s="35"/>
      <c r="G22" s="35">
        <f>SUM(G20,G21:G21)</f>
        <v>39.647600000000004</v>
      </c>
      <c r="H22" s="35">
        <f t="shared" si="2"/>
        <v>0.71999999999999886</v>
      </c>
      <c r="I22" s="36">
        <f>IF(ISERROR(H22/D22),0,(H22/D22))</f>
        <v>1.8495874392461871E-2</v>
      </c>
      <c r="J22" s="111">
        <f t="shared" si="0"/>
        <v>0.71819857560953715</v>
      </c>
    </row>
    <row r="23" spans="1:10" x14ac:dyDescent="0.2">
      <c r="A23" s="107" t="s">
        <v>40</v>
      </c>
      <c r="B23" s="73">
        <f>B8</f>
        <v>109.2</v>
      </c>
      <c r="C23" s="78">
        <f>VLOOKUP($B$3,'Data for Bill Impacts'!$A$3:$Y$15,15,0)</f>
        <v>4.7699999999999999E-3</v>
      </c>
      <c r="D23" s="22">
        <f>B23*C23</f>
        <v>0.52088400000000001</v>
      </c>
      <c r="E23" s="73">
        <f t="shared" si="4"/>
        <v>109.2</v>
      </c>
      <c r="F23" s="126">
        <f>VLOOKUP($B$3,'Data for Bill Impacts'!$A$3:$Y$15,24,0)</f>
        <v>4.7699999999999999E-3</v>
      </c>
      <c r="G23" s="22">
        <f>E23*F23</f>
        <v>0.52088400000000001</v>
      </c>
      <c r="H23" s="22">
        <f t="shared" si="2"/>
        <v>0</v>
      </c>
      <c r="I23" s="23">
        <f t="shared" si="3"/>
        <v>0</v>
      </c>
      <c r="J23" s="125">
        <f t="shared" si="0"/>
        <v>9.4355811412998054E-3</v>
      </c>
    </row>
    <row r="24" spans="1:10" s="1" customFormat="1" x14ac:dyDescent="0.2">
      <c r="A24" s="107" t="s">
        <v>41</v>
      </c>
      <c r="B24" s="73">
        <f>B8</f>
        <v>109.2</v>
      </c>
      <c r="C24" s="78">
        <f>VLOOKUP($B$3,'Data for Bill Impacts'!$A$3:$Y$15,16,0)</f>
        <v>3.7950000000000002E-3</v>
      </c>
      <c r="D24" s="22">
        <f>B24*C24</f>
        <v>0.414414</v>
      </c>
      <c r="E24" s="73">
        <f t="shared" si="4"/>
        <v>109.2</v>
      </c>
      <c r="F24" s="126">
        <f>VLOOKUP($B$3,'Data for Bill Impacts'!$A$3:$Y$15,25,0)</f>
        <v>3.7950000000000002E-3</v>
      </c>
      <c r="G24" s="22">
        <f>E24*F24</f>
        <v>0.414414</v>
      </c>
      <c r="H24" s="22">
        <f t="shared" si="2"/>
        <v>0</v>
      </c>
      <c r="I24" s="23">
        <f t="shared" si="3"/>
        <v>0</v>
      </c>
      <c r="J24" s="125">
        <f t="shared" si="0"/>
        <v>7.5069246187070776E-3</v>
      </c>
    </row>
    <row r="25" spans="1:10" s="1" customFormat="1" x14ac:dyDescent="0.2">
      <c r="A25" s="110" t="s">
        <v>76</v>
      </c>
      <c r="B25" s="74"/>
      <c r="C25" s="35"/>
      <c r="D25" s="35">
        <f>SUM(D23:D24)</f>
        <v>0.93529799999999996</v>
      </c>
      <c r="E25" s="73"/>
      <c r="F25" s="35"/>
      <c r="G25" s="35">
        <f>SUM(G23:G24)</f>
        <v>0.93529799999999996</v>
      </c>
      <c r="H25" s="35">
        <f t="shared" si="2"/>
        <v>0</v>
      </c>
      <c r="I25" s="36">
        <f t="shared" si="3"/>
        <v>0</v>
      </c>
      <c r="J25" s="111">
        <f t="shared" si="0"/>
        <v>1.694250576000688E-2</v>
      </c>
    </row>
    <row r="26" spans="1:10" s="1" customFormat="1" x14ac:dyDescent="0.2">
      <c r="A26" s="110" t="s">
        <v>80</v>
      </c>
      <c r="B26" s="74"/>
      <c r="C26" s="35"/>
      <c r="D26" s="35">
        <f>D22+D25</f>
        <v>39.862898000000008</v>
      </c>
      <c r="E26" s="73"/>
      <c r="F26" s="35"/>
      <c r="G26" s="35">
        <f>G22+G25</f>
        <v>40.582898000000007</v>
      </c>
      <c r="H26" s="35">
        <f t="shared" si="2"/>
        <v>0.71999999999999886</v>
      </c>
      <c r="I26" s="36">
        <f t="shared" si="3"/>
        <v>1.806190809308442E-2</v>
      </c>
      <c r="J26" s="111">
        <f t="shared" si="0"/>
        <v>0.73514108136954415</v>
      </c>
    </row>
    <row r="27" spans="1:10" x14ac:dyDescent="0.2">
      <c r="A27" s="107" t="s">
        <v>42</v>
      </c>
      <c r="B27" s="73">
        <f>B8</f>
        <v>109.2</v>
      </c>
      <c r="C27" s="34">
        <v>3.5999999999999999E-3</v>
      </c>
      <c r="D27" s="22">
        <f>B27*C27</f>
        <v>0.39312000000000002</v>
      </c>
      <c r="E27" s="73">
        <f t="shared" si="4"/>
        <v>109.2</v>
      </c>
      <c r="F27" s="34">
        <v>3.5999999999999999E-3</v>
      </c>
      <c r="G27" s="22">
        <f>E27*F27</f>
        <v>0.39312000000000002</v>
      </c>
      <c r="H27" s="22">
        <f t="shared" si="2"/>
        <v>0</v>
      </c>
      <c r="I27" s="23">
        <f t="shared" si="3"/>
        <v>0</v>
      </c>
      <c r="J27" s="125">
        <f t="shared" si="0"/>
        <v>7.1211933141885324E-3</v>
      </c>
    </row>
    <row r="28" spans="1:10" s="1" customFormat="1" x14ac:dyDescent="0.2">
      <c r="A28" s="107" t="s">
        <v>43</v>
      </c>
      <c r="B28" s="73">
        <f>B8</f>
        <v>109.2</v>
      </c>
      <c r="C28" s="34">
        <v>2.0999999999999999E-3</v>
      </c>
      <c r="D28" s="22">
        <f>B28*C28</f>
        <v>0.22932</v>
      </c>
      <c r="E28" s="73">
        <f t="shared" si="4"/>
        <v>109.2</v>
      </c>
      <c r="F28" s="34">
        <v>2.0999999999999999E-3</v>
      </c>
      <c r="G28" s="22">
        <f>E28*F28</f>
        <v>0.22932</v>
      </c>
      <c r="H28" s="22">
        <f>G28-D28</f>
        <v>0</v>
      </c>
      <c r="I28" s="23">
        <f t="shared" si="3"/>
        <v>0</v>
      </c>
      <c r="J28" s="125">
        <f t="shared" si="0"/>
        <v>4.1540294332766438E-3</v>
      </c>
    </row>
    <row r="29" spans="1:10" s="1" customFormat="1" x14ac:dyDescent="0.2">
      <c r="A29" s="107" t="s">
        <v>96</v>
      </c>
      <c r="B29" s="73">
        <f>B8</f>
        <v>109.2</v>
      </c>
      <c r="C29" s="34">
        <v>1.1000000000000001E-3</v>
      </c>
      <c r="D29" s="22">
        <f>B29*C29</f>
        <v>0.12012</v>
      </c>
      <c r="E29" s="73">
        <f t="shared" si="4"/>
        <v>109.2</v>
      </c>
      <c r="F29" s="34">
        <v>1.1000000000000001E-3</v>
      </c>
      <c r="G29" s="22">
        <f>E29*F29</f>
        <v>0.12012</v>
      </c>
      <c r="H29" s="22">
        <f>G29-D29</f>
        <v>0</v>
      </c>
      <c r="I29" s="23">
        <f t="shared" ref="I29" si="7">IF(ISERROR(H29/D29),0,(H29/D29))</f>
        <v>0</v>
      </c>
      <c r="J29" s="125">
        <f t="shared" ref="J29" si="8">G29/$G$37</f>
        <v>2.1759201793353847E-3</v>
      </c>
    </row>
    <row r="30" spans="1:10" x14ac:dyDescent="0.2">
      <c r="A30" s="107" t="s">
        <v>44</v>
      </c>
      <c r="B30" s="73">
        <v>1</v>
      </c>
      <c r="C30" s="22">
        <v>0.25</v>
      </c>
      <c r="D30" s="22">
        <f>B30*C30</f>
        <v>0.25</v>
      </c>
      <c r="E30" s="73">
        <f t="shared" si="4"/>
        <v>1</v>
      </c>
      <c r="F30" s="22">
        <f>C30</f>
        <v>0.25</v>
      </c>
      <c r="G30" s="22">
        <f>E30*F30</f>
        <v>0.25</v>
      </c>
      <c r="H30" s="22">
        <f t="shared" si="2"/>
        <v>0</v>
      </c>
      <c r="I30" s="23">
        <f t="shared" si="3"/>
        <v>0</v>
      </c>
      <c r="J30" s="125">
        <f t="shared" ref="J30:J37" si="9">G30/$G$37</f>
        <v>4.5286384018801713E-3</v>
      </c>
    </row>
    <row r="31" spans="1:10" s="1" customFormat="1" x14ac:dyDescent="0.2">
      <c r="A31" s="110" t="s">
        <v>45</v>
      </c>
      <c r="B31" s="74"/>
      <c r="C31" s="35"/>
      <c r="D31" s="35">
        <f>SUM(D27:D30)</f>
        <v>0.99256</v>
      </c>
      <c r="E31" s="73"/>
      <c r="F31" s="35"/>
      <c r="G31" s="35">
        <f>SUM(G27:G30)</f>
        <v>0.99256</v>
      </c>
      <c r="H31" s="35">
        <f t="shared" si="2"/>
        <v>0</v>
      </c>
      <c r="I31" s="36">
        <f t="shared" si="3"/>
        <v>0</v>
      </c>
      <c r="J31" s="111">
        <f t="shared" si="9"/>
        <v>1.7979781328680732E-2</v>
      </c>
    </row>
    <row r="32" spans="1:10" ht="13.5" thickBot="1" x14ac:dyDescent="0.25">
      <c r="A32" s="112" t="s">
        <v>46</v>
      </c>
      <c r="B32" s="113">
        <f>B4</f>
        <v>100</v>
      </c>
      <c r="C32" s="114">
        <v>7.0000000000000001E-3</v>
      </c>
      <c r="D32" s="115">
        <f>B32*C32</f>
        <v>0.70000000000000007</v>
      </c>
      <c r="E32" s="116">
        <f t="shared" si="4"/>
        <v>100</v>
      </c>
      <c r="F32" s="114">
        <f>C32</f>
        <v>7.0000000000000001E-3</v>
      </c>
      <c r="G32" s="115">
        <f>E32*F32</f>
        <v>0.70000000000000007</v>
      </c>
      <c r="H32" s="115">
        <f t="shared" si="2"/>
        <v>0</v>
      </c>
      <c r="I32" s="117">
        <f t="shared" si="3"/>
        <v>0</v>
      </c>
      <c r="J32" s="118">
        <f t="shared" si="9"/>
        <v>1.268018752526448E-2</v>
      </c>
    </row>
    <row r="33" spans="1:10" x14ac:dyDescent="0.2">
      <c r="A33" s="37" t="s">
        <v>111</v>
      </c>
      <c r="B33" s="38"/>
      <c r="C33" s="39"/>
      <c r="D33" s="39">
        <f>SUM(D14,D22,D25,D31,D32)</f>
        <v>51.855458000000006</v>
      </c>
      <c r="E33" s="38"/>
      <c r="F33" s="39"/>
      <c r="G33" s="39">
        <f>SUM(G14,G22,G25,G31,G32)</f>
        <v>52.575458000000005</v>
      </c>
      <c r="H33" s="39">
        <f t="shared" si="2"/>
        <v>0.71999999999999886</v>
      </c>
      <c r="I33" s="40">
        <f>IF(ISERROR(H33/D33),0,(H33/D33))</f>
        <v>1.3884748641116983E-2</v>
      </c>
      <c r="J33" s="41">
        <f t="shared" si="9"/>
        <v>0.95238095238095233</v>
      </c>
    </row>
    <row r="34" spans="1:10" x14ac:dyDescent="0.2">
      <c r="A34" s="46" t="s">
        <v>102</v>
      </c>
      <c r="B34" s="43"/>
      <c r="C34" s="26">
        <v>0.13</v>
      </c>
      <c r="D34" s="26">
        <f>D33*C34</f>
        <v>6.7412095400000007</v>
      </c>
      <c r="E34" s="26"/>
      <c r="F34" s="26">
        <f>C34</f>
        <v>0.13</v>
      </c>
      <c r="G34" s="26">
        <f>G33*F34</f>
        <v>6.8348095400000011</v>
      </c>
      <c r="H34" s="26">
        <f t="shared" si="2"/>
        <v>9.360000000000035E-2</v>
      </c>
      <c r="I34" s="44">
        <f t="shared" si="3"/>
        <v>1.3884748641117058E-2</v>
      </c>
      <c r="J34" s="45">
        <f t="shared" si="9"/>
        <v>0.12380952380952381</v>
      </c>
    </row>
    <row r="35" spans="1:10" x14ac:dyDescent="0.2">
      <c r="A35" s="46" t="s">
        <v>103</v>
      </c>
      <c r="B35" s="24"/>
      <c r="C35" s="25"/>
      <c r="D35" s="25">
        <f>SUM(D33:D34)</f>
        <v>58.596667540000006</v>
      </c>
      <c r="E35" s="25"/>
      <c r="F35" s="25"/>
      <c r="G35" s="25">
        <f>SUM(G33:G34)</f>
        <v>59.410267540000007</v>
      </c>
      <c r="H35" s="25">
        <f t="shared" si="2"/>
        <v>0.81360000000000099</v>
      </c>
      <c r="I35" s="27">
        <f t="shared" si="3"/>
        <v>1.3884748641117021E-2</v>
      </c>
      <c r="J35" s="47">
        <f t="shared" si="9"/>
        <v>1.0761904761904761</v>
      </c>
    </row>
    <row r="36" spans="1:10" x14ac:dyDescent="0.2">
      <c r="A36" s="46" t="s">
        <v>104</v>
      </c>
      <c r="B36" s="43"/>
      <c r="C36" s="26">
        <v>-0.08</v>
      </c>
      <c r="D36" s="26">
        <f>D33*C36</f>
        <v>-4.1484366400000008</v>
      </c>
      <c r="E36" s="26"/>
      <c r="F36" s="26">
        <f>C36</f>
        <v>-0.08</v>
      </c>
      <c r="G36" s="26">
        <f>G33*F36</f>
        <v>-4.2060366400000007</v>
      </c>
      <c r="H36" s="26">
        <f t="shared" si="2"/>
        <v>-5.7599999999999874E-2</v>
      </c>
      <c r="I36" s="44">
        <f t="shared" si="3"/>
        <v>1.3884748641116973E-2</v>
      </c>
      <c r="J36" s="45">
        <f t="shared" si="9"/>
        <v>-7.6190476190476197E-2</v>
      </c>
    </row>
    <row r="37" spans="1:10" ht="13.5" thickBot="1" x14ac:dyDescent="0.25">
      <c r="A37" s="46" t="s">
        <v>105</v>
      </c>
      <c r="B37" s="49"/>
      <c r="C37" s="50"/>
      <c r="D37" s="50">
        <f>SUM(D35:D36)</f>
        <v>54.448230900000006</v>
      </c>
      <c r="E37" s="50"/>
      <c r="F37" s="50"/>
      <c r="G37" s="50">
        <f>SUM(G35:G36)</f>
        <v>55.204230900000006</v>
      </c>
      <c r="H37" s="50">
        <f t="shared" si="2"/>
        <v>0.75600000000000023</v>
      </c>
      <c r="I37" s="51">
        <f t="shared" si="3"/>
        <v>1.3884748641117009E-2</v>
      </c>
      <c r="J37" s="52">
        <f t="shared" si="9"/>
        <v>1</v>
      </c>
    </row>
    <row r="38" spans="1:10" x14ac:dyDescent="0.2">
      <c r="A38" s="171"/>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1" tint="0.499984740745262"/>
    <pageSetUpPr fitToPage="1"/>
  </sheetPr>
  <dimension ref="A1:K68"/>
  <sheetViews>
    <sheetView tabSelected="1" topLeftCell="A9" zoomScaleNormal="100" zoomScaleSheetLayoutView="100" workbookViewId="0">
      <selection activeCell="E1" sqref="E1:E1048576"/>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119</v>
      </c>
      <c r="B1" s="188"/>
      <c r="C1" s="188"/>
      <c r="D1" s="188"/>
      <c r="E1" s="188"/>
      <c r="F1" s="188"/>
      <c r="G1" s="188"/>
      <c r="H1" s="188"/>
      <c r="I1" s="188"/>
      <c r="J1" s="188"/>
      <c r="K1" s="189"/>
    </row>
    <row r="3" spans="1:11" x14ac:dyDescent="0.2">
      <c r="A3" s="13" t="s">
        <v>13</v>
      </c>
      <c r="B3" s="13" t="s">
        <v>0</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69">
        <f>B4*B6</f>
        <v>792.75</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0.42697187533821751</v>
      </c>
      <c r="K12" s="106"/>
    </row>
    <row r="13" spans="1:11" x14ac:dyDescent="0.2">
      <c r="A13" s="107" t="s">
        <v>32</v>
      </c>
      <c r="B13" s="73">
        <f>IF(B4&gt;B7,(B4)-B7,0)</f>
        <v>150</v>
      </c>
      <c r="C13" s="21">
        <v>0.121</v>
      </c>
      <c r="D13" s="22">
        <f>B13*C13</f>
        <v>18.149999999999999</v>
      </c>
      <c r="E13" s="73">
        <f t="shared" ref="E13" si="0">B13</f>
        <v>150</v>
      </c>
      <c r="F13" s="21">
        <f>C13</f>
        <v>0.121</v>
      </c>
      <c r="G13" s="22">
        <f>E13*F13</f>
        <v>18.149999999999999</v>
      </c>
      <c r="H13" s="22">
        <f t="shared" ref="H13:H46" si="1">G13-D13</f>
        <v>0</v>
      </c>
      <c r="I13" s="23">
        <f t="shared" ref="I13:I46" si="2">IF(ISERROR(H13/D13),0,(H13/D13))</f>
        <v>0</v>
      </c>
      <c r="J13" s="23">
        <f>G13/$G$46</f>
        <v>0.12539707989302018</v>
      </c>
      <c r="K13" s="108"/>
    </row>
    <row r="14" spans="1:11" s="1" customFormat="1" x14ac:dyDescent="0.2">
      <c r="A14" s="46" t="s">
        <v>33</v>
      </c>
      <c r="B14" s="24"/>
      <c r="C14" s="25"/>
      <c r="D14" s="25">
        <f>SUM(D12:D13)</f>
        <v>79.949999999999989</v>
      </c>
      <c r="E14" s="76"/>
      <c r="F14" s="25"/>
      <c r="G14" s="25">
        <f>SUM(G12:G13)</f>
        <v>79.949999999999989</v>
      </c>
      <c r="H14" s="25">
        <f t="shared" si="1"/>
        <v>0</v>
      </c>
      <c r="I14" s="27">
        <f t="shared" si="2"/>
        <v>0</v>
      </c>
      <c r="J14" s="27">
        <f>G14/$G$46</f>
        <v>0.55236895523123763</v>
      </c>
      <c r="K14" s="108"/>
    </row>
    <row r="15" spans="1:11" s="1" customFormat="1" x14ac:dyDescent="0.2">
      <c r="A15" s="109" t="s">
        <v>34</v>
      </c>
      <c r="B15" s="75">
        <f>B4*0.65</f>
        <v>487.5</v>
      </c>
      <c r="C15" s="28">
        <v>8.6999999999999994E-2</v>
      </c>
      <c r="D15" s="22">
        <f>B15*C15</f>
        <v>42.412499999999994</v>
      </c>
      <c r="E15" s="73">
        <f t="shared" ref="E15:F17" si="3">B15</f>
        <v>487.5</v>
      </c>
      <c r="F15" s="28">
        <f t="shared" si="3"/>
        <v>8.6999999999999994E-2</v>
      </c>
      <c r="G15" s="22">
        <f>E15*F15</f>
        <v>42.412499999999994</v>
      </c>
      <c r="H15" s="22">
        <f t="shared" si="1"/>
        <v>0</v>
      </c>
      <c r="I15" s="23">
        <f t="shared" si="2"/>
        <v>0</v>
      </c>
      <c r="J15" s="23"/>
      <c r="K15" s="108">
        <f t="shared" ref="K15:K26" si="4">G15/$G$51</f>
        <v>0.28641425277224025</v>
      </c>
    </row>
    <row r="16" spans="1:11" s="1" customFormat="1" x14ac:dyDescent="0.2">
      <c r="A16" s="109" t="s">
        <v>35</v>
      </c>
      <c r="B16" s="75">
        <f>B4*0.17</f>
        <v>127.50000000000001</v>
      </c>
      <c r="C16" s="28">
        <v>0.13200000000000001</v>
      </c>
      <c r="D16" s="22">
        <f>B16*C16</f>
        <v>16.830000000000002</v>
      </c>
      <c r="E16" s="73">
        <f t="shared" si="3"/>
        <v>127.50000000000001</v>
      </c>
      <c r="F16" s="28">
        <f t="shared" si="3"/>
        <v>0.13200000000000001</v>
      </c>
      <c r="G16" s="22">
        <f>E16*F16</f>
        <v>16.830000000000002</v>
      </c>
      <c r="H16" s="22">
        <f t="shared" si="1"/>
        <v>0</v>
      </c>
      <c r="I16" s="23">
        <f t="shared" si="2"/>
        <v>0</v>
      </c>
      <c r="J16" s="23"/>
      <c r="K16" s="108">
        <f t="shared" si="4"/>
        <v>0.11365403770484656</v>
      </c>
    </row>
    <row r="17" spans="1:11" s="1" customFormat="1" x14ac:dyDescent="0.2">
      <c r="A17" s="109" t="s">
        <v>36</v>
      </c>
      <c r="B17" s="75">
        <f>B4*0.18</f>
        <v>135</v>
      </c>
      <c r="C17" s="28">
        <v>0.18</v>
      </c>
      <c r="D17" s="22">
        <f>B17*C17</f>
        <v>24.3</v>
      </c>
      <c r="E17" s="73">
        <f t="shared" si="3"/>
        <v>135</v>
      </c>
      <c r="F17" s="28">
        <f t="shared" si="3"/>
        <v>0.18</v>
      </c>
      <c r="G17" s="22">
        <f>E17*F17</f>
        <v>24.3</v>
      </c>
      <c r="H17" s="22">
        <f t="shared" si="1"/>
        <v>0</v>
      </c>
      <c r="I17" s="23">
        <f t="shared" si="2"/>
        <v>0</v>
      </c>
      <c r="J17" s="23"/>
      <c r="K17" s="108">
        <f t="shared" si="4"/>
        <v>0.16409941272892281</v>
      </c>
    </row>
    <row r="18" spans="1:11" s="1" customFormat="1" x14ac:dyDescent="0.2">
      <c r="A18" s="61" t="s">
        <v>37</v>
      </c>
      <c r="B18" s="29"/>
      <c r="C18" s="30"/>
      <c r="D18" s="30">
        <f>SUM(D15:D17)</f>
        <v>83.54249999999999</v>
      </c>
      <c r="E18" s="77"/>
      <c r="F18" s="30"/>
      <c r="G18" s="30">
        <f>SUM(G15:G17)</f>
        <v>83.54249999999999</v>
      </c>
      <c r="H18" s="31">
        <f t="shared" si="1"/>
        <v>0</v>
      </c>
      <c r="I18" s="32">
        <f t="shared" si="2"/>
        <v>0</v>
      </c>
      <c r="J18" s="33">
        <f t="shared" ref="J18:J26" si="5">G18/$G$46</f>
        <v>0.57718928633402966</v>
      </c>
      <c r="K18" s="62">
        <f t="shared" si="4"/>
        <v>0.56416770320600951</v>
      </c>
    </row>
    <row r="19" spans="1:11" x14ac:dyDescent="0.2">
      <c r="A19" s="107" t="s">
        <v>38</v>
      </c>
      <c r="B19" s="73">
        <v>1</v>
      </c>
      <c r="C19" s="78">
        <f>VLOOKUP($B$3,'Data for Bill Impacts'!$A$3:$Y$15,7,0)</f>
        <v>27.76</v>
      </c>
      <c r="D19" s="22">
        <f>B19*C19</f>
        <v>27.76</v>
      </c>
      <c r="E19" s="73">
        <f t="shared" ref="E19:E41" si="6">B19</f>
        <v>1</v>
      </c>
      <c r="F19" s="78">
        <f>VLOOKUP($B$3,'Data for Bill Impacts'!$A$3:$Y$15,17,0)</f>
        <v>31.3</v>
      </c>
      <c r="G19" s="22">
        <f>E19*F19</f>
        <v>31.3</v>
      </c>
      <c r="H19" s="22">
        <f t="shared" si="1"/>
        <v>3.5399999999999991</v>
      </c>
      <c r="I19" s="23">
        <f t="shared" si="2"/>
        <v>0.12752161383285299</v>
      </c>
      <c r="J19" s="23">
        <f t="shared" si="5"/>
        <v>0.21624950967777037</v>
      </c>
      <c r="K19" s="108">
        <f t="shared" si="4"/>
        <v>0.21137084849445614</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G22/$G$46</f>
        <v>6.9089300216540052E-5</v>
      </c>
      <c r="K22" s="108">
        <f t="shared" si="4"/>
        <v>6.7530622522190452E-5</v>
      </c>
    </row>
    <row r="23" spans="1:11" x14ac:dyDescent="0.2">
      <c r="A23" s="107" t="s">
        <v>39</v>
      </c>
      <c r="B23" s="73">
        <f>IF($B$9="kWh",$B$4,$B$5)</f>
        <v>750</v>
      </c>
      <c r="C23" s="78">
        <f>VLOOKUP($B$3,'Data for Bill Impacts'!$A$3:$Y$15,10,0)</f>
        <v>7.9000000000000008E-3</v>
      </c>
      <c r="D23" s="22">
        <f>B23*C23</f>
        <v>5.9250000000000007</v>
      </c>
      <c r="E23" s="73">
        <f t="shared" si="6"/>
        <v>750</v>
      </c>
      <c r="F23" s="78">
        <f>VLOOKUP($B$3,'Data for Bill Impacts'!$A$3:$Y$15,19,0)</f>
        <v>4.7000000000000002E-3</v>
      </c>
      <c r="G23" s="22">
        <f>E23*F23</f>
        <v>3.5250000000000004</v>
      </c>
      <c r="H23" s="22">
        <f t="shared" si="1"/>
        <v>-2.4000000000000004</v>
      </c>
      <c r="I23" s="23">
        <f t="shared" si="2"/>
        <v>-0.4050632911392405</v>
      </c>
      <c r="J23" s="23">
        <f t="shared" si="5"/>
        <v>2.4353978326330371E-2</v>
      </c>
      <c r="K23" s="108">
        <f t="shared" si="4"/>
        <v>2.3804544439072137E-2</v>
      </c>
    </row>
    <row r="24" spans="1:11" x14ac:dyDescent="0.2">
      <c r="A24" s="107" t="s">
        <v>122</v>
      </c>
      <c r="B24" s="73">
        <f>IF($B$9="kWh",$B$4,$B$5)</f>
        <v>750</v>
      </c>
      <c r="C24" s="126">
        <f>VLOOKUP($B$3,'Data for Bill Impacts'!$A$3:$Y$15,14,0)</f>
        <v>2.0000000000000001E-4</v>
      </c>
      <c r="D24" s="22">
        <f>B24*C24</f>
        <v>0.15</v>
      </c>
      <c r="E24" s="73">
        <f>B24</f>
        <v>750</v>
      </c>
      <c r="F24" s="126">
        <f>VLOOKUP($B$3,'Data for Bill Impacts'!$A$3:$Y$15,23,0)</f>
        <v>2.0000000000000001E-4</v>
      </c>
      <c r="G24" s="22">
        <f>E24*F24</f>
        <v>0.15</v>
      </c>
      <c r="H24" s="22">
        <f>G24-D24</f>
        <v>0</v>
      </c>
      <c r="I24" s="23">
        <f>IF(ISERROR(H24/D24),0,(H24/D24))</f>
        <v>0</v>
      </c>
      <c r="J24" s="23">
        <f t="shared" si="5"/>
        <v>1.0363395032481008E-3</v>
      </c>
      <c r="K24" s="108">
        <f t="shared" si="4"/>
        <v>1.0129593378328569E-3</v>
      </c>
    </row>
    <row r="25" spans="1:11" s="1" customFormat="1" x14ac:dyDescent="0.2">
      <c r="A25" s="110" t="s">
        <v>72</v>
      </c>
      <c r="B25" s="74"/>
      <c r="C25" s="35"/>
      <c r="D25" s="35">
        <f>SUM(D19:D24)</f>
        <v>33.845000000000006</v>
      </c>
      <c r="E25" s="73"/>
      <c r="F25" s="35"/>
      <c r="G25" s="35">
        <f>SUM(G19:G24)</f>
        <v>34.984999999999999</v>
      </c>
      <c r="H25" s="35">
        <f t="shared" si="1"/>
        <v>1.1399999999999935</v>
      </c>
      <c r="I25" s="36">
        <f t="shared" si="2"/>
        <v>3.3682966464765644E-2</v>
      </c>
      <c r="J25" s="36">
        <f t="shared" si="5"/>
        <v>0.24170891680756537</v>
      </c>
      <c r="K25" s="111">
        <f t="shared" si="4"/>
        <v>0.2362558828938833</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5.4580547171066644E-3</v>
      </c>
      <c r="K26" s="108">
        <f t="shared" si="4"/>
        <v>5.334919179253046E-3</v>
      </c>
    </row>
    <row r="27" spans="1:11" s="1" customFormat="1" x14ac:dyDescent="0.2">
      <c r="A27" s="119" t="s">
        <v>75</v>
      </c>
      <c r="B27" s="120">
        <f>B8-B4</f>
        <v>42.75</v>
      </c>
      <c r="C27" s="121">
        <f>IF(B4&gt;B7,C13,C12)</f>
        <v>0.121</v>
      </c>
      <c r="D27" s="22">
        <f>B27*C27</f>
        <v>5.1727499999999997</v>
      </c>
      <c r="E27" s="73">
        <f>B27</f>
        <v>42.75</v>
      </c>
      <c r="F27" s="121">
        <f>C27</f>
        <v>0.121</v>
      </c>
      <c r="G27" s="22">
        <f>E27*F27</f>
        <v>5.1727499999999997</v>
      </c>
      <c r="H27" s="22">
        <f t="shared" si="1"/>
        <v>0</v>
      </c>
      <c r="I27" s="23">
        <f>IF(ISERROR(H27/D27),0,(H27/D27))</f>
        <v>0</v>
      </c>
      <c r="J27" s="23">
        <f t="shared" ref="J27:J46" si="9">G27/$G$46</f>
        <v>3.5738167769510755E-2</v>
      </c>
      <c r="K27" s="108">
        <f t="shared" ref="K27:K41" si="10">G27/$G$51</f>
        <v>3.4931902765166063E-2</v>
      </c>
    </row>
    <row r="28" spans="1:11" s="1" customFormat="1" x14ac:dyDescent="0.2">
      <c r="A28" s="119" t="s">
        <v>74</v>
      </c>
      <c r="B28" s="120">
        <f>B8-B4</f>
        <v>42.75</v>
      </c>
      <c r="C28" s="121">
        <f>0.65*C15+0.17*C16+0.18*C17</f>
        <v>0.11139</v>
      </c>
      <c r="D28" s="22">
        <f>B28*C28</f>
        <v>4.7619224999999998</v>
      </c>
      <c r="E28" s="73">
        <f>B28</f>
        <v>42.75</v>
      </c>
      <c r="F28" s="121">
        <f>C28</f>
        <v>0.11139</v>
      </c>
      <c r="G28" s="22">
        <f>E28*F28</f>
        <v>4.7619224999999998</v>
      </c>
      <c r="H28" s="22">
        <f t="shared" si="1"/>
        <v>0</v>
      </c>
      <c r="I28" s="23">
        <f>IF(ISERROR(H28/D28),0,(H28/D28))</f>
        <v>0</v>
      </c>
      <c r="J28" s="23">
        <f t="shared" si="9"/>
        <v>3.2899789321039694E-2</v>
      </c>
      <c r="K28" s="108">
        <f t="shared" si="10"/>
        <v>3.2157559082742544E-2</v>
      </c>
    </row>
    <row r="29" spans="1:11" s="1" customFormat="1" x14ac:dyDescent="0.2">
      <c r="A29" s="110" t="s">
        <v>78</v>
      </c>
      <c r="B29" s="74"/>
      <c r="C29" s="35"/>
      <c r="D29" s="35">
        <f>SUM(D25,D26:D27)</f>
        <v>39.807750000000006</v>
      </c>
      <c r="E29" s="73"/>
      <c r="F29" s="35"/>
      <c r="G29" s="35">
        <f>SUM(G25,G26:G27)</f>
        <v>40.947749999999999</v>
      </c>
      <c r="H29" s="35">
        <f t="shared" si="1"/>
        <v>1.1399999999999935</v>
      </c>
      <c r="I29" s="36">
        <f>IF(ISERROR(H29/D29),0,(H29/D29))</f>
        <v>2.8637639655594533E-2</v>
      </c>
      <c r="J29" s="36">
        <f t="shared" si="9"/>
        <v>0.28290513929418282</v>
      </c>
      <c r="K29" s="111">
        <f t="shared" si="10"/>
        <v>0.27652270483830244</v>
      </c>
    </row>
    <row r="30" spans="1:11" s="1" customFormat="1" x14ac:dyDescent="0.2">
      <c r="A30" s="110" t="s">
        <v>77</v>
      </c>
      <c r="B30" s="74"/>
      <c r="C30" s="35"/>
      <c r="D30" s="35">
        <f>SUM(D25,D26,D28)</f>
        <v>39.396922500000002</v>
      </c>
      <c r="E30" s="73"/>
      <c r="F30" s="35"/>
      <c r="G30" s="35">
        <f>SUM(G25,G26,G28)</f>
        <v>40.536922499999996</v>
      </c>
      <c r="H30" s="35">
        <f t="shared" si="1"/>
        <v>1.1399999999999935</v>
      </c>
      <c r="I30" s="36">
        <f>IF(ISERROR(H30/D30),0,(H30/D30))</f>
        <v>2.8936270339389919E-2</v>
      </c>
      <c r="J30" s="36">
        <f t="shared" si="9"/>
        <v>0.28006676084571169</v>
      </c>
      <c r="K30" s="111">
        <f t="shared" si="10"/>
        <v>0.27374836115587886</v>
      </c>
    </row>
    <row r="31" spans="1:11" x14ac:dyDescent="0.2">
      <c r="A31" s="107" t="s">
        <v>40</v>
      </c>
      <c r="B31" s="73">
        <f>B8</f>
        <v>792.75</v>
      </c>
      <c r="C31" s="126">
        <f>VLOOKUP($B$3,'Data for Bill Impacts'!$A$3:$Y$15,15,0)</f>
        <v>7.8279999999999999E-3</v>
      </c>
      <c r="D31" s="22">
        <f>B31*C31</f>
        <v>6.2056469999999999</v>
      </c>
      <c r="E31" s="73">
        <f t="shared" si="6"/>
        <v>792.75</v>
      </c>
      <c r="F31" s="126">
        <f>VLOOKUP($B$3,'Data for Bill Impacts'!$A$3:$Y$15,24,0)</f>
        <v>7.8279999999999999E-3</v>
      </c>
      <c r="G31" s="22">
        <f>E31*F31</f>
        <v>6.2056469999999999</v>
      </c>
      <c r="H31" s="22">
        <f t="shared" si="1"/>
        <v>0</v>
      </c>
      <c r="I31" s="23">
        <f t="shared" si="2"/>
        <v>0</v>
      </c>
      <c r="J31" s="23">
        <f t="shared" si="9"/>
        <v>4.2874380862087114E-2</v>
      </c>
      <c r="K31" s="108">
        <f t="shared" si="10"/>
        <v>4.1907120506296365E-2</v>
      </c>
    </row>
    <row r="32" spans="1:11" x14ac:dyDescent="0.2">
      <c r="A32" s="107" t="s">
        <v>41</v>
      </c>
      <c r="B32" s="73">
        <f>B8</f>
        <v>792.75</v>
      </c>
      <c r="C32" s="126">
        <f>VLOOKUP($B$3,'Data for Bill Impacts'!$A$3:$Y$15,16,0)</f>
        <v>6.4380000000000001E-3</v>
      </c>
      <c r="D32" s="22">
        <f>B32*C32</f>
        <v>5.1037245000000002</v>
      </c>
      <c r="E32" s="73">
        <f t="shared" si="6"/>
        <v>792.75</v>
      </c>
      <c r="F32" s="126">
        <f>VLOOKUP($B$3,'Data for Bill Impacts'!$A$3:$Y$15,25,0)</f>
        <v>6.4380000000000001E-3</v>
      </c>
      <c r="G32" s="22">
        <f>E32*F32</f>
        <v>5.1037245000000002</v>
      </c>
      <c r="H32" s="22">
        <f t="shared" si="1"/>
        <v>0</v>
      </c>
      <c r="I32" s="23">
        <f t="shared" si="2"/>
        <v>0</v>
      </c>
      <c r="J32" s="23">
        <f t="shared" si="9"/>
        <v>3.526127542030108E-2</v>
      </c>
      <c r="K32" s="108">
        <f t="shared" si="10"/>
        <v>3.4465769266675522E-2</v>
      </c>
    </row>
    <row r="33" spans="1:11" s="1" customFormat="1" x14ac:dyDescent="0.2">
      <c r="A33" s="110" t="s">
        <v>76</v>
      </c>
      <c r="B33" s="74"/>
      <c r="C33" s="35"/>
      <c r="D33" s="35">
        <f>SUM(D31:D32)</f>
        <v>11.309371500000001</v>
      </c>
      <c r="E33" s="73"/>
      <c r="F33" s="35"/>
      <c r="G33" s="35">
        <f>SUM(G31:G32)</f>
        <v>11.309371500000001</v>
      </c>
      <c r="H33" s="35">
        <f t="shared" si="1"/>
        <v>0</v>
      </c>
      <c r="I33" s="36">
        <f t="shared" si="2"/>
        <v>0</v>
      </c>
      <c r="J33" s="36">
        <f t="shared" si="9"/>
        <v>7.8135656282388194E-2</v>
      </c>
      <c r="K33" s="111">
        <f t="shared" si="10"/>
        <v>7.6372889772971894E-2</v>
      </c>
    </row>
    <row r="34" spans="1:11" s="1" customFormat="1" x14ac:dyDescent="0.2">
      <c r="A34" s="110" t="s">
        <v>91</v>
      </c>
      <c r="B34" s="74"/>
      <c r="C34" s="35"/>
      <c r="D34" s="35">
        <f>D29+D33</f>
        <v>51.11712150000001</v>
      </c>
      <c r="E34" s="73"/>
      <c r="F34" s="35"/>
      <c r="G34" s="35">
        <f>G29+G33</f>
        <v>52.257121499999997</v>
      </c>
      <c r="H34" s="35">
        <f t="shared" si="1"/>
        <v>1.1399999999999864</v>
      </c>
      <c r="I34" s="36">
        <f t="shared" si="2"/>
        <v>2.2301725264400621E-2</v>
      </c>
      <c r="J34" s="36">
        <f t="shared" si="9"/>
        <v>0.36104079557657098</v>
      </c>
      <c r="K34" s="111">
        <f t="shared" si="10"/>
        <v>0.35289559461127429</v>
      </c>
    </row>
    <row r="35" spans="1:11" s="1" customFormat="1" x14ac:dyDescent="0.2">
      <c r="A35" s="110" t="s">
        <v>92</v>
      </c>
      <c r="B35" s="74"/>
      <c r="C35" s="35"/>
      <c r="D35" s="35">
        <f>D30+D33</f>
        <v>50.706294</v>
      </c>
      <c r="E35" s="73"/>
      <c r="F35" s="35"/>
      <c r="G35" s="35">
        <f>G30+G33</f>
        <v>51.846294</v>
      </c>
      <c r="H35" s="35">
        <f t="shared" si="1"/>
        <v>1.1400000000000006</v>
      </c>
      <c r="I35" s="36">
        <f t="shared" si="2"/>
        <v>2.2482416088227639E-2</v>
      </c>
      <c r="J35" s="36">
        <f t="shared" si="9"/>
        <v>0.35820241712809991</v>
      </c>
      <c r="K35" s="111">
        <f t="shared" si="10"/>
        <v>0.35012125092885077</v>
      </c>
    </row>
    <row r="36" spans="1:11" x14ac:dyDescent="0.2">
      <c r="A36" s="107" t="s">
        <v>42</v>
      </c>
      <c r="B36" s="73">
        <f>B8</f>
        <v>792.75</v>
      </c>
      <c r="C36" s="34">
        <v>3.5999999999999999E-3</v>
      </c>
      <c r="D36" s="22">
        <f>B36*C36</f>
        <v>2.8538999999999999</v>
      </c>
      <c r="E36" s="73">
        <f t="shared" si="6"/>
        <v>792.75</v>
      </c>
      <c r="F36" s="34">
        <v>3.5999999999999999E-3</v>
      </c>
      <c r="G36" s="22">
        <f>E36*F36</f>
        <v>2.8538999999999999</v>
      </c>
      <c r="H36" s="22">
        <f t="shared" si="1"/>
        <v>0</v>
      </c>
      <c r="I36" s="23">
        <f t="shared" si="2"/>
        <v>0</v>
      </c>
      <c r="J36" s="23">
        <f t="shared" si="9"/>
        <v>1.9717395388798364E-2</v>
      </c>
      <c r="K36" s="108">
        <f t="shared" si="10"/>
        <v>1.9272564361607934E-2</v>
      </c>
    </row>
    <row r="37" spans="1:11" x14ac:dyDescent="0.2">
      <c r="A37" s="107" t="s">
        <v>43</v>
      </c>
      <c r="B37" s="73">
        <f>B8</f>
        <v>792.75</v>
      </c>
      <c r="C37" s="34">
        <v>2.0999999999999999E-3</v>
      </c>
      <c r="D37" s="22">
        <f>B37*C37</f>
        <v>1.6647749999999999</v>
      </c>
      <c r="E37" s="73">
        <f t="shared" si="6"/>
        <v>792.75</v>
      </c>
      <c r="F37" s="34">
        <v>2.0999999999999999E-3</v>
      </c>
      <c r="G37" s="22">
        <f>E37*F37</f>
        <v>1.6647749999999999</v>
      </c>
      <c r="H37" s="22">
        <f>G37-D37</f>
        <v>0</v>
      </c>
      <c r="I37" s="23">
        <f t="shared" si="2"/>
        <v>0</v>
      </c>
      <c r="J37" s="23">
        <f t="shared" si="9"/>
        <v>1.1501813976799046E-2</v>
      </c>
      <c r="K37" s="108">
        <f t="shared" si="10"/>
        <v>1.124232921093796E-2</v>
      </c>
    </row>
    <row r="38" spans="1:11" x14ac:dyDescent="0.2">
      <c r="A38" s="107" t="s">
        <v>96</v>
      </c>
      <c r="B38" s="73">
        <f>B8</f>
        <v>792.75</v>
      </c>
      <c r="C38" s="34">
        <v>1.1000000000000001E-3</v>
      </c>
      <c r="D38" s="22">
        <f>B38*C38</f>
        <v>0.87202500000000005</v>
      </c>
      <c r="E38" s="73">
        <f t="shared" si="6"/>
        <v>792.75</v>
      </c>
      <c r="F38" s="34">
        <v>1.1000000000000001E-3</v>
      </c>
      <c r="G38" s="22">
        <f>E38*F38</f>
        <v>0.87202500000000005</v>
      </c>
      <c r="H38" s="22">
        <f>G38-D38</f>
        <v>0</v>
      </c>
      <c r="I38" s="23">
        <f t="shared" ref="I38" si="11">IF(ISERROR(H38/D38),0,(H38/D38))</f>
        <v>0</v>
      </c>
      <c r="J38" s="23">
        <f t="shared" ref="J38" si="12">G38/$G$46</f>
        <v>6.0247597021328347E-3</v>
      </c>
      <c r="K38" s="108">
        <f t="shared" ref="K38" si="13">G38/$G$51</f>
        <v>5.8888391104913139E-3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1.7272325054135014E-3</v>
      </c>
      <c r="K39" s="108">
        <f t="shared" si="10"/>
        <v>1.6882655630547614E-3</v>
      </c>
    </row>
    <row r="40" spans="1:11" s="1" customFormat="1" x14ac:dyDescent="0.2">
      <c r="A40" s="110" t="s">
        <v>45</v>
      </c>
      <c r="B40" s="74"/>
      <c r="C40" s="35"/>
      <c r="D40" s="35">
        <f>SUM(D36:D39)</f>
        <v>5.6406999999999998</v>
      </c>
      <c r="E40" s="73"/>
      <c r="F40" s="35"/>
      <c r="G40" s="35">
        <f>SUM(G36:G39)</f>
        <v>5.6406999999999998</v>
      </c>
      <c r="H40" s="35">
        <f t="shared" si="1"/>
        <v>0</v>
      </c>
      <c r="I40" s="36">
        <f t="shared" si="2"/>
        <v>0</v>
      </c>
      <c r="J40" s="36">
        <f t="shared" si="9"/>
        <v>3.8971201573143745E-2</v>
      </c>
      <c r="K40" s="111">
        <f t="shared" si="10"/>
        <v>3.8091998246091968E-2</v>
      </c>
    </row>
    <row r="41" spans="1:11" s="1" customFormat="1" ht="13.5" thickBot="1" x14ac:dyDescent="0.25">
      <c r="A41" s="112" t="s">
        <v>46</v>
      </c>
      <c r="B41" s="113">
        <f>B4</f>
        <v>750</v>
      </c>
      <c r="C41" s="114">
        <v>0</v>
      </c>
      <c r="D41" s="115">
        <f>B41*C41</f>
        <v>0</v>
      </c>
      <c r="E41" s="116">
        <f t="shared" si="6"/>
        <v>750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136.70782149999999</v>
      </c>
      <c r="E42" s="38"/>
      <c r="F42" s="39"/>
      <c r="G42" s="39">
        <f>SUM(G14,G25,G26,G27,G33,G40,G41)</f>
        <v>137.84782150000001</v>
      </c>
      <c r="H42" s="39">
        <f t="shared" si="1"/>
        <v>1.1400000000000148</v>
      </c>
      <c r="I42" s="40">
        <f>IF(ISERROR(H42/D42),0,(H42/D42))</f>
        <v>8.3389522815270293E-3</v>
      </c>
      <c r="J42" s="40">
        <f t="shared" si="9"/>
        <v>0.95238095238095255</v>
      </c>
      <c r="K42" s="41"/>
    </row>
    <row r="43" spans="1:11" x14ac:dyDescent="0.2">
      <c r="A43" s="155" t="s">
        <v>102</v>
      </c>
      <c r="B43" s="43"/>
      <c r="C43" s="26">
        <v>0.13</v>
      </c>
      <c r="D43" s="26">
        <f>D42*C43</f>
        <v>17.772016794999999</v>
      </c>
      <c r="E43" s="26"/>
      <c r="F43" s="26">
        <f>C43</f>
        <v>0.13</v>
      </c>
      <c r="G43" s="26">
        <f>G42*F43</f>
        <v>17.920216795000002</v>
      </c>
      <c r="H43" s="26">
        <f t="shared" si="1"/>
        <v>0.14820000000000277</v>
      </c>
      <c r="I43" s="44">
        <f t="shared" si="2"/>
        <v>8.3389522815270779E-3</v>
      </c>
      <c r="J43" s="44">
        <f t="shared" si="9"/>
        <v>0.12380952380952383</v>
      </c>
      <c r="K43" s="45"/>
    </row>
    <row r="44" spans="1:11" s="1" customFormat="1" x14ac:dyDescent="0.2">
      <c r="A44" s="46" t="s">
        <v>103</v>
      </c>
      <c r="B44" s="24"/>
      <c r="C44" s="25"/>
      <c r="D44" s="25">
        <f>SUM(D42:D43)</f>
        <v>154.47983829499998</v>
      </c>
      <c r="E44" s="25"/>
      <c r="F44" s="25"/>
      <c r="G44" s="25">
        <f>SUM(G42:G43)</f>
        <v>155.768038295</v>
      </c>
      <c r="H44" s="25">
        <f t="shared" si="1"/>
        <v>1.2882000000000176</v>
      </c>
      <c r="I44" s="27">
        <f t="shared" si="2"/>
        <v>8.3389522815270345E-3</v>
      </c>
      <c r="J44" s="27">
        <f t="shared" si="9"/>
        <v>1.0761904761904764</v>
      </c>
      <c r="K44" s="47"/>
    </row>
    <row r="45" spans="1:11" x14ac:dyDescent="0.2">
      <c r="A45" s="42" t="s">
        <v>104</v>
      </c>
      <c r="B45" s="43"/>
      <c r="C45" s="26">
        <v>-0.08</v>
      </c>
      <c r="D45" s="26">
        <f>D42*C45</f>
        <v>-10.93662572</v>
      </c>
      <c r="E45" s="26"/>
      <c r="F45" s="26">
        <f>C45</f>
        <v>-0.08</v>
      </c>
      <c r="G45" s="26">
        <f>G42*F45</f>
        <v>-11.027825720000001</v>
      </c>
      <c r="H45" s="26">
        <f t="shared" si="1"/>
        <v>-9.1200000000000614E-2</v>
      </c>
      <c r="I45" s="44">
        <f t="shared" si="2"/>
        <v>8.3389522815269772E-3</v>
      </c>
      <c r="J45" s="44">
        <f t="shared" si="9"/>
        <v>-7.6190476190476197E-2</v>
      </c>
      <c r="K45" s="45"/>
    </row>
    <row r="46" spans="1:11" s="1" customFormat="1" ht="13.5" thickBot="1" x14ac:dyDescent="0.25">
      <c r="A46" s="48" t="s">
        <v>105</v>
      </c>
      <c r="B46" s="49"/>
      <c r="C46" s="50"/>
      <c r="D46" s="50">
        <f>SUM(D44:D45)</f>
        <v>143.54321257499998</v>
      </c>
      <c r="E46" s="50"/>
      <c r="F46" s="50"/>
      <c r="G46" s="50">
        <f>SUM(G44:G45)</f>
        <v>144.74021257499999</v>
      </c>
      <c r="H46" s="50">
        <f t="shared" si="1"/>
        <v>1.1970000000000027</v>
      </c>
      <c r="I46" s="51">
        <f t="shared" si="2"/>
        <v>8.3389522815269408E-3</v>
      </c>
      <c r="J46" s="51">
        <f t="shared" si="9"/>
        <v>1</v>
      </c>
      <c r="K46" s="52"/>
    </row>
    <row r="47" spans="1:11" x14ac:dyDescent="0.2">
      <c r="A47" s="53" t="s">
        <v>106</v>
      </c>
      <c r="B47" s="54"/>
      <c r="C47" s="55"/>
      <c r="D47" s="55">
        <f>SUM(D18,D25,D26,D28,D33,D40,D41)</f>
        <v>139.88949400000001</v>
      </c>
      <c r="E47" s="55"/>
      <c r="F47" s="55"/>
      <c r="G47" s="55">
        <f>SUM(G18,G25,G26,G28,G33,G40,G41)</f>
        <v>141.029494</v>
      </c>
      <c r="H47" s="55">
        <f>G47-D47</f>
        <v>1.1399999999999864</v>
      </c>
      <c r="I47" s="56">
        <f>IF(ISERROR(H47/D47),0,(H47/D47))</f>
        <v>8.1492896099830507E-3</v>
      </c>
      <c r="J47" s="56"/>
      <c r="K47" s="57">
        <f>G47/$G$51</f>
        <v>0.95238095238095233</v>
      </c>
    </row>
    <row r="48" spans="1:11" x14ac:dyDescent="0.2">
      <c r="A48" s="156" t="s">
        <v>102</v>
      </c>
      <c r="B48" s="59"/>
      <c r="C48" s="31">
        <v>0.13</v>
      </c>
      <c r="D48" s="31">
        <f>D47*C48</f>
        <v>18.185634220000001</v>
      </c>
      <c r="E48" s="31"/>
      <c r="F48" s="31">
        <f>C48</f>
        <v>0.13</v>
      </c>
      <c r="G48" s="31">
        <f>G47*F48</f>
        <v>18.33383422</v>
      </c>
      <c r="H48" s="31">
        <f>G48-D48</f>
        <v>0.14819999999999922</v>
      </c>
      <c r="I48" s="32">
        <f>IF(ISERROR(H48/D48),0,(H48/D48))</f>
        <v>8.1492896099831062E-3</v>
      </c>
      <c r="J48" s="32"/>
      <c r="K48" s="60">
        <f>G48/$G$51</f>
        <v>0.12380952380952381</v>
      </c>
    </row>
    <row r="49" spans="1:11" x14ac:dyDescent="0.2">
      <c r="A49" s="61" t="s">
        <v>107</v>
      </c>
      <c r="B49" s="29"/>
      <c r="C49" s="30"/>
      <c r="D49" s="30">
        <f>SUM(D47:D48)</f>
        <v>158.07512822000001</v>
      </c>
      <c r="E49" s="30"/>
      <c r="F49" s="30"/>
      <c r="G49" s="30">
        <f>SUM(G47:G48)</f>
        <v>159.36332822</v>
      </c>
      <c r="H49" s="30">
        <f>G49-D49</f>
        <v>1.2881999999999891</v>
      </c>
      <c r="I49" s="33">
        <f>IF(ISERROR(H49/D49),0,(H49/D49))</f>
        <v>8.1492896099830785E-3</v>
      </c>
      <c r="J49" s="33"/>
      <c r="K49" s="62">
        <f>G49/$G$51</f>
        <v>1.0761904761904761</v>
      </c>
    </row>
    <row r="50" spans="1:11" x14ac:dyDescent="0.2">
      <c r="A50" s="58" t="s">
        <v>104</v>
      </c>
      <c r="B50" s="59"/>
      <c r="C50" s="31">
        <v>-0.08</v>
      </c>
      <c r="D50" s="31">
        <f>D47*C50</f>
        <v>-11.191159520000001</v>
      </c>
      <c r="E50" s="31"/>
      <c r="F50" s="31">
        <f>C50</f>
        <v>-0.08</v>
      </c>
      <c r="G50" s="31">
        <f>G47*F50</f>
        <v>-11.28235952</v>
      </c>
      <c r="H50" s="31">
        <f>G50-D50</f>
        <v>-9.1199999999998838E-2</v>
      </c>
      <c r="I50" s="32">
        <f>IF(ISERROR(H50/D50),0,(H50/D50))</f>
        <v>8.1492896099830438E-3</v>
      </c>
      <c r="J50" s="32"/>
      <c r="K50" s="60">
        <f>G50/$G$51</f>
        <v>-7.6190476190476197E-2</v>
      </c>
    </row>
    <row r="51" spans="1:11" ht="13.5" thickBot="1" x14ac:dyDescent="0.25">
      <c r="A51" s="63" t="s">
        <v>116</v>
      </c>
      <c r="B51" s="64"/>
      <c r="C51" s="65"/>
      <c r="D51" s="65">
        <f>SUM(D49:D50)</f>
        <v>146.8839687</v>
      </c>
      <c r="E51" s="65"/>
      <c r="F51" s="65"/>
      <c r="G51" s="65">
        <f>SUM(G49:G50)</f>
        <v>148.0809687</v>
      </c>
      <c r="H51" s="65">
        <f>G51-D51</f>
        <v>1.1970000000000027</v>
      </c>
      <c r="I51" s="66">
        <f>IF(ISERROR(H51/D51),0,(H51/D51))</f>
        <v>8.1492896099831669E-3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1" tint="0.499984740745262"/>
    <pageSetUpPr fitToPage="1"/>
  </sheetPr>
  <dimension ref="A1:J48"/>
  <sheetViews>
    <sheetView tabSelected="1" view="pageBreakPreview"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119</v>
      </c>
      <c r="B1" s="188"/>
      <c r="C1" s="188"/>
      <c r="D1" s="188"/>
      <c r="E1" s="188"/>
      <c r="F1" s="188"/>
      <c r="G1" s="188"/>
      <c r="H1" s="188"/>
      <c r="I1" s="188"/>
      <c r="J1" s="189"/>
    </row>
    <row r="3" spans="1:10" x14ac:dyDescent="0.2">
      <c r="A3" s="13" t="s">
        <v>13</v>
      </c>
      <c r="B3" s="13" t="s">
        <v>12</v>
      </c>
    </row>
    <row r="4" spans="1:10" x14ac:dyDescent="0.2">
      <c r="A4" s="15" t="s">
        <v>62</v>
      </c>
      <c r="B4" s="169">
        <f>VLOOKUP(B3,'Data for Bill Impacts'!A18:D31,3,FALSE)</f>
        <v>364</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9">
        <f>B4*B6</f>
        <v>397.48800000000006</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364</v>
      </c>
      <c r="C12" s="103">
        <v>0.10299999999999999</v>
      </c>
      <c r="D12" s="104">
        <f>B12*C12</f>
        <v>37.491999999999997</v>
      </c>
      <c r="E12" s="102">
        <f>B12</f>
        <v>364</v>
      </c>
      <c r="F12" s="103">
        <f>C12</f>
        <v>0.10299999999999999</v>
      </c>
      <c r="G12" s="104">
        <f>E12*F12</f>
        <v>37.491999999999997</v>
      </c>
      <c r="H12" s="104">
        <f>G12-D12</f>
        <v>0</v>
      </c>
      <c r="I12" s="105">
        <f>IF(ISERROR(H12/D12),0,(H12/D12))</f>
        <v>0</v>
      </c>
      <c r="J12" s="124">
        <f t="shared" ref="J12:J28" si="0">G12/$G$37</f>
        <v>0.37065230756637574</v>
      </c>
    </row>
    <row r="13" spans="1:10" x14ac:dyDescent="0.2">
      <c r="A13" s="107" t="s">
        <v>32</v>
      </c>
      <c r="B13" s="73">
        <f>IF(B4&gt;B7,(B4)-B7,0)</f>
        <v>0</v>
      </c>
      <c r="C13" s="21">
        <v>0.121</v>
      </c>
      <c r="D13" s="22">
        <f>B13*C13</f>
        <v>0</v>
      </c>
      <c r="E13" s="73">
        <f t="shared" ref="E13" si="1">B13</f>
        <v>0</v>
      </c>
      <c r="F13" s="21">
        <f>C13</f>
        <v>0.121</v>
      </c>
      <c r="G13" s="22">
        <f>E13*F13</f>
        <v>0</v>
      </c>
      <c r="H13" s="22">
        <f t="shared" ref="H13:H37" si="2">G13-D13</f>
        <v>0</v>
      </c>
      <c r="I13" s="23">
        <f t="shared" ref="I13:I37" si="3">IF(ISERROR(H13/D13),0,(H13/D13))</f>
        <v>0</v>
      </c>
      <c r="J13" s="125">
        <f t="shared" si="0"/>
        <v>0</v>
      </c>
    </row>
    <row r="14" spans="1:10" s="1" customFormat="1" x14ac:dyDescent="0.2">
      <c r="A14" s="46" t="s">
        <v>33</v>
      </c>
      <c r="B14" s="24"/>
      <c r="C14" s="25"/>
      <c r="D14" s="25">
        <f>SUM(D12:D13)</f>
        <v>37.491999999999997</v>
      </c>
      <c r="E14" s="76"/>
      <c r="F14" s="25"/>
      <c r="G14" s="25">
        <f>SUM(G12:G13)</f>
        <v>37.491999999999997</v>
      </c>
      <c r="H14" s="25">
        <f t="shared" si="2"/>
        <v>0</v>
      </c>
      <c r="I14" s="27">
        <f t="shared" si="3"/>
        <v>0</v>
      </c>
      <c r="J14" s="47">
        <f t="shared" si="0"/>
        <v>0.37065230756637574</v>
      </c>
    </row>
    <row r="15" spans="1:10" x14ac:dyDescent="0.2">
      <c r="A15" s="107" t="s">
        <v>38</v>
      </c>
      <c r="B15" s="73">
        <v>1</v>
      </c>
      <c r="C15" s="78">
        <f>VLOOKUP($B$3,'Data for Bill Impacts'!$A$3:$Y$15,7,0)</f>
        <v>35.1</v>
      </c>
      <c r="D15" s="22">
        <f>B15*C15</f>
        <v>35.1</v>
      </c>
      <c r="E15" s="73">
        <f t="shared" ref="E15:E32" si="4">B15</f>
        <v>1</v>
      </c>
      <c r="F15" s="78">
        <f>VLOOKUP($B$3,'Data for Bill Impacts'!$A$3:$Y$15,17,0)</f>
        <v>35.76</v>
      </c>
      <c r="G15" s="22">
        <f>E15*F15</f>
        <v>35.76</v>
      </c>
      <c r="H15" s="22">
        <f t="shared" si="2"/>
        <v>0.65999999999999659</v>
      </c>
      <c r="I15" s="23">
        <f t="shared" si="3"/>
        <v>1.8803418803418705E-2</v>
      </c>
      <c r="J15" s="125">
        <f t="shared" si="0"/>
        <v>0.35352946011345343</v>
      </c>
    </row>
    <row r="16" spans="1:10" x14ac:dyDescent="0.2">
      <c r="A16" s="107" t="s">
        <v>85</v>
      </c>
      <c r="B16" s="73">
        <v>1</v>
      </c>
      <c r="C16" s="128">
        <f>VLOOKUP($B$3,'Data for Bill Impacts'!$A$3:$Y$15,13,0)</f>
        <v>-0.01</v>
      </c>
      <c r="D16" s="22">
        <f t="shared" ref="D16" si="5">B16*C16</f>
        <v>-0.01</v>
      </c>
      <c r="E16" s="73">
        <f t="shared" si="4"/>
        <v>1</v>
      </c>
      <c r="F16" s="128">
        <f>VLOOKUP($B$3,'Data for Bill Impacts'!$A$3:$Y$15,22,0)</f>
        <v>-0.01</v>
      </c>
      <c r="G16" s="22">
        <f t="shared" ref="G16" si="6">E16*F16</f>
        <v>-0.01</v>
      </c>
      <c r="H16" s="22">
        <f t="shared" si="2"/>
        <v>0</v>
      </c>
      <c r="I16" s="23">
        <f t="shared" si="3"/>
        <v>0</v>
      </c>
      <c r="J16" s="125">
        <f t="shared" si="0"/>
        <v>-9.8861705848281165E-5</v>
      </c>
    </row>
    <row r="17" spans="1:10" x14ac:dyDescent="0.2">
      <c r="A17" s="107" t="s">
        <v>39</v>
      </c>
      <c r="B17" s="73">
        <f>IF($B$9="kWh",$B$4,$B$5)</f>
        <v>364</v>
      </c>
      <c r="C17" s="78">
        <f>VLOOKUP($B$3,'Data for Bill Impacts'!$A$3:$Y$15,10,0)</f>
        <v>2.87E-2</v>
      </c>
      <c r="D17" s="22">
        <f>B17*C17</f>
        <v>10.4468</v>
      </c>
      <c r="E17" s="73">
        <f t="shared" si="4"/>
        <v>364</v>
      </c>
      <c r="F17" s="78">
        <f>VLOOKUP($B$3,'Data for Bill Impacts'!$A$3:$Y$15,19,0)</f>
        <v>2.93E-2</v>
      </c>
      <c r="G17" s="22">
        <f>E17*F17</f>
        <v>10.6652</v>
      </c>
      <c r="H17" s="22">
        <f t="shared" si="2"/>
        <v>0.21840000000000082</v>
      </c>
      <c r="I17" s="23">
        <f t="shared" si="3"/>
        <v>2.0905923344947813E-2</v>
      </c>
      <c r="J17" s="125">
        <f t="shared" si="0"/>
        <v>0.10543798652130883</v>
      </c>
    </row>
    <row r="18" spans="1:10" s="1" customFormat="1" x14ac:dyDescent="0.2">
      <c r="A18" s="107" t="s">
        <v>122</v>
      </c>
      <c r="B18" s="73">
        <f>IF($B$9="kWh",$B$4,$B$5)</f>
        <v>364</v>
      </c>
      <c r="C18" s="126">
        <f>VLOOKUP($B$3,'Data for Bill Impacts'!$A$3:$Y$15,14,0)</f>
        <v>2.0000000000000001E-4</v>
      </c>
      <c r="D18" s="22">
        <f>B18*C18</f>
        <v>7.2800000000000004E-2</v>
      </c>
      <c r="E18" s="73">
        <f>B18</f>
        <v>364</v>
      </c>
      <c r="F18" s="126">
        <f>VLOOKUP($B$3,'Data for Bill Impacts'!$A$3:$Y$15,23,0)</f>
        <v>2.0000000000000001E-4</v>
      </c>
      <c r="G18" s="22">
        <f>E18*F18</f>
        <v>7.2800000000000004E-2</v>
      </c>
      <c r="H18" s="22">
        <f>G18-D18</f>
        <v>0</v>
      </c>
      <c r="I18" s="23">
        <f>IF(ISERROR(H18/D18),0,(H18/D18))</f>
        <v>0</v>
      </c>
      <c r="J18" s="125">
        <f t="shared" si="0"/>
        <v>7.1971321857548689E-4</v>
      </c>
    </row>
    <row r="19" spans="1:10" hidden="1" x14ac:dyDescent="0.2">
      <c r="A19" s="107" t="s">
        <v>108</v>
      </c>
      <c r="B19" s="73">
        <f>B8</f>
        <v>397.48800000000006</v>
      </c>
      <c r="C19" s="78">
        <v>0</v>
      </c>
      <c r="D19" s="22">
        <f>B19*C19</f>
        <v>0</v>
      </c>
      <c r="E19" s="73">
        <f t="shared" si="4"/>
        <v>397.48800000000006</v>
      </c>
      <c r="F19" s="78">
        <v>0</v>
      </c>
      <c r="G19" s="22">
        <f>E19*F19</f>
        <v>0</v>
      </c>
      <c r="H19" s="22">
        <f t="shared" si="2"/>
        <v>0</v>
      </c>
      <c r="I19" s="23">
        <f>IF(ISERROR(H19/D19),0,(H19/D19))</f>
        <v>0</v>
      </c>
      <c r="J19" s="125">
        <f t="shared" si="0"/>
        <v>0</v>
      </c>
    </row>
    <row r="20" spans="1:10" x14ac:dyDescent="0.2">
      <c r="A20" s="110" t="s">
        <v>72</v>
      </c>
      <c r="B20" s="74"/>
      <c r="C20" s="35"/>
      <c r="D20" s="35">
        <f>SUM(D15:D19)</f>
        <v>45.6096</v>
      </c>
      <c r="E20" s="73"/>
      <c r="F20" s="35"/>
      <c r="G20" s="35">
        <f>SUM(G15:G19)</f>
        <v>46.488</v>
      </c>
      <c r="H20" s="35">
        <f t="shared" si="2"/>
        <v>0.87839999999999918</v>
      </c>
      <c r="I20" s="36">
        <f t="shared" si="3"/>
        <v>1.9259103346663843E-2</v>
      </c>
      <c r="J20" s="111">
        <f t="shared" si="0"/>
        <v>0.45958829814748947</v>
      </c>
    </row>
    <row r="21" spans="1:10" s="1" customFormat="1" x14ac:dyDescent="0.2">
      <c r="A21" s="119" t="s">
        <v>81</v>
      </c>
      <c r="B21" s="120">
        <f>B8-B4</f>
        <v>33.488000000000056</v>
      </c>
      <c r="C21" s="121">
        <f>IF(B4&gt;B7,C13,C12)</f>
        <v>0.10299999999999999</v>
      </c>
      <c r="D21" s="22">
        <f>B21*C21</f>
        <v>3.4492640000000057</v>
      </c>
      <c r="E21" s="73">
        <f>B21</f>
        <v>33.488000000000056</v>
      </c>
      <c r="F21" s="121">
        <f>C21</f>
        <v>0.10299999999999999</v>
      </c>
      <c r="G21" s="22">
        <f>E21*F21</f>
        <v>3.4492640000000057</v>
      </c>
      <c r="H21" s="22">
        <f t="shared" si="2"/>
        <v>0</v>
      </c>
      <c r="I21" s="23">
        <f>IF(ISERROR(H21/D21),0,(H21/D21))</f>
        <v>0</v>
      </c>
      <c r="J21" s="125">
        <f t="shared" si="0"/>
        <v>3.4100012296106624E-2</v>
      </c>
    </row>
    <row r="22" spans="1:10" x14ac:dyDescent="0.2">
      <c r="A22" s="110" t="s">
        <v>79</v>
      </c>
      <c r="B22" s="74"/>
      <c r="C22" s="35"/>
      <c r="D22" s="35">
        <f>SUM(D20,D21:D21)</f>
        <v>49.058864000000007</v>
      </c>
      <c r="E22" s="73"/>
      <c r="F22" s="35"/>
      <c r="G22" s="35">
        <f>SUM(G20,G21:G21)</f>
        <v>49.937264000000006</v>
      </c>
      <c r="H22" s="35">
        <f t="shared" si="2"/>
        <v>0.87839999999999918</v>
      </c>
      <c r="I22" s="36">
        <f>IF(ISERROR(H22/D22),0,(H22/D22))</f>
        <v>1.7905021200653955E-2</v>
      </c>
      <c r="J22" s="111">
        <f t="shared" si="0"/>
        <v>0.49368831044359612</v>
      </c>
    </row>
    <row r="23" spans="1:10" x14ac:dyDescent="0.2">
      <c r="A23" s="107" t="s">
        <v>40</v>
      </c>
      <c r="B23" s="73">
        <f>B8</f>
        <v>397.48800000000006</v>
      </c>
      <c r="C23" s="78">
        <f>VLOOKUP($B$3,'Data for Bill Impacts'!$A$3:$Y$15,15,0)</f>
        <v>4.7699999999999999E-3</v>
      </c>
      <c r="D23" s="22">
        <f>B23*C23</f>
        <v>1.8960177600000003</v>
      </c>
      <c r="E23" s="73">
        <f t="shared" si="4"/>
        <v>397.48800000000006</v>
      </c>
      <c r="F23" s="126">
        <f>VLOOKUP($B$3,'Data for Bill Impacts'!$A$3:$Y$15,24,0)</f>
        <v>4.7699999999999999E-3</v>
      </c>
      <c r="G23" s="22">
        <f>E23*F23</f>
        <v>1.8960177600000003</v>
      </c>
      <c r="H23" s="22">
        <f t="shared" si="2"/>
        <v>0</v>
      </c>
      <c r="I23" s="23">
        <f t="shared" si="3"/>
        <v>0</v>
      </c>
      <c r="J23" s="125">
        <f t="shared" si="0"/>
        <v>1.8744355007223698E-2</v>
      </c>
    </row>
    <row r="24" spans="1:10" s="1" customFormat="1" x14ac:dyDescent="0.2">
      <c r="A24" s="107" t="s">
        <v>41</v>
      </c>
      <c r="B24" s="73">
        <f>B8</f>
        <v>397.48800000000006</v>
      </c>
      <c r="C24" s="78">
        <f>VLOOKUP($B$3,'Data for Bill Impacts'!$A$3:$Y$15,16,0)</f>
        <v>3.7950000000000002E-3</v>
      </c>
      <c r="D24" s="22">
        <f>B24*C24</f>
        <v>1.5084669600000002</v>
      </c>
      <c r="E24" s="73">
        <f t="shared" si="4"/>
        <v>397.48800000000006</v>
      </c>
      <c r="F24" s="126">
        <f>VLOOKUP($B$3,'Data for Bill Impacts'!$A$3:$Y$15,25,0)</f>
        <v>3.7950000000000002E-3</v>
      </c>
      <c r="G24" s="22">
        <f>E24*F24</f>
        <v>1.5084669600000002</v>
      </c>
      <c r="H24" s="22">
        <f t="shared" si="2"/>
        <v>0</v>
      </c>
      <c r="I24" s="23">
        <f t="shared" si="3"/>
        <v>0</v>
      </c>
      <c r="J24" s="125">
        <f t="shared" si="0"/>
        <v>1.4912961688137093E-2</v>
      </c>
    </row>
    <row r="25" spans="1:10" s="1" customFormat="1" x14ac:dyDescent="0.2">
      <c r="A25" s="110" t="s">
        <v>76</v>
      </c>
      <c r="B25" s="74"/>
      <c r="C25" s="35"/>
      <c r="D25" s="35">
        <f>SUM(D23:D24)</f>
        <v>3.4044847200000006</v>
      </c>
      <c r="E25" s="73"/>
      <c r="F25" s="35"/>
      <c r="G25" s="35">
        <f>SUM(G23:G24)</f>
        <v>3.4044847200000006</v>
      </c>
      <c r="H25" s="35">
        <f t="shared" si="2"/>
        <v>0</v>
      </c>
      <c r="I25" s="36">
        <f t="shared" si="3"/>
        <v>0</v>
      </c>
      <c r="J25" s="111">
        <f t="shared" si="0"/>
        <v>3.3657316695360789E-2</v>
      </c>
    </row>
    <row r="26" spans="1:10" s="1" customFormat="1" x14ac:dyDescent="0.2">
      <c r="A26" s="110" t="s">
        <v>80</v>
      </c>
      <c r="B26" s="74"/>
      <c r="C26" s="35"/>
      <c r="D26" s="35">
        <f>D22+D25</f>
        <v>52.463348720000006</v>
      </c>
      <c r="E26" s="73"/>
      <c r="F26" s="35"/>
      <c r="G26" s="35">
        <f>G22+G25</f>
        <v>53.341748720000005</v>
      </c>
      <c r="H26" s="35">
        <f t="shared" si="2"/>
        <v>0.87839999999999918</v>
      </c>
      <c r="I26" s="36">
        <f t="shared" si="3"/>
        <v>1.6743117270078812E-2</v>
      </c>
      <c r="J26" s="111">
        <f t="shared" si="0"/>
        <v>0.52734562713895694</v>
      </c>
    </row>
    <row r="27" spans="1:10" x14ac:dyDescent="0.2">
      <c r="A27" s="107" t="s">
        <v>42</v>
      </c>
      <c r="B27" s="73">
        <f>B8</f>
        <v>397.48800000000006</v>
      </c>
      <c r="C27" s="34">
        <v>3.5999999999999999E-3</v>
      </c>
      <c r="D27" s="22">
        <f>B27*C27</f>
        <v>1.4309568000000001</v>
      </c>
      <c r="E27" s="73">
        <f t="shared" si="4"/>
        <v>397.48800000000006</v>
      </c>
      <c r="F27" s="34">
        <v>3.5999999999999999E-3</v>
      </c>
      <c r="G27" s="22">
        <f>E27*F27</f>
        <v>1.4309568000000001</v>
      </c>
      <c r="H27" s="22">
        <f t="shared" si="2"/>
        <v>0</v>
      </c>
      <c r="I27" s="23">
        <f t="shared" si="3"/>
        <v>0</v>
      </c>
      <c r="J27" s="125">
        <f t="shared" si="0"/>
        <v>1.4146683024319772E-2</v>
      </c>
    </row>
    <row r="28" spans="1:10" s="1" customFormat="1" x14ac:dyDescent="0.2">
      <c r="A28" s="107" t="s">
        <v>43</v>
      </c>
      <c r="B28" s="73">
        <f>B8</f>
        <v>397.48800000000006</v>
      </c>
      <c r="C28" s="34">
        <v>2.0999999999999999E-3</v>
      </c>
      <c r="D28" s="22">
        <f>B28*C28</f>
        <v>0.83472480000000004</v>
      </c>
      <c r="E28" s="73">
        <f t="shared" si="4"/>
        <v>397.48800000000006</v>
      </c>
      <c r="F28" s="34">
        <v>2.0999999999999999E-3</v>
      </c>
      <c r="G28" s="22">
        <f>E28*F28</f>
        <v>0.83472480000000004</v>
      </c>
      <c r="H28" s="22">
        <f>G28-D28</f>
        <v>0</v>
      </c>
      <c r="I28" s="23">
        <f t="shared" si="3"/>
        <v>0</v>
      </c>
      <c r="J28" s="125">
        <f t="shared" si="0"/>
        <v>8.2522317641865323E-3</v>
      </c>
    </row>
    <row r="29" spans="1:10" s="1" customFormat="1" x14ac:dyDescent="0.2">
      <c r="A29" s="107" t="s">
        <v>96</v>
      </c>
      <c r="B29" s="73">
        <f>B8</f>
        <v>397.48800000000006</v>
      </c>
      <c r="C29" s="34">
        <v>1.1000000000000001E-3</v>
      </c>
      <c r="D29" s="22">
        <f>B29*C29</f>
        <v>0.43723680000000009</v>
      </c>
      <c r="E29" s="73">
        <f t="shared" si="4"/>
        <v>397.48800000000006</v>
      </c>
      <c r="F29" s="34">
        <v>1.1000000000000001E-3</v>
      </c>
      <c r="G29" s="22">
        <f>E29*F29</f>
        <v>0.43723680000000009</v>
      </c>
      <c r="H29" s="22">
        <f>G29-D29</f>
        <v>0</v>
      </c>
      <c r="I29" s="23">
        <f t="shared" ref="I29" si="7">IF(ISERROR(H29/D29),0,(H29/D29))</f>
        <v>0</v>
      </c>
      <c r="J29" s="125">
        <f t="shared" ref="J29" si="8">G29/$G$37</f>
        <v>4.322597590764375E-3</v>
      </c>
    </row>
    <row r="30" spans="1:10" x14ac:dyDescent="0.2">
      <c r="A30" s="107" t="s">
        <v>44</v>
      </c>
      <c r="B30" s="73">
        <v>1</v>
      </c>
      <c r="C30" s="22">
        <v>0.25</v>
      </c>
      <c r="D30" s="22">
        <f>B30*C30</f>
        <v>0.25</v>
      </c>
      <c r="E30" s="73">
        <f t="shared" si="4"/>
        <v>1</v>
      </c>
      <c r="F30" s="22">
        <f>C30</f>
        <v>0.25</v>
      </c>
      <c r="G30" s="22">
        <f>E30*F30</f>
        <v>0.25</v>
      </c>
      <c r="H30" s="22">
        <f t="shared" si="2"/>
        <v>0</v>
      </c>
      <c r="I30" s="23">
        <f t="shared" si="3"/>
        <v>0</v>
      </c>
      <c r="J30" s="125">
        <f t="shared" ref="J30:J37" si="9">G30/$G$37</f>
        <v>2.471542646207029E-3</v>
      </c>
    </row>
    <row r="31" spans="1:10" s="1" customFormat="1" x14ac:dyDescent="0.2">
      <c r="A31" s="110" t="s">
        <v>45</v>
      </c>
      <c r="B31" s="74"/>
      <c r="C31" s="35"/>
      <c r="D31" s="35">
        <f>SUM(D27:D30)</f>
        <v>2.9529184000000002</v>
      </c>
      <c r="E31" s="73"/>
      <c r="F31" s="35"/>
      <c r="G31" s="35">
        <f>SUM(G27:G30)</f>
        <v>2.9529184000000002</v>
      </c>
      <c r="H31" s="35">
        <f t="shared" si="2"/>
        <v>0</v>
      </c>
      <c r="I31" s="36">
        <f t="shared" si="3"/>
        <v>0</v>
      </c>
      <c r="J31" s="111">
        <f t="shared" si="9"/>
        <v>2.9193055025477709E-2</v>
      </c>
    </row>
    <row r="32" spans="1:10" ht="13.5" thickBot="1" x14ac:dyDescent="0.25">
      <c r="A32" s="112" t="s">
        <v>46</v>
      </c>
      <c r="B32" s="113">
        <f>B4</f>
        <v>364</v>
      </c>
      <c r="C32" s="114">
        <v>7.0000000000000001E-3</v>
      </c>
      <c r="D32" s="115">
        <f>B32*C32</f>
        <v>2.548</v>
      </c>
      <c r="E32" s="116">
        <f t="shared" si="4"/>
        <v>364</v>
      </c>
      <c r="F32" s="114">
        <f>C32</f>
        <v>7.0000000000000001E-3</v>
      </c>
      <c r="G32" s="115">
        <f>E32*F32</f>
        <v>2.548</v>
      </c>
      <c r="H32" s="115">
        <f t="shared" si="2"/>
        <v>0</v>
      </c>
      <c r="I32" s="117">
        <f t="shared" si="3"/>
        <v>0</v>
      </c>
      <c r="J32" s="118">
        <f t="shared" si="9"/>
        <v>2.5189962650142041E-2</v>
      </c>
    </row>
    <row r="33" spans="1:10" x14ac:dyDescent="0.2">
      <c r="A33" s="37" t="s">
        <v>111</v>
      </c>
      <c r="B33" s="38"/>
      <c r="C33" s="39"/>
      <c r="D33" s="39">
        <f>SUM(D14,D22,D25,D31,D32)</f>
        <v>95.456267120000007</v>
      </c>
      <c r="E33" s="38"/>
      <c r="F33" s="39"/>
      <c r="G33" s="39">
        <f>SUM(G14,G22,G25,G31,G32)</f>
        <v>96.334667120000006</v>
      </c>
      <c r="H33" s="39">
        <f t="shared" si="2"/>
        <v>0.87839999999999918</v>
      </c>
      <c r="I33" s="40">
        <f>IF(ISERROR(H33/D33),0,(H33/D33))</f>
        <v>9.202119740296829E-3</v>
      </c>
      <c r="J33" s="41">
        <f t="shared" si="9"/>
        <v>0.95238095238095233</v>
      </c>
    </row>
    <row r="34" spans="1:10" x14ac:dyDescent="0.2">
      <c r="A34" s="46" t="s">
        <v>102</v>
      </c>
      <c r="B34" s="43"/>
      <c r="C34" s="26">
        <v>0.13</v>
      </c>
      <c r="D34" s="26">
        <f>D33*C34</f>
        <v>12.409314725600002</v>
      </c>
      <c r="E34" s="26"/>
      <c r="F34" s="26">
        <f>C34</f>
        <v>0.13</v>
      </c>
      <c r="G34" s="26">
        <f>G33*F34</f>
        <v>12.523506725600001</v>
      </c>
      <c r="H34" s="26">
        <f t="shared" si="2"/>
        <v>0.11419199999999918</v>
      </c>
      <c r="I34" s="44">
        <f t="shared" si="3"/>
        <v>9.2021197402967717E-3</v>
      </c>
      <c r="J34" s="45">
        <f t="shared" si="9"/>
        <v>0.12380952380952381</v>
      </c>
    </row>
    <row r="35" spans="1:10" x14ac:dyDescent="0.2">
      <c r="A35" s="46" t="s">
        <v>103</v>
      </c>
      <c r="B35" s="24"/>
      <c r="C35" s="25"/>
      <c r="D35" s="25">
        <f>SUM(D33:D34)</f>
        <v>107.8655818456</v>
      </c>
      <c r="E35" s="25"/>
      <c r="F35" s="25"/>
      <c r="G35" s="25">
        <f>SUM(G33:G34)</f>
        <v>108.85817384560001</v>
      </c>
      <c r="H35" s="25">
        <f t="shared" si="2"/>
        <v>0.99259200000000192</v>
      </c>
      <c r="I35" s="27">
        <f t="shared" si="3"/>
        <v>9.202119740296855E-3</v>
      </c>
      <c r="J35" s="47">
        <f t="shared" si="9"/>
        <v>1.0761904761904761</v>
      </c>
    </row>
    <row r="36" spans="1:10" x14ac:dyDescent="0.2">
      <c r="A36" s="46" t="s">
        <v>104</v>
      </c>
      <c r="B36" s="43"/>
      <c r="C36" s="26">
        <v>-0.08</v>
      </c>
      <c r="D36" s="26">
        <f>D33*C36</f>
        <v>-7.6365013696000004</v>
      </c>
      <c r="E36" s="26"/>
      <c r="F36" s="26">
        <f>C36</f>
        <v>-0.08</v>
      </c>
      <c r="G36" s="26">
        <f>G33*F36</f>
        <v>-7.7067733696000005</v>
      </c>
      <c r="H36" s="26">
        <f t="shared" si="2"/>
        <v>-7.0272000000000112E-2</v>
      </c>
      <c r="I36" s="44">
        <f t="shared" si="3"/>
        <v>9.2021197402968515E-3</v>
      </c>
      <c r="J36" s="45">
        <f t="shared" si="9"/>
        <v>-7.6190476190476197E-2</v>
      </c>
    </row>
    <row r="37" spans="1:10" ht="13.5" thickBot="1" x14ac:dyDescent="0.25">
      <c r="A37" s="46" t="s">
        <v>105</v>
      </c>
      <c r="B37" s="49"/>
      <c r="C37" s="50"/>
      <c r="D37" s="50">
        <f>SUM(D35:D36)</f>
        <v>100.22908047600001</v>
      </c>
      <c r="E37" s="50"/>
      <c r="F37" s="50"/>
      <c r="G37" s="50">
        <f>SUM(G35:G36)</f>
        <v>101.15140047600001</v>
      </c>
      <c r="H37" s="50">
        <f t="shared" si="2"/>
        <v>0.92231999999999914</v>
      </c>
      <c r="I37" s="51">
        <f t="shared" si="3"/>
        <v>9.202119740296829E-3</v>
      </c>
      <c r="J37" s="52">
        <f t="shared" si="9"/>
        <v>1</v>
      </c>
    </row>
    <row r="38" spans="1:10" x14ac:dyDescent="0.2">
      <c r="A38" s="171"/>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1" tint="0.499984740745262"/>
    <pageSetUpPr fitToPage="1"/>
  </sheetPr>
  <dimension ref="A1:J48"/>
  <sheetViews>
    <sheetView tabSelected="1" view="pageBreakPreview"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121</v>
      </c>
      <c r="B1" s="188"/>
      <c r="C1" s="188"/>
      <c r="D1" s="188"/>
      <c r="E1" s="188"/>
      <c r="F1" s="188"/>
      <c r="G1" s="188"/>
      <c r="H1" s="188"/>
      <c r="I1" s="188"/>
      <c r="J1" s="189"/>
    </row>
    <row r="3" spans="1:10" x14ac:dyDescent="0.2">
      <c r="A3" s="13" t="s">
        <v>13</v>
      </c>
      <c r="B3" s="13" t="s">
        <v>12</v>
      </c>
    </row>
    <row r="4" spans="1:10" x14ac:dyDescent="0.2">
      <c r="A4" s="15" t="s">
        <v>62</v>
      </c>
      <c r="B4" s="15">
        <v>1000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1092</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24">
        <f t="shared" ref="J12:J28" si="0">G12/$G$37</f>
        <v>0.35386091737817565</v>
      </c>
    </row>
    <row r="13" spans="1:10" x14ac:dyDescent="0.2">
      <c r="A13" s="107" t="s">
        <v>32</v>
      </c>
      <c r="B13" s="73">
        <f>IF(B4&gt;B7,(B4)-B7,0)</f>
        <v>250</v>
      </c>
      <c r="C13" s="21">
        <v>0.121</v>
      </c>
      <c r="D13" s="22">
        <f>B13*C13</f>
        <v>30.25</v>
      </c>
      <c r="E13" s="73">
        <f t="shared" ref="E13" si="1">B13</f>
        <v>250</v>
      </c>
      <c r="F13" s="21">
        <f>C13</f>
        <v>0.121</v>
      </c>
      <c r="G13" s="22">
        <f>E13*F13</f>
        <v>30.25</v>
      </c>
      <c r="H13" s="22">
        <f t="shared" ref="H13:H37" si="2">G13-D13</f>
        <v>0</v>
      </c>
      <c r="I13" s="23">
        <f t="shared" ref="I13:I37" si="3">IF(ISERROR(H13/D13),0,(H13/D13))</f>
        <v>0</v>
      </c>
      <c r="J13" s="125">
        <f t="shared" si="0"/>
        <v>0.13856689644905906</v>
      </c>
    </row>
    <row r="14" spans="1:10" s="1" customFormat="1" x14ac:dyDescent="0.2">
      <c r="A14" s="46" t="s">
        <v>33</v>
      </c>
      <c r="B14" s="24"/>
      <c r="C14" s="25"/>
      <c r="D14" s="25">
        <f>SUM(D12:D13)</f>
        <v>107.5</v>
      </c>
      <c r="E14" s="76"/>
      <c r="F14" s="25"/>
      <c r="G14" s="25">
        <f>SUM(G12:G13)</f>
        <v>107.5</v>
      </c>
      <c r="H14" s="25">
        <f t="shared" si="2"/>
        <v>0</v>
      </c>
      <c r="I14" s="27">
        <f t="shared" si="3"/>
        <v>0</v>
      </c>
      <c r="J14" s="47">
        <f t="shared" si="0"/>
        <v>0.49242781382723472</v>
      </c>
    </row>
    <row r="15" spans="1:10" x14ac:dyDescent="0.2">
      <c r="A15" s="107" t="s">
        <v>38</v>
      </c>
      <c r="B15" s="73">
        <v>1</v>
      </c>
      <c r="C15" s="78">
        <f>VLOOKUP($B$3,'Data for Bill Impacts'!$A$3:$Y$15,7,0)</f>
        <v>35.1</v>
      </c>
      <c r="D15" s="22">
        <f>B15*C15</f>
        <v>35.1</v>
      </c>
      <c r="E15" s="73">
        <f t="shared" ref="E15:E32" si="4">B15</f>
        <v>1</v>
      </c>
      <c r="F15" s="78">
        <f>VLOOKUP($B$3,'Data for Bill Impacts'!$A$3:$Y$15,17,0)</f>
        <v>35.76</v>
      </c>
      <c r="G15" s="22">
        <f>E15*F15</f>
        <v>35.76</v>
      </c>
      <c r="H15" s="22">
        <f t="shared" si="2"/>
        <v>0.65999999999999659</v>
      </c>
      <c r="I15" s="23">
        <f t="shared" si="3"/>
        <v>1.8803418803418705E-2</v>
      </c>
      <c r="J15" s="125">
        <f t="shared" si="0"/>
        <v>0.1638066848601108</v>
      </c>
    </row>
    <row r="16" spans="1:10" x14ac:dyDescent="0.2">
      <c r="A16" s="107" t="s">
        <v>85</v>
      </c>
      <c r="B16" s="73">
        <v>1</v>
      </c>
      <c r="C16" s="128">
        <f>VLOOKUP($B$3,'Data for Bill Impacts'!$A$3:$Y$15,13,0)</f>
        <v>-0.01</v>
      </c>
      <c r="D16" s="22">
        <f t="shared" ref="D16" si="5">B16*C16</f>
        <v>-0.01</v>
      </c>
      <c r="E16" s="73">
        <f t="shared" si="4"/>
        <v>1</v>
      </c>
      <c r="F16" s="128">
        <f>VLOOKUP($B$3,'Data for Bill Impacts'!$A$3:$Y$15,22,0)</f>
        <v>-0.01</v>
      </c>
      <c r="G16" s="22">
        <f t="shared" ref="G16" si="6">E16*F16</f>
        <v>-0.01</v>
      </c>
      <c r="H16" s="22">
        <f t="shared" si="2"/>
        <v>0</v>
      </c>
      <c r="I16" s="23">
        <f t="shared" si="3"/>
        <v>0</v>
      </c>
      <c r="J16" s="125">
        <f t="shared" si="0"/>
        <v>-4.5807238495556715E-5</v>
      </c>
    </row>
    <row r="17" spans="1:10" x14ac:dyDescent="0.2">
      <c r="A17" s="107" t="s">
        <v>39</v>
      </c>
      <c r="B17" s="73">
        <f>IF($B$9="kWh",$B$4,$B$5)</f>
        <v>1000</v>
      </c>
      <c r="C17" s="78">
        <f>VLOOKUP($B$3,'Data for Bill Impacts'!$A$3:$Y$15,10,0)</f>
        <v>2.87E-2</v>
      </c>
      <c r="D17" s="22">
        <f>B17*C17</f>
        <v>28.7</v>
      </c>
      <c r="E17" s="73">
        <f t="shared" si="4"/>
        <v>1000</v>
      </c>
      <c r="F17" s="78">
        <f>VLOOKUP($B$3,'Data for Bill Impacts'!$A$3:$Y$15,19,0)</f>
        <v>2.93E-2</v>
      </c>
      <c r="G17" s="22">
        <f>E17*F17</f>
        <v>29.3</v>
      </c>
      <c r="H17" s="22">
        <f t="shared" si="2"/>
        <v>0.60000000000000142</v>
      </c>
      <c r="I17" s="23">
        <f t="shared" si="3"/>
        <v>2.0905923344947785E-2</v>
      </c>
      <c r="J17" s="125">
        <f t="shared" si="0"/>
        <v>0.13421520879198118</v>
      </c>
    </row>
    <row r="18" spans="1:10" s="1" customFormat="1" x14ac:dyDescent="0.2">
      <c r="A18" s="107" t="s">
        <v>122</v>
      </c>
      <c r="B18" s="73">
        <f>IF($B$9="kWh",$B$4,$B$5)</f>
        <v>1000</v>
      </c>
      <c r="C18" s="126">
        <f>VLOOKUP($B$3,'Data for Bill Impacts'!$A$3:$Y$15,14,0)</f>
        <v>2.0000000000000001E-4</v>
      </c>
      <c r="D18" s="22">
        <f>B18*C18</f>
        <v>0.2</v>
      </c>
      <c r="E18" s="73">
        <f>B18</f>
        <v>1000</v>
      </c>
      <c r="F18" s="126">
        <f>VLOOKUP($B$3,'Data for Bill Impacts'!$A$3:$Y$15,23,0)</f>
        <v>2.0000000000000001E-4</v>
      </c>
      <c r="G18" s="22">
        <f>E18*F18</f>
        <v>0.2</v>
      </c>
      <c r="H18" s="22">
        <f>G18-D18</f>
        <v>0</v>
      </c>
      <c r="I18" s="23">
        <f>IF(ISERROR(H18/D18),0,(H18/D18))</f>
        <v>0</v>
      </c>
      <c r="J18" s="125">
        <f t="shared" si="0"/>
        <v>9.1614476991113433E-4</v>
      </c>
    </row>
    <row r="19" spans="1:10" hidden="1" x14ac:dyDescent="0.2">
      <c r="A19" s="107" t="s">
        <v>108</v>
      </c>
      <c r="B19" s="73">
        <f>B8</f>
        <v>1092</v>
      </c>
      <c r="C19" s="78">
        <v>0</v>
      </c>
      <c r="D19" s="22">
        <f>B19*C19</f>
        <v>0</v>
      </c>
      <c r="E19" s="73">
        <f t="shared" si="4"/>
        <v>1092</v>
      </c>
      <c r="F19" s="78">
        <v>0</v>
      </c>
      <c r="G19" s="22">
        <f>E19*F19</f>
        <v>0</v>
      </c>
      <c r="H19" s="22">
        <f t="shared" si="2"/>
        <v>0</v>
      </c>
      <c r="I19" s="23">
        <f>IF(ISERROR(H19/D19),0,(H19/D19))</f>
        <v>0</v>
      </c>
      <c r="J19" s="125">
        <f t="shared" si="0"/>
        <v>0</v>
      </c>
    </row>
    <row r="20" spans="1:10" x14ac:dyDescent="0.2">
      <c r="A20" s="110" t="s">
        <v>72</v>
      </c>
      <c r="B20" s="74"/>
      <c r="C20" s="35"/>
      <c r="D20" s="35">
        <f>SUM(D15:D19)</f>
        <v>63.990000000000009</v>
      </c>
      <c r="E20" s="73"/>
      <c r="F20" s="35"/>
      <c r="G20" s="35">
        <f>SUM(G15:G19)</f>
        <v>65.25</v>
      </c>
      <c r="H20" s="35">
        <f t="shared" si="2"/>
        <v>1.2599999999999909</v>
      </c>
      <c r="I20" s="36">
        <f t="shared" si="3"/>
        <v>1.9690576652601825E-2</v>
      </c>
      <c r="J20" s="111">
        <f t="shared" si="0"/>
        <v>0.29889223118350755</v>
      </c>
    </row>
    <row r="21" spans="1:10" s="1" customFormat="1" x14ac:dyDescent="0.2">
      <c r="A21" s="119" t="s">
        <v>81</v>
      </c>
      <c r="B21" s="120">
        <f>B8-B4</f>
        <v>92</v>
      </c>
      <c r="C21" s="121">
        <f>IF(B4&gt;B7,C13,C12)</f>
        <v>0.121</v>
      </c>
      <c r="D21" s="22">
        <f>B21*C21</f>
        <v>11.132</v>
      </c>
      <c r="E21" s="73">
        <f>B21</f>
        <v>92</v>
      </c>
      <c r="F21" s="121">
        <f>C21</f>
        <v>0.121</v>
      </c>
      <c r="G21" s="22">
        <f>E21*F21</f>
        <v>11.132</v>
      </c>
      <c r="H21" s="22">
        <f t="shared" si="2"/>
        <v>0</v>
      </c>
      <c r="I21" s="23">
        <f>IF(ISERROR(H21/D21),0,(H21/D21))</f>
        <v>0</v>
      </c>
      <c r="J21" s="125">
        <f t="shared" si="0"/>
        <v>5.0992617893253732E-2</v>
      </c>
    </row>
    <row r="22" spans="1:10" x14ac:dyDescent="0.2">
      <c r="A22" s="110" t="s">
        <v>79</v>
      </c>
      <c r="B22" s="74"/>
      <c r="C22" s="35"/>
      <c r="D22" s="35">
        <f>SUM(D20,D21:D21)</f>
        <v>75.122000000000014</v>
      </c>
      <c r="E22" s="73"/>
      <c r="F22" s="35"/>
      <c r="G22" s="35">
        <f>SUM(G20,G21:G21)</f>
        <v>76.382000000000005</v>
      </c>
      <c r="H22" s="35">
        <f t="shared" si="2"/>
        <v>1.2599999999999909</v>
      </c>
      <c r="I22" s="36">
        <f>IF(ISERROR(H22/D22),0,(H22/D22))</f>
        <v>1.6772716381352876E-2</v>
      </c>
      <c r="J22" s="111">
        <f t="shared" si="0"/>
        <v>0.34988484907676132</v>
      </c>
    </row>
    <row r="23" spans="1:10" x14ac:dyDescent="0.2">
      <c r="A23" s="107" t="s">
        <v>40</v>
      </c>
      <c r="B23" s="73">
        <f>B8</f>
        <v>1092</v>
      </c>
      <c r="C23" s="78">
        <f>VLOOKUP($B$3,'Data for Bill Impacts'!$A$3:$Y$15,15,0)</f>
        <v>4.7699999999999999E-3</v>
      </c>
      <c r="D23" s="22">
        <f>B23*C23</f>
        <v>5.2088400000000004</v>
      </c>
      <c r="E23" s="73">
        <f t="shared" si="4"/>
        <v>1092</v>
      </c>
      <c r="F23" s="126">
        <f>VLOOKUP($B$3,'Data for Bill Impacts'!$A$3:$Y$15,24,0)</f>
        <v>4.7699999999999999E-3</v>
      </c>
      <c r="G23" s="22">
        <f>E23*F23</f>
        <v>5.2088400000000004</v>
      </c>
      <c r="H23" s="22">
        <f t="shared" si="2"/>
        <v>0</v>
      </c>
      <c r="I23" s="23">
        <f t="shared" si="3"/>
        <v>0</v>
      </c>
      <c r="J23" s="125">
        <f t="shared" si="0"/>
        <v>2.3860257616519567E-2</v>
      </c>
    </row>
    <row r="24" spans="1:10" s="1" customFormat="1" x14ac:dyDescent="0.2">
      <c r="A24" s="107" t="s">
        <v>41</v>
      </c>
      <c r="B24" s="73">
        <f>B8</f>
        <v>1092</v>
      </c>
      <c r="C24" s="78">
        <f>VLOOKUP($B$3,'Data for Bill Impacts'!$A$3:$Y$15,16,0)</f>
        <v>3.7950000000000002E-3</v>
      </c>
      <c r="D24" s="22">
        <f>B24*C24</f>
        <v>4.1441400000000002</v>
      </c>
      <c r="E24" s="73">
        <f t="shared" si="4"/>
        <v>1092</v>
      </c>
      <c r="F24" s="126">
        <f>VLOOKUP($B$3,'Data for Bill Impacts'!$A$3:$Y$15,25,0)</f>
        <v>3.7950000000000002E-3</v>
      </c>
      <c r="G24" s="22">
        <f>E24*F24</f>
        <v>4.1441400000000002</v>
      </c>
      <c r="H24" s="22">
        <f t="shared" si="2"/>
        <v>0</v>
      </c>
      <c r="I24" s="23">
        <f t="shared" si="3"/>
        <v>0</v>
      </c>
      <c r="J24" s="125">
        <f t="shared" si="0"/>
        <v>1.8983160933897642E-2</v>
      </c>
    </row>
    <row r="25" spans="1:10" s="1" customFormat="1" x14ac:dyDescent="0.2">
      <c r="A25" s="110" t="s">
        <v>76</v>
      </c>
      <c r="B25" s="74"/>
      <c r="C25" s="35"/>
      <c r="D25" s="35">
        <f>SUM(D23:D24)</f>
        <v>9.3529800000000005</v>
      </c>
      <c r="E25" s="73"/>
      <c r="F25" s="35"/>
      <c r="G25" s="35">
        <f>SUM(G23:G24)</f>
        <v>9.3529800000000005</v>
      </c>
      <c r="H25" s="35">
        <f t="shared" si="2"/>
        <v>0</v>
      </c>
      <c r="I25" s="36">
        <f t="shared" si="3"/>
        <v>0</v>
      </c>
      <c r="J25" s="111">
        <f t="shared" si="0"/>
        <v>4.2843418550417206E-2</v>
      </c>
    </row>
    <row r="26" spans="1:10" s="1" customFormat="1" x14ac:dyDescent="0.2">
      <c r="A26" s="110" t="s">
        <v>80</v>
      </c>
      <c r="B26" s="74"/>
      <c r="C26" s="35"/>
      <c r="D26" s="35">
        <f>D22+D25</f>
        <v>84.474980000000016</v>
      </c>
      <c r="E26" s="73"/>
      <c r="F26" s="35"/>
      <c r="G26" s="35">
        <f>G22+G25</f>
        <v>85.734980000000007</v>
      </c>
      <c r="H26" s="35">
        <f t="shared" si="2"/>
        <v>1.2599999999999909</v>
      </c>
      <c r="I26" s="36">
        <f t="shared" si="3"/>
        <v>1.4915659050762612E-2</v>
      </c>
      <c r="J26" s="111">
        <f t="shared" si="0"/>
        <v>0.39272826762717855</v>
      </c>
    </row>
    <row r="27" spans="1:10" x14ac:dyDescent="0.2">
      <c r="A27" s="107" t="s">
        <v>42</v>
      </c>
      <c r="B27" s="73">
        <f>B8</f>
        <v>1092</v>
      </c>
      <c r="C27" s="34">
        <v>3.5999999999999999E-3</v>
      </c>
      <c r="D27" s="22">
        <f>B27*C27</f>
        <v>3.9312</v>
      </c>
      <c r="E27" s="73">
        <f t="shared" si="4"/>
        <v>1092</v>
      </c>
      <c r="F27" s="34">
        <v>3.5999999999999999E-3</v>
      </c>
      <c r="G27" s="22">
        <f>E27*F27</f>
        <v>3.9312</v>
      </c>
      <c r="H27" s="22">
        <f t="shared" si="2"/>
        <v>0</v>
      </c>
      <c r="I27" s="23">
        <f t="shared" si="3"/>
        <v>0</v>
      </c>
      <c r="J27" s="125">
        <f t="shared" si="0"/>
        <v>1.8007741597373256E-2</v>
      </c>
    </row>
    <row r="28" spans="1:10" s="1" customFormat="1" x14ac:dyDescent="0.2">
      <c r="A28" s="107" t="s">
        <v>43</v>
      </c>
      <c r="B28" s="73">
        <f>B8</f>
        <v>1092</v>
      </c>
      <c r="C28" s="34">
        <v>2.0999999999999999E-3</v>
      </c>
      <c r="D28" s="22">
        <f>B28*C28</f>
        <v>2.2931999999999997</v>
      </c>
      <c r="E28" s="73">
        <f t="shared" si="4"/>
        <v>1092</v>
      </c>
      <c r="F28" s="34">
        <v>2.0999999999999999E-3</v>
      </c>
      <c r="G28" s="22">
        <f>E28*F28</f>
        <v>2.2931999999999997</v>
      </c>
      <c r="H28" s="22">
        <f>G28-D28</f>
        <v>0</v>
      </c>
      <c r="I28" s="23">
        <f t="shared" si="3"/>
        <v>0</v>
      </c>
      <c r="J28" s="125">
        <f t="shared" si="0"/>
        <v>1.0504515931801064E-2</v>
      </c>
    </row>
    <row r="29" spans="1:10" s="1" customFormat="1" x14ac:dyDescent="0.2">
      <c r="A29" s="107" t="s">
        <v>96</v>
      </c>
      <c r="B29" s="73">
        <f>B8</f>
        <v>1092</v>
      </c>
      <c r="C29" s="34">
        <v>1.1000000000000001E-3</v>
      </c>
      <c r="D29" s="22">
        <f>B29*C29</f>
        <v>1.2012</v>
      </c>
      <c r="E29" s="73">
        <f t="shared" si="4"/>
        <v>1092</v>
      </c>
      <c r="F29" s="34">
        <v>1.1000000000000001E-3</v>
      </c>
      <c r="G29" s="22">
        <f>E29*F29</f>
        <v>1.2012</v>
      </c>
      <c r="H29" s="22">
        <f>G29-D29</f>
        <v>0</v>
      </c>
      <c r="I29" s="23">
        <f t="shared" ref="I29" si="7">IF(ISERROR(H29/D29),0,(H29/D29))</f>
        <v>0</v>
      </c>
      <c r="J29" s="125">
        <f t="shared" ref="J29" si="8">G29/$G$37</f>
        <v>5.5023654880862732E-3</v>
      </c>
    </row>
    <row r="30" spans="1:10" x14ac:dyDescent="0.2">
      <c r="A30" s="107" t="s">
        <v>44</v>
      </c>
      <c r="B30" s="73">
        <v>1</v>
      </c>
      <c r="C30" s="22">
        <v>0.25</v>
      </c>
      <c r="D30" s="22">
        <f>B30*C30</f>
        <v>0.25</v>
      </c>
      <c r="E30" s="73">
        <f t="shared" si="4"/>
        <v>1</v>
      </c>
      <c r="F30" s="22">
        <f>C30</f>
        <v>0.25</v>
      </c>
      <c r="G30" s="22">
        <f>E30*F30</f>
        <v>0.25</v>
      </c>
      <c r="H30" s="22">
        <f t="shared" si="2"/>
        <v>0</v>
      </c>
      <c r="I30" s="23">
        <f t="shared" si="3"/>
        <v>0</v>
      </c>
      <c r="J30" s="125">
        <f t="shared" ref="J30:J37" si="9">G30/$G$37</f>
        <v>1.1451809623889179E-3</v>
      </c>
    </row>
    <row r="31" spans="1:10" s="1" customFormat="1" x14ac:dyDescent="0.2">
      <c r="A31" s="110" t="s">
        <v>45</v>
      </c>
      <c r="B31" s="74"/>
      <c r="C31" s="35"/>
      <c r="D31" s="35">
        <f>SUM(D27:D30)</f>
        <v>7.6755999999999993</v>
      </c>
      <c r="E31" s="73"/>
      <c r="F31" s="35"/>
      <c r="G31" s="35">
        <f>SUM(G27:G30)</f>
        <v>7.6755999999999993</v>
      </c>
      <c r="H31" s="35">
        <f t="shared" si="2"/>
        <v>0</v>
      </c>
      <c r="I31" s="36">
        <f t="shared" si="3"/>
        <v>0</v>
      </c>
      <c r="J31" s="111">
        <f t="shared" si="9"/>
        <v>3.5159803979649511E-2</v>
      </c>
    </row>
    <row r="32" spans="1:10" ht="13.5" thickBot="1" x14ac:dyDescent="0.25">
      <c r="A32" s="112" t="s">
        <v>46</v>
      </c>
      <c r="B32" s="113">
        <f>B4</f>
        <v>1000</v>
      </c>
      <c r="C32" s="114">
        <v>7.0000000000000001E-3</v>
      </c>
      <c r="D32" s="115">
        <f>B32*C32</f>
        <v>7</v>
      </c>
      <c r="E32" s="116">
        <f t="shared" si="4"/>
        <v>1000</v>
      </c>
      <c r="F32" s="114">
        <f>C32</f>
        <v>7.0000000000000001E-3</v>
      </c>
      <c r="G32" s="115">
        <f>E32*F32</f>
        <v>7</v>
      </c>
      <c r="H32" s="115">
        <f t="shared" si="2"/>
        <v>0</v>
      </c>
      <c r="I32" s="117">
        <f t="shared" si="3"/>
        <v>0</v>
      </c>
      <c r="J32" s="118">
        <f t="shared" si="9"/>
        <v>3.2065066946889702E-2</v>
      </c>
    </row>
    <row r="33" spans="1:10" x14ac:dyDescent="0.2">
      <c r="A33" s="37" t="s">
        <v>111</v>
      </c>
      <c r="B33" s="38"/>
      <c r="C33" s="39"/>
      <c r="D33" s="39">
        <f>SUM(D14,D22,D25,D31,D32)</f>
        <v>206.65058000000002</v>
      </c>
      <c r="E33" s="38"/>
      <c r="F33" s="39"/>
      <c r="G33" s="39">
        <f>SUM(G14,G22,G25,G31,G32)</f>
        <v>207.91058000000001</v>
      </c>
      <c r="H33" s="39">
        <f t="shared" si="2"/>
        <v>1.2599999999999909</v>
      </c>
      <c r="I33" s="40">
        <f>IF(ISERROR(H33/D33),0,(H33/D33))</f>
        <v>6.0972487955271689E-3</v>
      </c>
      <c r="J33" s="41">
        <f t="shared" si="9"/>
        <v>0.95238095238095244</v>
      </c>
    </row>
    <row r="34" spans="1:10" x14ac:dyDescent="0.2">
      <c r="A34" s="46" t="s">
        <v>102</v>
      </c>
      <c r="B34" s="43"/>
      <c r="C34" s="26">
        <v>0.13</v>
      </c>
      <c r="D34" s="26">
        <f>D33*C34</f>
        <v>26.864575400000003</v>
      </c>
      <c r="E34" s="26"/>
      <c r="F34" s="26">
        <f>C34</f>
        <v>0.13</v>
      </c>
      <c r="G34" s="26">
        <f>G33*F34</f>
        <v>27.028375400000002</v>
      </c>
      <c r="H34" s="26">
        <f t="shared" si="2"/>
        <v>0.16379999999999839</v>
      </c>
      <c r="I34" s="44">
        <f t="shared" si="3"/>
        <v>6.0972487955271524E-3</v>
      </c>
      <c r="J34" s="45">
        <f t="shared" si="9"/>
        <v>0.12380952380952383</v>
      </c>
    </row>
    <row r="35" spans="1:10" x14ac:dyDescent="0.2">
      <c r="A35" s="46" t="s">
        <v>103</v>
      </c>
      <c r="B35" s="24"/>
      <c r="C35" s="25"/>
      <c r="D35" s="25">
        <f>SUM(D33:D34)</f>
        <v>233.51515540000003</v>
      </c>
      <c r="E35" s="25"/>
      <c r="F35" s="25"/>
      <c r="G35" s="25">
        <f>SUM(G33:G34)</f>
        <v>234.9389554</v>
      </c>
      <c r="H35" s="25">
        <f t="shared" si="2"/>
        <v>1.4237999999999715</v>
      </c>
      <c r="I35" s="27">
        <f t="shared" si="3"/>
        <v>6.0972487955270908E-3</v>
      </c>
      <c r="J35" s="47">
        <f t="shared" si="9"/>
        <v>1.0761904761904761</v>
      </c>
    </row>
    <row r="36" spans="1:10" x14ac:dyDescent="0.2">
      <c r="A36" s="46" t="s">
        <v>104</v>
      </c>
      <c r="B36" s="43"/>
      <c r="C36" s="26">
        <v>-0.08</v>
      </c>
      <c r="D36" s="26">
        <f>D33*C36</f>
        <v>-16.532046400000002</v>
      </c>
      <c r="E36" s="26"/>
      <c r="F36" s="26">
        <f>C36</f>
        <v>-0.08</v>
      </c>
      <c r="G36" s="26">
        <f>G33*F36</f>
        <v>-16.632846400000002</v>
      </c>
      <c r="H36" s="26">
        <f t="shared" si="2"/>
        <v>-0.10079999999999956</v>
      </c>
      <c r="I36" s="44">
        <f t="shared" si="3"/>
        <v>6.0972487955271853E-3</v>
      </c>
      <c r="J36" s="45">
        <f t="shared" si="9"/>
        <v>-7.6190476190476197E-2</v>
      </c>
    </row>
    <row r="37" spans="1:10" ht="13.5" thickBot="1" x14ac:dyDescent="0.25">
      <c r="A37" s="46" t="s">
        <v>105</v>
      </c>
      <c r="B37" s="49"/>
      <c r="C37" s="50"/>
      <c r="D37" s="50">
        <f>SUM(D35:D36)</f>
        <v>216.98310900000001</v>
      </c>
      <c r="E37" s="50"/>
      <c r="F37" s="50"/>
      <c r="G37" s="50">
        <f>SUM(G35:G36)</f>
        <v>218.30610899999999</v>
      </c>
      <c r="H37" s="50">
        <f t="shared" si="2"/>
        <v>1.3229999999999791</v>
      </c>
      <c r="I37" s="51">
        <f t="shared" si="3"/>
        <v>6.097248795527116E-3</v>
      </c>
      <c r="J37" s="52">
        <f t="shared" si="9"/>
        <v>1</v>
      </c>
    </row>
    <row r="38" spans="1:10" x14ac:dyDescent="0.2">
      <c r="A38" s="171"/>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theme="1" tint="0.499984740745262"/>
    <pageSetUpPr fitToPage="1"/>
  </sheetPr>
  <dimension ref="A1:J48"/>
  <sheetViews>
    <sheetView tabSelected="1" view="pageBreakPreview" topLeftCell="A10"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118</v>
      </c>
      <c r="B1" s="188"/>
      <c r="C1" s="188"/>
      <c r="D1" s="188"/>
      <c r="E1" s="188"/>
      <c r="F1" s="188"/>
      <c r="G1" s="188"/>
      <c r="H1" s="188"/>
      <c r="I1" s="188"/>
      <c r="J1" s="189"/>
    </row>
    <row r="3" spans="1:10" x14ac:dyDescent="0.2">
      <c r="A3" s="13" t="s">
        <v>13</v>
      </c>
      <c r="B3" s="13" t="s">
        <v>9</v>
      </c>
    </row>
    <row r="4" spans="1:10" x14ac:dyDescent="0.2">
      <c r="A4" s="15" t="s">
        <v>62</v>
      </c>
      <c r="B4" s="15">
        <v>20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21.840000000000003</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20</v>
      </c>
      <c r="C12" s="103">
        <v>0.10299999999999999</v>
      </c>
      <c r="D12" s="104">
        <f>B12*C12</f>
        <v>2.06</v>
      </c>
      <c r="E12" s="102">
        <f>B12</f>
        <v>20</v>
      </c>
      <c r="F12" s="103">
        <f>C12</f>
        <v>0.10299999999999999</v>
      </c>
      <c r="G12" s="104">
        <f>E12*F12</f>
        <v>2.06</v>
      </c>
      <c r="H12" s="104">
        <f>G12-D12</f>
        <v>0</v>
      </c>
      <c r="I12" s="105">
        <f>IF(ISERROR(H12/D12),0,(H12/D12))</f>
        <v>0</v>
      </c>
      <c r="J12" s="124">
        <f t="shared" ref="J12:J28" si="0">G12/$G$37</f>
        <v>0.22487741521640697</v>
      </c>
    </row>
    <row r="13" spans="1:10" x14ac:dyDescent="0.2">
      <c r="A13" s="107" t="s">
        <v>32</v>
      </c>
      <c r="B13" s="73">
        <f>IF(B4&gt;B7,(B4)-B7,0)</f>
        <v>0</v>
      </c>
      <c r="C13" s="21">
        <v>0.121</v>
      </c>
      <c r="D13" s="22">
        <f>B13*C13</f>
        <v>0</v>
      </c>
      <c r="E13" s="73">
        <f t="shared" ref="E13" si="1">B13</f>
        <v>0</v>
      </c>
      <c r="F13" s="21">
        <f>C13</f>
        <v>0.121</v>
      </c>
      <c r="G13" s="22">
        <f>E13*F13</f>
        <v>0</v>
      </c>
      <c r="H13" s="22">
        <f t="shared" ref="H13:H37" si="2">G13-D13</f>
        <v>0</v>
      </c>
      <c r="I13" s="23">
        <f t="shared" ref="I13:I37" si="3">IF(ISERROR(H13/D13),0,(H13/D13))</f>
        <v>0</v>
      </c>
      <c r="J13" s="125">
        <f t="shared" si="0"/>
        <v>0</v>
      </c>
    </row>
    <row r="14" spans="1:10" s="1" customFormat="1" x14ac:dyDescent="0.2">
      <c r="A14" s="46" t="s">
        <v>33</v>
      </c>
      <c r="B14" s="24"/>
      <c r="C14" s="25"/>
      <c r="D14" s="25">
        <f>SUM(D12:D13)</f>
        <v>2.06</v>
      </c>
      <c r="E14" s="76"/>
      <c r="F14" s="25"/>
      <c r="G14" s="25">
        <f>SUM(G12:G13)</f>
        <v>2.06</v>
      </c>
      <c r="H14" s="25">
        <f t="shared" si="2"/>
        <v>0</v>
      </c>
      <c r="I14" s="27">
        <f t="shared" si="3"/>
        <v>0</v>
      </c>
      <c r="J14" s="47">
        <f t="shared" si="0"/>
        <v>0.22487741521640697</v>
      </c>
    </row>
    <row r="15" spans="1:10" x14ac:dyDescent="0.2">
      <c r="A15" s="107" t="s">
        <v>38</v>
      </c>
      <c r="B15" s="73">
        <v>1</v>
      </c>
      <c r="C15" s="122">
        <f>VLOOKUP($B$3,'Data for Bill Impacts'!$A$3:$Y$15,7,0)</f>
        <v>3.1</v>
      </c>
      <c r="D15" s="22">
        <f>B15*C15</f>
        <v>3.1</v>
      </c>
      <c r="E15" s="73">
        <f t="shared" ref="E15:E32" si="4">B15</f>
        <v>1</v>
      </c>
      <c r="F15" s="78">
        <f>VLOOKUP($B$3,'Data for Bill Impacts'!$A$3:$Y$15,17,0)</f>
        <v>3.26</v>
      </c>
      <c r="G15" s="22">
        <f>E15*F15</f>
        <v>3.26</v>
      </c>
      <c r="H15" s="22">
        <f t="shared" si="2"/>
        <v>0.1599999999999997</v>
      </c>
      <c r="I15" s="23">
        <f t="shared" si="3"/>
        <v>5.1612903225806354E-2</v>
      </c>
      <c r="J15" s="125">
        <f t="shared" si="0"/>
        <v>0.35587396776965369</v>
      </c>
    </row>
    <row r="16" spans="1:10" x14ac:dyDescent="0.2">
      <c r="A16" s="107" t="s">
        <v>85</v>
      </c>
      <c r="B16" s="73">
        <v>1</v>
      </c>
      <c r="C16" s="122">
        <f>VLOOKUP($B$3,'Data for Bill Impacts'!$A$3:$Y$15,13,0)</f>
        <v>0</v>
      </c>
      <c r="D16" s="22">
        <f t="shared" ref="D16" si="5">B16*C16</f>
        <v>0</v>
      </c>
      <c r="E16" s="73">
        <f t="shared" si="4"/>
        <v>1</v>
      </c>
      <c r="F16" s="122">
        <f>VLOOKUP($B$3,'Data for Bill Impacts'!$A$3:$Y$15,22,0)</f>
        <v>0</v>
      </c>
      <c r="G16" s="22">
        <f t="shared" ref="G16" si="6">E16*F16</f>
        <v>0</v>
      </c>
      <c r="H16" s="22">
        <f t="shared" si="2"/>
        <v>0</v>
      </c>
      <c r="I16" s="23">
        <f t="shared" si="3"/>
        <v>0</v>
      </c>
      <c r="J16" s="125">
        <f t="shared" si="0"/>
        <v>0</v>
      </c>
    </row>
    <row r="17" spans="1:10" x14ac:dyDescent="0.2">
      <c r="A17" s="107" t="s">
        <v>39</v>
      </c>
      <c r="B17" s="73">
        <f>IF($B$9="kWh",$B$4,$B$5)</f>
        <v>20</v>
      </c>
      <c r="C17" s="126">
        <f>VLOOKUP($B$3,'Data for Bill Impacts'!$A$3:$Y$15,10,0)</f>
        <v>0.11799999999999999</v>
      </c>
      <c r="D17" s="22">
        <f>B17*C17</f>
        <v>2.36</v>
      </c>
      <c r="E17" s="73">
        <f t="shared" si="4"/>
        <v>20</v>
      </c>
      <c r="F17" s="78">
        <f>VLOOKUP($B$3,'Data for Bill Impacts'!$A$3:$Y$15,19,0)</f>
        <v>0.1239</v>
      </c>
      <c r="G17" s="22">
        <f>E17*F17</f>
        <v>2.4779999999999998</v>
      </c>
      <c r="H17" s="22">
        <f t="shared" si="2"/>
        <v>0.11799999999999988</v>
      </c>
      <c r="I17" s="23">
        <f t="shared" si="3"/>
        <v>4.9999999999999954E-2</v>
      </c>
      <c r="J17" s="125">
        <f t="shared" si="0"/>
        <v>0.27050788102245454</v>
      </c>
    </row>
    <row r="18" spans="1:10" s="1" customFormat="1" x14ac:dyDescent="0.2">
      <c r="A18" s="107" t="s">
        <v>122</v>
      </c>
      <c r="B18" s="73">
        <f>IF($B$9="kWh",$B$4,$B$5)</f>
        <v>20</v>
      </c>
      <c r="C18" s="126">
        <f>VLOOKUP($B$3,'Data for Bill Impacts'!$A$3:$Y$15,14,0)</f>
        <v>1E-4</v>
      </c>
      <c r="D18" s="22">
        <f>B18*C18</f>
        <v>2E-3</v>
      </c>
      <c r="E18" s="73">
        <f>B18</f>
        <v>20</v>
      </c>
      <c r="F18" s="126">
        <f>VLOOKUP($B$3,'Data for Bill Impacts'!$A$3:$Y$15,23,0)</f>
        <v>1E-4</v>
      </c>
      <c r="G18" s="22">
        <f>E18*F18</f>
        <v>2E-3</v>
      </c>
      <c r="H18" s="22">
        <f>G18-D18</f>
        <v>0</v>
      </c>
      <c r="I18" s="23">
        <f>IF(ISERROR(H18/D18),0,(H18/D18))</f>
        <v>0</v>
      </c>
      <c r="J18" s="125">
        <f t="shared" si="0"/>
        <v>2.1832758758874463E-4</v>
      </c>
    </row>
    <row r="19" spans="1:10" hidden="1" x14ac:dyDescent="0.2">
      <c r="A19" s="107" t="s">
        <v>108</v>
      </c>
      <c r="B19" s="73">
        <f>B8</f>
        <v>21.840000000000003</v>
      </c>
      <c r="C19" s="78">
        <v>0</v>
      </c>
      <c r="D19" s="22">
        <f>B19*C19</f>
        <v>0</v>
      </c>
      <c r="E19" s="73">
        <f t="shared" si="4"/>
        <v>21.840000000000003</v>
      </c>
      <c r="F19" s="78">
        <v>0</v>
      </c>
      <c r="G19" s="22">
        <f>E19*F19</f>
        <v>0</v>
      </c>
      <c r="H19" s="22">
        <f t="shared" si="2"/>
        <v>0</v>
      </c>
      <c r="I19" s="23">
        <f>IF(ISERROR(H19/D19),0,(H19/D19))</f>
        <v>0</v>
      </c>
      <c r="J19" s="125">
        <f t="shared" si="0"/>
        <v>0</v>
      </c>
    </row>
    <row r="20" spans="1:10" x14ac:dyDescent="0.2">
      <c r="A20" s="110" t="s">
        <v>72</v>
      </c>
      <c r="B20" s="74"/>
      <c r="C20" s="35"/>
      <c r="D20" s="35">
        <f>SUM(D15:D19)</f>
        <v>5.4619999999999997</v>
      </c>
      <c r="E20" s="73"/>
      <c r="F20" s="35"/>
      <c r="G20" s="35">
        <f>SUM(G15:G19)</f>
        <v>5.7399999999999993</v>
      </c>
      <c r="H20" s="35">
        <f t="shared" si="2"/>
        <v>0.27799999999999958</v>
      </c>
      <c r="I20" s="36">
        <f t="shared" si="3"/>
        <v>5.0897107286708092E-2</v>
      </c>
      <c r="J20" s="111">
        <f t="shared" si="0"/>
        <v>0.626600176379697</v>
      </c>
    </row>
    <row r="21" spans="1:10" s="1" customFormat="1" x14ac:dyDescent="0.2">
      <c r="A21" s="119" t="s">
        <v>81</v>
      </c>
      <c r="B21" s="120">
        <f>B8-B4</f>
        <v>1.8400000000000034</v>
      </c>
      <c r="C21" s="121">
        <f>IF(B4&gt;B7,C13,C12)</f>
        <v>0.10299999999999999</v>
      </c>
      <c r="D21" s="22">
        <f>B21*C21</f>
        <v>0.18952000000000033</v>
      </c>
      <c r="E21" s="73">
        <f>B21</f>
        <v>1.8400000000000034</v>
      </c>
      <c r="F21" s="121">
        <f>C21</f>
        <v>0.10299999999999999</v>
      </c>
      <c r="G21" s="22">
        <f>E21*F21</f>
        <v>0.18952000000000033</v>
      </c>
      <c r="H21" s="22">
        <f t="shared" si="2"/>
        <v>0</v>
      </c>
      <c r="I21" s="23">
        <f>IF(ISERROR(H21/D21),0,(H21/D21))</f>
        <v>0</v>
      </c>
      <c r="J21" s="125">
        <f t="shared" si="0"/>
        <v>2.0688722199909478E-2</v>
      </c>
    </row>
    <row r="22" spans="1:10" x14ac:dyDescent="0.2">
      <c r="A22" s="110" t="s">
        <v>79</v>
      </c>
      <c r="B22" s="74"/>
      <c r="C22" s="35"/>
      <c r="D22" s="35">
        <f>SUM(D20,D21:D21)</f>
        <v>5.6515199999999997</v>
      </c>
      <c r="E22" s="73"/>
      <c r="F22" s="35"/>
      <c r="G22" s="35">
        <f>SUM(G20,G21:G21)</f>
        <v>5.9295199999999992</v>
      </c>
      <c r="H22" s="35">
        <f t="shared" si="2"/>
        <v>0.27799999999999958</v>
      </c>
      <c r="I22" s="36">
        <f>IF(ISERROR(H22/D22),0,(H22/D22))</f>
        <v>4.9190306324670106E-2</v>
      </c>
      <c r="J22" s="111">
        <f t="shared" si="0"/>
        <v>0.64728889857960636</v>
      </c>
    </row>
    <row r="23" spans="1:10" x14ac:dyDescent="0.2">
      <c r="A23" s="107" t="s">
        <v>40</v>
      </c>
      <c r="B23" s="73">
        <f>B8</f>
        <v>21.840000000000003</v>
      </c>
      <c r="C23" s="126">
        <f>VLOOKUP($B$3,'Data for Bill Impacts'!$A$3:$Y$15,15,0)</f>
        <v>4.6979999999999999E-3</v>
      </c>
      <c r="D23" s="22">
        <f>B23*C23</f>
        <v>0.10260432000000001</v>
      </c>
      <c r="E23" s="73">
        <f t="shared" si="4"/>
        <v>21.840000000000003</v>
      </c>
      <c r="F23" s="126">
        <f>VLOOKUP($B$3,'Data for Bill Impacts'!$A$3:$Y$15,24,0)</f>
        <v>4.6979999999999999E-3</v>
      </c>
      <c r="G23" s="22">
        <f>E23*F23</f>
        <v>0.10260432000000001</v>
      </c>
      <c r="H23" s="22">
        <f t="shared" si="2"/>
        <v>0</v>
      </c>
      <c r="I23" s="23">
        <f t="shared" si="3"/>
        <v>0</v>
      </c>
      <c r="J23" s="125">
        <f t="shared" si="0"/>
        <v>1.1200676830891793E-2</v>
      </c>
    </row>
    <row r="24" spans="1:10" s="1" customFormat="1" x14ac:dyDescent="0.2">
      <c r="A24" s="107" t="s">
        <v>41</v>
      </c>
      <c r="B24" s="73">
        <f>B8</f>
        <v>21.840000000000003</v>
      </c>
      <c r="C24" s="126">
        <f>VLOOKUP($B$3,'Data for Bill Impacts'!$A$3:$Y$15,16,0)</f>
        <v>4.2899999999999995E-3</v>
      </c>
      <c r="D24" s="22">
        <f>B24*C24</f>
        <v>9.3693600000000002E-2</v>
      </c>
      <c r="E24" s="73">
        <f t="shared" si="4"/>
        <v>21.840000000000003</v>
      </c>
      <c r="F24" s="126">
        <f>VLOOKUP($B$3,'Data for Bill Impacts'!$A$3:$Y$15,25,0)</f>
        <v>4.2899999999999995E-3</v>
      </c>
      <c r="G24" s="22">
        <f>E24*F24</f>
        <v>9.3693600000000002E-2</v>
      </c>
      <c r="H24" s="22">
        <f t="shared" si="2"/>
        <v>0</v>
      </c>
      <c r="I24" s="23">
        <f t="shared" si="3"/>
        <v>0</v>
      </c>
      <c r="J24" s="125">
        <f t="shared" si="0"/>
        <v>1.0227948830252402E-2</v>
      </c>
    </row>
    <row r="25" spans="1:10" s="1" customFormat="1" x14ac:dyDescent="0.2">
      <c r="A25" s="110" t="s">
        <v>76</v>
      </c>
      <c r="B25" s="74"/>
      <c r="C25" s="35"/>
      <c r="D25" s="35">
        <f>SUM(D23:D24)</f>
        <v>0.19629792000000001</v>
      </c>
      <c r="E25" s="73"/>
      <c r="F25" s="35"/>
      <c r="G25" s="35">
        <f>SUM(G23:G24)</f>
        <v>0.19629792000000001</v>
      </c>
      <c r="H25" s="35">
        <f t="shared" si="2"/>
        <v>0</v>
      </c>
      <c r="I25" s="36">
        <f t="shared" si="3"/>
        <v>0</v>
      </c>
      <c r="J25" s="111">
        <f t="shared" si="0"/>
        <v>2.1428625661144195E-2</v>
      </c>
    </row>
    <row r="26" spans="1:10" s="1" customFormat="1" x14ac:dyDescent="0.2">
      <c r="A26" s="110" t="s">
        <v>80</v>
      </c>
      <c r="B26" s="74"/>
      <c r="C26" s="35"/>
      <c r="D26" s="35">
        <f>D22+D25</f>
        <v>5.8478179199999998</v>
      </c>
      <c r="E26" s="73"/>
      <c r="F26" s="35"/>
      <c r="G26" s="35">
        <f>G22+G25</f>
        <v>6.1258179199999994</v>
      </c>
      <c r="H26" s="35">
        <f t="shared" si="2"/>
        <v>0.27799999999999958</v>
      </c>
      <c r="I26" s="36">
        <f t="shared" si="3"/>
        <v>4.7539099849401537E-2</v>
      </c>
      <c r="J26" s="111">
        <f t="shared" si="0"/>
        <v>0.66871752424075059</v>
      </c>
    </row>
    <row r="27" spans="1:10" x14ac:dyDescent="0.2">
      <c r="A27" s="107" t="s">
        <v>42</v>
      </c>
      <c r="B27" s="73">
        <f>B8</f>
        <v>21.840000000000003</v>
      </c>
      <c r="C27" s="34">
        <v>3.5999999999999999E-3</v>
      </c>
      <c r="D27" s="22">
        <f>B27*C27</f>
        <v>7.8624000000000013E-2</v>
      </c>
      <c r="E27" s="73">
        <f t="shared" si="4"/>
        <v>21.840000000000003</v>
      </c>
      <c r="F27" s="34">
        <v>3.5999999999999999E-3</v>
      </c>
      <c r="G27" s="22">
        <f>E27*F27</f>
        <v>7.8624000000000013E-2</v>
      </c>
      <c r="H27" s="22">
        <f t="shared" si="2"/>
        <v>0</v>
      </c>
      <c r="I27" s="23">
        <f t="shared" si="3"/>
        <v>0</v>
      </c>
      <c r="J27" s="125">
        <f t="shared" si="0"/>
        <v>8.5828941232887306E-3</v>
      </c>
    </row>
    <row r="28" spans="1:10" s="1" customFormat="1" x14ac:dyDescent="0.2">
      <c r="A28" s="107" t="s">
        <v>43</v>
      </c>
      <c r="B28" s="73">
        <f>B8</f>
        <v>21.840000000000003</v>
      </c>
      <c r="C28" s="34">
        <v>2.0999999999999999E-3</v>
      </c>
      <c r="D28" s="22">
        <f>B28*C28</f>
        <v>4.5864000000000002E-2</v>
      </c>
      <c r="E28" s="73">
        <f t="shared" si="4"/>
        <v>21.840000000000003</v>
      </c>
      <c r="F28" s="34">
        <v>2.0999999999999999E-3</v>
      </c>
      <c r="G28" s="22">
        <f>E28*F28</f>
        <v>4.5864000000000002E-2</v>
      </c>
      <c r="H28" s="22">
        <f>G28-D28</f>
        <v>0</v>
      </c>
      <c r="I28" s="23">
        <f t="shared" si="3"/>
        <v>0</v>
      </c>
      <c r="J28" s="125">
        <f t="shared" si="0"/>
        <v>5.0066882385850922E-3</v>
      </c>
    </row>
    <row r="29" spans="1:10" s="1" customFormat="1" x14ac:dyDescent="0.2">
      <c r="A29" s="107" t="s">
        <v>96</v>
      </c>
      <c r="B29" s="73">
        <f>B8</f>
        <v>21.840000000000003</v>
      </c>
      <c r="C29" s="34">
        <v>1.1000000000000001E-3</v>
      </c>
      <c r="D29" s="22">
        <f>B29*C29</f>
        <v>2.4024000000000004E-2</v>
      </c>
      <c r="E29" s="73">
        <f t="shared" si="4"/>
        <v>21.840000000000003</v>
      </c>
      <c r="F29" s="34">
        <v>1.1000000000000001E-3</v>
      </c>
      <c r="G29" s="22">
        <f>E29*F29</f>
        <v>2.4024000000000004E-2</v>
      </c>
      <c r="H29" s="22">
        <f>G29-D29</f>
        <v>0</v>
      </c>
      <c r="I29" s="23">
        <f t="shared" ref="I29" si="7">IF(ISERROR(H29/D29),0,(H29/D29))</f>
        <v>0</v>
      </c>
      <c r="J29" s="125">
        <f t="shared" ref="J29" si="8">G29/$G$37</f>
        <v>2.6225509821160009E-3</v>
      </c>
    </row>
    <row r="30" spans="1:10" x14ac:dyDescent="0.2">
      <c r="A30" s="107" t="s">
        <v>44</v>
      </c>
      <c r="B30" s="73">
        <v>1</v>
      </c>
      <c r="C30" s="22">
        <v>0.25</v>
      </c>
      <c r="D30" s="22">
        <f>B30*C30</f>
        <v>0.25</v>
      </c>
      <c r="E30" s="73">
        <f t="shared" si="4"/>
        <v>1</v>
      </c>
      <c r="F30" s="22">
        <f>C30</f>
        <v>0.25</v>
      </c>
      <c r="G30" s="22">
        <f>E30*F30</f>
        <v>0.25</v>
      </c>
      <c r="H30" s="22">
        <f t="shared" si="2"/>
        <v>0</v>
      </c>
      <c r="I30" s="23">
        <f t="shared" si="3"/>
        <v>0</v>
      </c>
      <c r="J30" s="125">
        <f t="shared" ref="J30:J37" si="9">G30/$G$37</f>
        <v>2.7290948448593078E-2</v>
      </c>
    </row>
    <row r="31" spans="1:10" s="1" customFormat="1" x14ac:dyDescent="0.2">
      <c r="A31" s="110" t="s">
        <v>45</v>
      </c>
      <c r="B31" s="74"/>
      <c r="C31" s="35"/>
      <c r="D31" s="35">
        <f>SUM(D27:D30)</f>
        <v>0.39851200000000003</v>
      </c>
      <c r="E31" s="73"/>
      <c r="F31" s="35"/>
      <c r="G31" s="35">
        <f>SUM(G27:G30)</f>
        <v>0.39851200000000003</v>
      </c>
      <c r="H31" s="35">
        <f t="shared" si="2"/>
        <v>0</v>
      </c>
      <c r="I31" s="36">
        <f t="shared" si="3"/>
        <v>0</v>
      </c>
      <c r="J31" s="111">
        <f t="shared" si="9"/>
        <v>4.3503081792582901E-2</v>
      </c>
    </row>
    <row r="32" spans="1:10" ht="13.5" thickBot="1" x14ac:dyDescent="0.25">
      <c r="A32" s="112" t="s">
        <v>46</v>
      </c>
      <c r="B32" s="113">
        <f>B4</f>
        <v>20</v>
      </c>
      <c r="C32" s="114">
        <v>7.0000000000000001E-3</v>
      </c>
      <c r="D32" s="115">
        <f>B32*C32</f>
        <v>0.14000000000000001</v>
      </c>
      <c r="E32" s="116">
        <f t="shared" si="4"/>
        <v>20</v>
      </c>
      <c r="F32" s="114">
        <f>C32</f>
        <v>7.0000000000000001E-3</v>
      </c>
      <c r="G32" s="115">
        <f>E32*F32</f>
        <v>0.14000000000000001</v>
      </c>
      <c r="H32" s="115">
        <f t="shared" si="2"/>
        <v>0</v>
      </c>
      <c r="I32" s="117">
        <f t="shared" si="3"/>
        <v>0</v>
      </c>
      <c r="J32" s="118">
        <f t="shared" si="9"/>
        <v>1.5282931131212124E-2</v>
      </c>
    </row>
    <row r="33" spans="1:10" x14ac:dyDescent="0.2">
      <c r="A33" s="37" t="s">
        <v>111</v>
      </c>
      <c r="B33" s="38"/>
      <c r="C33" s="39"/>
      <c r="D33" s="39">
        <f>SUM(D14,D22,D25,D31,D32)</f>
        <v>8.4463299200000002</v>
      </c>
      <c r="E33" s="38"/>
      <c r="F33" s="39"/>
      <c r="G33" s="39">
        <f>SUM(G14,G22,G25,G31,G32)</f>
        <v>8.7243299199999989</v>
      </c>
      <c r="H33" s="39">
        <f t="shared" si="2"/>
        <v>0.27799999999999869</v>
      </c>
      <c r="I33" s="40">
        <f>IF(ISERROR(H33/D33),0,(H33/D33))</f>
        <v>3.2913703659825627E-2</v>
      </c>
      <c r="J33" s="41">
        <f t="shared" si="9"/>
        <v>0.95238095238095255</v>
      </c>
    </row>
    <row r="34" spans="1:10" x14ac:dyDescent="0.2">
      <c r="A34" s="46" t="s">
        <v>102</v>
      </c>
      <c r="B34" s="43"/>
      <c r="C34" s="26">
        <v>0.13</v>
      </c>
      <c r="D34" s="26">
        <f>D33*C34</f>
        <v>1.0980228896000002</v>
      </c>
      <c r="E34" s="26"/>
      <c r="F34" s="26">
        <f>C34</f>
        <v>0.13</v>
      </c>
      <c r="G34" s="26">
        <f>G33*F34</f>
        <v>1.1341628895999998</v>
      </c>
      <c r="H34" s="26">
        <f t="shared" si="2"/>
        <v>3.6139999999999617E-2</v>
      </c>
      <c r="I34" s="44">
        <f t="shared" si="3"/>
        <v>3.2913703659825426E-2</v>
      </c>
      <c r="J34" s="45">
        <f t="shared" si="9"/>
        <v>0.12380952380952383</v>
      </c>
    </row>
    <row r="35" spans="1:10" x14ac:dyDescent="0.2">
      <c r="A35" s="46" t="s">
        <v>103</v>
      </c>
      <c r="B35" s="24"/>
      <c r="C35" s="25"/>
      <c r="D35" s="25">
        <f>SUM(D33:D34)</f>
        <v>9.5443528095999994</v>
      </c>
      <c r="E35" s="25"/>
      <c r="F35" s="25"/>
      <c r="G35" s="25">
        <f>SUM(G33:G34)</f>
        <v>9.8584928095999977</v>
      </c>
      <c r="H35" s="25">
        <f t="shared" si="2"/>
        <v>0.31413999999999831</v>
      </c>
      <c r="I35" s="27">
        <f t="shared" si="3"/>
        <v>3.2913703659825606E-2</v>
      </c>
      <c r="J35" s="47">
        <f t="shared" si="9"/>
        <v>1.0761904761904764</v>
      </c>
    </row>
    <row r="36" spans="1:10" x14ac:dyDescent="0.2">
      <c r="A36" s="46" t="s">
        <v>104</v>
      </c>
      <c r="B36" s="43"/>
      <c r="C36" s="26">
        <v>-0.08</v>
      </c>
      <c r="D36" s="26">
        <f>D33*C36</f>
        <v>-0.67570639360000007</v>
      </c>
      <c r="E36" s="26"/>
      <c r="F36" s="26">
        <f>C36</f>
        <v>-0.08</v>
      </c>
      <c r="G36" s="26">
        <f>G33*F36</f>
        <v>-0.69794639359999988</v>
      </c>
      <c r="H36" s="26">
        <f t="shared" si="2"/>
        <v>-2.2239999999999815E-2</v>
      </c>
      <c r="I36" s="44">
        <f t="shared" si="3"/>
        <v>3.2913703659825502E-2</v>
      </c>
      <c r="J36" s="45">
        <f t="shared" si="9"/>
        <v>-7.6190476190476197E-2</v>
      </c>
    </row>
    <row r="37" spans="1:10" ht="13.5" thickBot="1" x14ac:dyDescent="0.25">
      <c r="A37" s="46" t="s">
        <v>105</v>
      </c>
      <c r="B37" s="49"/>
      <c r="C37" s="50"/>
      <c r="D37" s="50">
        <f>SUM(D35:D36)</f>
        <v>8.8686464159999989</v>
      </c>
      <c r="E37" s="50"/>
      <c r="F37" s="50"/>
      <c r="G37" s="50">
        <f>SUM(G35:G36)</f>
        <v>9.1605464159999972</v>
      </c>
      <c r="H37" s="50">
        <f t="shared" si="2"/>
        <v>0.29189999999999827</v>
      </c>
      <c r="I37" s="51">
        <f t="shared" si="3"/>
        <v>3.2913703659825592E-2</v>
      </c>
      <c r="J37" s="52">
        <f t="shared" si="9"/>
        <v>1</v>
      </c>
    </row>
    <row r="38" spans="1:10" x14ac:dyDescent="0.2">
      <c r="A38" s="171"/>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1" tint="0.499984740745262"/>
    <pageSetUpPr fitToPage="1"/>
  </sheetPr>
  <dimension ref="A1:J48"/>
  <sheetViews>
    <sheetView tabSelected="1" view="pageBreakPreview" topLeftCell="A11"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119</v>
      </c>
      <c r="B1" s="188"/>
      <c r="C1" s="188"/>
      <c r="D1" s="188"/>
      <c r="E1" s="188"/>
      <c r="F1" s="188"/>
      <c r="G1" s="188"/>
      <c r="H1" s="188"/>
      <c r="I1" s="188"/>
      <c r="J1" s="189"/>
    </row>
    <row r="3" spans="1:10" x14ac:dyDescent="0.2">
      <c r="A3" s="13" t="s">
        <v>13</v>
      </c>
      <c r="B3" s="13" t="s">
        <v>9</v>
      </c>
    </row>
    <row r="4" spans="1:10" x14ac:dyDescent="0.2">
      <c r="A4" s="15" t="s">
        <v>62</v>
      </c>
      <c r="B4" s="169">
        <f>VLOOKUP(B3,'Data for Bill Impacts'!A18:D31,3,FALSE)</f>
        <v>71</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9">
        <f>B4*B6</f>
        <v>77.532000000000011</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71</v>
      </c>
      <c r="C12" s="103">
        <v>0.10299999999999999</v>
      </c>
      <c r="D12" s="104">
        <f>B12*C12</f>
        <v>7.3129999999999997</v>
      </c>
      <c r="E12" s="102">
        <f>B12</f>
        <v>71</v>
      </c>
      <c r="F12" s="103">
        <f>C12</f>
        <v>0.10299999999999999</v>
      </c>
      <c r="G12" s="104">
        <f>E12*F12</f>
        <v>7.3129999999999997</v>
      </c>
      <c r="H12" s="104">
        <f>G12-D12</f>
        <v>0</v>
      </c>
      <c r="I12" s="105">
        <f>IF(ISERROR(H12/D12),0,(H12/D12))</f>
        <v>0</v>
      </c>
      <c r="J12" s="124">
        <f t="shared" ref="J12:J28" si="0">G12/$G$37</f>
        <v>0.31628003435674351</v>
      </c>
    </row>
    <row r="13" spans="1:10" x14ac:dyDescent="0.2">
      <c r="A13" s="107" t="s">
        <v>32</v>
      </c>
      <c r="B13" s="73">
        <f>IF(B4&gt;B7,(B4)-B7,0)</f>
        <v>0</v>
      </c>
      <c r="C13" s="21">
        <v>0.121</v>
      </c>
      <c r="D13" s="22">
        <f>B13*C13</f>
        <v>0</v>
      </c>
      <c r="E13" s="73">
        <f t="shared" ref="E13" si="1">B13</f>
        <v>0</v>
      </c>
      <c r="F13" s="21">
        <f>C13</f>
        <v>0.121</v>
      </c>
      <c r="G13" s="22">
        <f>E13*F13</f>
        <v>0</v>
      </c>
      <c r="H13" s="22">
        <f t="shared" ref="H13:H37" si="2">G13-D13</f>
        <v>0</v>
      </c>
      <c r="I13" s="23">
        <f t="shared" ref="I13:I37" si="3">IF(ISERROR(H13/D13),0,(H13/D13))</f>
        <v>0</v>
      </c>
      <c r="J13" s="125">
        <f t="shared" si="0"/>
        <v>0</v>
      </c>
    </row>
    <row r="14" spans="1:10" s="1" customFormat="1" x14ac:dyDescent="0.2">
      <c r="A14" s="46" t="s">
        <v>33</v>
      </c>
      <c r="B14" s="24"/>
      <c r="C14" s="25"/>
      <c r="D14" s="25">
        <f>SUM(D12:D13)</f>
        <v>7.3129999999999997</v>
      </c>
      <c r="E14" s="76"/>
      <c r="F14" s="25"/>
      <c r="G14" s="25">
        <f>SUM(G12:G13)</f>
        <v>7.3129999999999997</v>
      </c>
      <c r="H14" s="25">
        <f t="shared" si="2"/>
        <v>0</v>
      </c>
      <c r="I14" s="27">
        <f t="shared" si="3"/>
        <v>0</v>
      </c>
      <c r="J14" s="47">
        <f t="shared" si="0"/>
        <v>0.31628003435674351</v>
      </c>
    </row>
    <row r="15" spans="1:10" x14ac:dyDescent="0.2">
      <c r="A15" s="107" t="s">
        <v>38</v>
      </c>
      <c r="B15" s="73">
        <v>1</v>
      </c>
      <c r="C15" s="122">
        <f>VLOOKUP($B$3,'Data for Bill Impacts'!$A$3:$Y$15,7,0)</f>
        <v>3.1</v>
      </c>
      <c r="D15" s="22">
        <f>B15*C15</f>
        <v>3.1</v>
      </c>
      <c r="E15" s="73">
        <f t="shared" ref="E15:E32" si="4">B15</f>
        <v>1</v>
      </c>
      <c r="F15" s="78">
        <f>VLOOKUP($B$3,'Data for Bill Impacts'!$A$3:$Y$15,17,0)</f>
        <v>3.26</v>
      </c>
      <c r="G15" s="22">
        <f>E15*F15</f>
        <v>3.26</v>
      </c>
      <c r="H15" s="22">
        <f t="shared" si="2"/>
        <v>0.1599999999999997</v>
      </c>
      <c r="I15" s="23">
        <f t="shared" si="3"/>
        <v>5.1612903225806354E-2</v>
      </c>
      <c r="J15" s="125">
        <f t="shared" si="0"/>
        <v>0.1409917833998337</v>
      </c>
    </row>
    <row r="16" spans="1:10" x14ac:dyDescent="0.2">
      <c r="A16" s="107" t="s">
        <v>85</v>
      </c>
      <c r="B16" s="73">
        <v>1</v>
      </c>
      <c r="C16" s="122">
        <f>VLOOKUP($B$3,'Data for Bill Impacts'!$A$3:$Y$15,13,0)</f>
        <v>0</v>
      </c>
      <c r="D16" s="22">
        <f t="shared" ref="D16" si="5">B16*C16</f>
        <v>0</v>
      </c>
      <c r="E16" s="73">
        <f t="shared" si="4"/>
        <v>1</v>
      </c>
      <c r="F16" s="122">
        <f>VLOOKUP($B$3,'Data for Bill Impacts'!$A$3:$Y$15,22,0)</f>
        <v>0</v>
      </c>
      <c r="G16" s="22">
        <f t="shared" ref="G16" si="6">E16*F16</f>
        <v>0</v>
      </c>
      <c r="H16" s="22">
        <f t="shared" si="2"/>
        <v>0</v>
      </c>
      <c r="I16" s="23">
        <f t="shared" si="3"/>
        <v>0</v>
      </c>
      <c r="J16" s="125">
        <f t="shared" si="0"/>
        <v>0</v>
      </c>
    </row>
    <row r="17" spans="1:10" x14ac:dyDescent="0.2">
      <c r="A17" s="107" t="s">
        <v>39</v>
      </c>
      <c r="B17" s="73">
        <f>IF($B$9="kWh",$B$4,$B$5)</f>
        <v>71</v>
      </c>
      <c r="C17" s="126">
        <f>VLOOKUP($B$3,'Data for Bill Impacts'!$A$3:$Y$15,10,0)</f>
        <v>0.11799999999999999</v>
      </c>
      <c r="D17" s="22">
        <f>B17*C17</f>
        <v>8.3780000000000001</v>
      </c>
      <c r="E17" s="73">
        <f t="shared" si="4"/>
        <v>71</v>
      </c>
      <c r="F17" s="78">
        <f>VLOOKUP($B$3,'Data for Bill Impacts'!$A$3:$Y$15,19,0)</f>
        <v>0.1239</v>
      </c>
      <c r="G17" s="22">
        <f>E17*F17</f>
        <v>8.7968999999999991</v>
      </c>
      <c r="H17" s="22">
        <f t="shared" si="2"/>
        <v>0.41889999999999894</v>
      </c>
      <c r="I17" s="23">
        <f t="shared" si="3"/>
        <v>4.9999999999999871E-2</v>
      </c>
      <c r="J17" s="125">
        <f t="shared" si="0"/>
        <v>0.38045724521165553</v>
      </c>
    </row>
    <row r="18" spans="1:10" s="1" customFormat="1" x14ac:dyDescent="0.2">
      <c r="A18" s="107" t="s">
        <v>122</v>
      </c>
      <c r="B18" s="73">
        <f>IF($B$9="kWh",$B$4,$B$5)</f>
        <v>71</v>
      </c>
      <c r="C18" s="126">
        <f>VLOOKUP($B$3,'Data for Bill Impacts'!$A$3:$Y$15,14,0)</f>
        <v>1E-4</v>
      </c>
      <c r="D18" s="22">
        <f>B18*C18</f>
        <v>7.1000000000000004E-3</v>
      </c>
      <c r="E18" s="73">
        <f>B18</f>
        <v>71</v>
      </c>
      <c r="F18" s="126">
        <f>VLOOKUP($B$3,'Data for Bill Impacts'!$A$3:$Y$15,23,0)</f>
        <v>1E-4</v>
      </c>
      <c r="G18" s="22">
        <f>E18*F18</f>
        <v>7.1000000000000004E-3</v>
      </c>
      <c r="H18" s="22">
        <f>G18-D18</f>
        <v>0</v>
      </c>
      <c r="I18" s="23">
        <f>IF(ISERROR(H18/D18),0,(H18/D18))</f>
        <v>0</v>
      </c>
      <c r="J18" s="125">
        <f t="shared" si="0"/>
        <v>3.0706799452111022E-4</v>
      </c>
    </row>
    <row r="19" spans="1:10" hidden="1" x14ac:dyDescent="0.2">
      <c r="A19" s="107" t="s">
        <v>108</v>
      </c>
      <c r="B19" s="73">
        <f>B8</f>
        <v>77.532000000000011</v>
      </c>
      <c r="C19" s="78">
        <v>0</v>
      </c>
      <c r="D19" s="22">
        <f>B19*C19</f>
        <v>0</v>
      </c>
      <c r="E19" s="73">
        <f t="shared" si="4"/>
        <v>77.532000000000011</v>
      </c>
      <c r="F19" s="78">
        <v>0</v>
      </c>
      <c r="G19" s="22">
        <f>E19*F19</f>
        <v>0</v>
      </c>
      <c r="H19" s="22">
        <f t="shared" si="2"/>
        <v>0</v>
      </c>
      <c r="I19" s="23">
        <f>IF(ISERROR(H19/D19),0,(H19/D19))</f>
        <v>0</v>
      </c>
      <c r="J19" s="125">
        <f t="shared" si="0"/>
        <v>0</v>
      </c>
    </row>
    <row r="20" spans="1:10" x14ac:dyDescent="0.2">
      <c r="A20" s="110" t="s">
        <v>72</v>
      </c>
      <c r="B20" s="74"/>
      <c r="C20" s="35"/>
      <c r="D20" s="35">
        <f>SUM(D15:D19)</f>
        <v>11.485099999999999</v>
      </c>
      <c r="E20" s="73"/>
      <c r="F20" s="35"/>
      <c r="G20" s="35">
        <f>SUM(G15:G19)</f>
        <v>12.063999999999998</v>
      </c>
      <c r="H20" s="35">
        <f t="shared" si="2"/>
        <v>0.57889999999999908</v>
      </c>
      <c r="I20" s="36">
        <f t="shared" si="3"/>
        <v>5.0404437053225407E-2</v>
      </c>
      <c r="J20" s="111">
        <f t="shared" si="0"/>
        <v>0.5217560966060103</v>
      </c>
    </row>
    <row r="21" spans="1:10" s="1" customFormat="1" x14ac:dyDescent="0.2">
      <c r="A21" s="119" t="s">
        <v>81</v>
      </c>
      <c r="B21" s="120">
        <f>B8-B4</f>
        <v>6.5320000000000107</v>
      </c>
      <c r="C21" s="121">
        <f>IF(B4&gt;B7,C13,C12)</f>
        <v>0.10299999999999999</v>
      </c>
      <c r="D21" s="22">
        <f>B21*C21</f>
        <v>0.67279600000000106</v>
      </c>
      <c r="E21" s="73">
        <f>B21</f>
        <v>6.5320000000000107</v>
      </c>
      <c r="F21" s="121">
        <f>C21</f>
        <v>0.10299999999999999</v>
      </c>
      <c r="G21" s="22">
        <f>E21*F21</f>
        <v>0.67279600000000106</v>
      </c>
      <c r="H21" s="22">
        <f t="shared" si="2"/>
        <v>0</v>
      </c>
      <c r="I21" s="23">
        <f>IF(ISERROR(H21/D21),0,(H21/D21))</f>
        <v>0</v>
      </c>
      <c r="J21" s="125">
        <f t="shared" si="0"/>
        <v>2.9097763160820449E-2</v>
      </c>
    </row>
    <row r="22" spans="1:10" x14ac:dyDescent="0.2">
      <c r="A22" s="110" t="s">
        <v>79</v>
      </c>
      <c r="B22" s="74"/>
      <c r="C22" s="35"/>
      <c r="D22" s="35">
        <f>SUM(D20,D21:D21)</f>
        <v>12.157896000000001</v>
      </c>
      <c r="E22" s="73"/>
      <c r="F22" s="35"/>
      <c r="G22" s="35">
        <f>SUM(G20,G21:G21)</f>
        <v>12.736796</v>
      </c>
      <c r="H22" s="35">
        <f t="shared" si="2"/>
        <v>0.57889999999999908</v>
      </c>
      <c r="I22" s="36">
        <f>IF(ISERROR(H22/D22),0,(H22/D22))</f>
        <v>4.7615146568123219E-2</v>
      </c>
      <c r="J22" s="111">
        <f t="shared" si="0"/>
        <v>0.55085385976683077</v>
      </c>
    </row>
    <row r="23" spans="1:10" x14ac:dyDescent="0.2">
      <c r="A23" s="107" t="s">
        <v>40</v>
      </c>
      <c r="B23" s="73">
        <f>B8</f>
        <v>77.532000000000011</v>
      </c>
      <c r="C23" s="126">
        <f>VLOOKUP($B$3,'Data for Bill Impacts'!$A$3:$Y$15,15,0)</f>
        <v>4.6979999999999999E-3</v>
      </c>
      <c r="D23" s="22">
        <f>B23*C23</f>
        <v>0.36424533600000003</v>
      </c>
      <c r="E23" s="73">
        <f t="shared" si="4"/>
        <v>77.532000000000011</v>
      </c>
      <c r="F23" s="126">
        <f>VLOOKUP($B$3,'Data for Bill Impacts'!$A$3:$Y$15,24,0)</f>
        <v>4.6979999999999999E-3</v>
      </c>
      <c r="G23" s="22">
        <f>E23*F23</f>
        <v>0.36424533600000003</v>
      </c>
      <c r="H23" s="22">
        <f t="shared" si="2"/>
        <v>0</v>
      </c>
      <c r="I23" s="23">
        <f t="shared" si="3"/>
        <v>0</v>
      </c>
      <c r="J23" s="125">
        <f t="shared" si="0"/>
        <v>1.575325138580112E-2</v>
      </c>
    </row>
    <row r="24" spans="1:10" s="1" customFormat="1" x14ac:dyDescent="0.2">
      <c r="A24" s="107" t="s">
        <v>41</v>
      </c>
      <c r="B24" s="73">
        <f>B8</f>
        <v>77.532000000000011</v>
      </c>
      <c r="C24" s="126">
        <f>VLOOKUP($B$3,'Data for Bill Impacts'!$A$3:$Y$15,16,0)</f>
        <v>4.2899999999999995E-3</v>
      </c>
      <c r="D24" s="22">
        <f>B24*C24</f>
        <v>0.33261228000000004</v>
      </c>
      <c r="E24" s="73">
        <f t="shared" si="4"/>
        <v>77.532000000000011</v>
      </c>
      <c r="F24" s="126">
        <f>VLOOKUP($B$3,'Data for Bill Impacts'!$A$3:$Y$15,25,0)</f>
        <v>4.2899999999999995E-3</v>
      </c>
      <c r="G24" s="22">
        <f>E24*F24</f>
        <v>0.33261228000000004</v>
      </c>
      <c r="H24" s="22">
        <f t="shared" si="2"/>
        <v>0</v>
      </c>
      <c r="I24" s="23">
        <f t="shared" si="3"/>
        <v>0</v>
      </c>
      <c r="J24" s="125">
        <f t="shared" si="0"/>
        <v>1.4385152925731547E-2</v>
      </c>
    </row>
    <row r="25" spans="1:10" s="1" customFormat="1" x14ac:dyDescent="0.2">
      <c r="A25" s="110" t="s">
        <v>76</v>
      </c>
      <c r="B25" s="74"/>
      <c r="C25" s="35"/>
      <c r="D25" s="35">
        <f>SUM(D23:D24)</f>
        <v>0.69685761600000007</v>
      </c>
      <c r="E25" s="73"/>
      <c r="F25" s="35"/>
      <c r="G25" s="35">
        <f>SUM(G23:G24)</f>
        <v>0.69685761600000007</v>
      </c>
      <c r="H25" s="35">
        <f t="shared" si="2"/>
        <v>0</v>
      </c>
      <c r="I25" s="36">
        <f t="shared" si="3"/>
        <v>0</v>
      </c>
      <c r="J25" s="111">
        <f t="shared" si="0"/>
        <v>3.0138404311532668E-2</v>
      </c>
    </row>
    <row r="26" spans="1:10" s="1" customFormat="1" x14ac:dyDescent="0.2">
      <c r="A26" s="110" t="s">
        <v>80</v>
      </c>
      <c r="B26" s="74"/>
      <c r="C26" s="35"/>
      <c r="D26" s="35">
        <f>D22+D25</f>
        <v>12.854753616000002</v>
      </c>
      <c r="E26" s="73"/>
      <c r="F26" s="35"/>
      <c r="G26" s="35">
        <f>G22+G25</f>
        <v>13.433653616000001</v>
      </c>
      <c r="H26" s="35">
        <f t="shared" si="2"/>
        <v>0.57889999999999908</v>
      </c>
      <c r="I26" s="36">
        <f t="shared" si="3"/>
        <v>4.5033924203685724E-2</v>
      </c>
      <c r="J26" s="111">
        <f t="shared" si="0"/>
        <v>0.58099226407836346</v>
      </c>
    </row>
    <row r="27" spans="1:10" x14ac:dyDescent="0.2">
      <c r="A27" s="107" t="s">
        <v>42</v>
      </c>
      <c r="B27" s="73">
        <f>B8</f>
        <v>77.532000000000011</v>
      </c>
      <c r="C27" s="34">
        <v>3.5999999999999999E-3</v>
      </c>
      <c r="D27" s="22">
        <f>B27*C27</f>
        <v>0.27911520000000001</v>
      </c>
      <c r="E27" s="73">
        <f t="shared" si="4"/>
        <v>77.532000000000011</v>
      </c>
      <c r="F27" s="34">
        <v>3.5999999999999999E-3</v>
      </c>
      <c r="G27" s="22">
        <f>E27*F27</f>
        <v>0.27911520000000001</v>
      </c>
      <c r="H27" s="22">
        <f t="shared" si="2"/>
        <v>0</v>
      </c>
      <c r="I27" s="23">
        <f t="shared" si="3"/>
        <v>0</v>
      </c>
      <c r="J27" s="125">
        <f t="shared" si="0"/>
        <v>1.2071457000613885E-2</v>
      </c>
    </row>
    <row r="28" spans="1:10" s="1" customFormat="1" x14ac:dyDescent="0.2">
      <c r="A28" s="107" t="s">
        <v>43</v>
      </c>
      <c r="B28" s="73">
        <f>B8</f>
        <v>77.532000000000011</v>
      </c>
      <c r="C28" s="34">
        <v>2.0999999999999999E-3</v>
      </c>
      <c r="D28" s="22">
        <f>B28*C28</f>
        <v>0.16281720000000002</v>
      </c>
      <c r="E28" s="73">
        <f t="shared" si="4"/>
        <v>77.532000000000011</v>
      </c>
      <c r="F28" s="34">
        <v>2.0999999999999999E-3</v>
      </c>
      <c r="G28" s="22">
        <f>E28*F28</f>
        <v>0.16281720000000002</v>
      </c>
      <c r="H28" s="22">
        <f>G28-D28</f>
        <v>0</v>
      </c>
      <c r="I28" s="23">
        <f t="shared" si="3"/>
        <v>0</v>
      </c>
      <c r="J28" s="125">
        <f t="shared" si="0"/>
        <v>7.0416832503581005E-3</v>
      </c>
    </row>
    <row r="29" spans="1:10" s="1" customFormat="1" x14ac:dyDescent="0.2">
      <c r="A29" s="107" t="s">
        <v>96</v>
      </c>
      <c r="B29" s="73">
        <f>B8</f>
        <v>77.532000000000011</v>
      </c>
      <c r="C29" s="34">
        <v>1.1000000000000001E-3</v>
      </c>
      <c r="D29" s="22">
        <f>B29*C29</f>
        <v>8.5285200000000019E-2</v>
      </c>
      <c r="E29" s="73">
        <f t="shared" si="4"/>
        <v>77.532000000000011</v>
      </c>
      <c r="F29" s="34">
        <v>1.1000000000000001E-3</v>
      </c>
      <c r="G29" s="22">
        <f>E29*F29</f>
        <v>8.5285200000000019E-2</v>
      </c>
      <c r="H29" s="22">
        <f>G29-D29</f>
        <v>0</v>
      </c>
      <c r="I29" s="23">
        <f t="shared" ref="I29" si="7">IF(ISERROR(H29/D29),0,(H29/D29))</f>
        <v>0</v>
      </c>
      <c r="J29" s="125">
        <f t="shared" ref="J29" si="8">G29/$G$37</f>
        <v>3.6885007501875769E-3</v>
      </c>
    </row>
    <row r="30" spans="1:10" x14ac:dyDescent="0.2">
      <c r="A30" s="107" t="s">
        <v>44</v>
      </c>
      <c r="B30" s="73">
        <v>1</v>
      </c>
      <c r="C30" s="22">
        <v>0.25</v>
      </c>
      <c r="D30" s="22">
        <f>B30*C30</f>
        <v>0.25</v>
      </c>
      <c r="E30" s="73">
        <f t="shared" si="4"/>
        <v>1</v>
      </c>
      <c r="F30" s="22">
        <f>C30</f>
        <v>0.25</v>
      </c>
      <c r="G30" s="22">
        <f>E30*F30</f>
        <v>0.25</v>
      </c>
      <c r="H30" s="22">
        <f t="shared" si="2"/>
        <v>0</v>
      </c>
      <c r="I30" s="23">
        <f t="shared" si="3"/>
        <v>0</v>
      </c>
      <c r="J30" s="125">
        <f t="shared" ref="J30:J37" si="9">G30/$G$37</f>
        <v>1.0812253328208106E-2</v>
      </c>
    </row>
    <row r="31" spans="1:10" s="1" customFormat="1" x14ac:dyDescent="0.2">
      <c r="A31" s="110" t="s">
        <v>45</v>
      </c>
      <c r="B31" s="74"/>
      <c r="C31" s="35"/>
      <c r="D31" s="35">
        <f>SUM(D27:D30)</f>
        <v>0.77721760000000006</v>
      </c>
      <c r="E31" s="73"/>
      <c r="F31" s="35"/>
      <c r="G31" s="35">
        <f>SUM(G27:G30)</f>
        <v>0.77721760000000006</v>
      </c>
      <c r="H31" s="35">
        <f t="shared" si="2"/>
        <v>0</v>
      </c>
      <c r="I31" s="36">
        <f t="shared" si="3"/>
        <v>0</v>
      </c>
      <c r="J31" s="111">
        <f t="shared" si="9"/>
        <v>3.361389432936767E-2</v>
      </c>
    </row>
    <row r="32" spans="1:10" ht="13.5" thickBot="1" x14ac:dyDescent="0.25">
      <c r="A32" s="112" t="s">
        <v>46</v>
      </c>
      <c r="B32" s="113">
        <f>B4</f>
        <v>71</v>
      </c>
      <c r="C32" s="114">
        <v>7.0000000000000001E-3</v>
      </c>
      <c r="D32" s="115">
        <f>B32*C32</f>
        <v>0.497</v>
      </c>
      <c r="E32" s="116">
        <f t="shared" si="4"/>
        <v>71</v>
      </c>
      <c r="F32" s="114">
        <f>C32</f>
        <v>7.0000000000000001E-3</v>
      </c>
      <c r="G32" s="115">
        <f>E32*F32</f>
        <v>0.497</v>
      </c>
      <c r="H32" s="115">
        <f t="shared" si="2"/>
        <v>0</v>
      </c>
      <c r="I32" s="117">
        <f t="shared" si="3"/>
        <v>0</v>
      </c>
      <c r="J32" s="118">
        <f t="shared" si="9"/>
        <v>2.1494759616477715E-2</v>
      </c>
    </row>
    <row r="33" spans="1:10" x14ac:dyDescent="0.2">
      <c r="A33" s="37" t="s">
        <v>111</v>
      </c>
      <c r="B33" s="38"/>
      <c r="C33" s="39"/>
      <c r="D33" s="39">
        <f>SUM(D14,D22,D25,D31,D32)</f>
        <v>21.441971215999999</v>
      </c>
      <c r="E33" s="38"/>
      <c r="F33" s="39"/>
      <c r="G33" s="39">
        <f>SUM(G14,G22,G25,G31,G32)</f>
        <v>22.020871216</v>
      </c>
      <c r="H33" s="39">
        <f t="shared" si="2"/>
        <v>0.57890000000000086</v>
      </c>
      <c r="I33" s="40">
        <f>IF(ISERROR(H33/D33),0,(H33/D33))</f>
        <v>2.6998450570068187E-2</v>
      </c>
      <c r="J33" s="41">
        <f t="shared" si="9"/>
        <v>0.95238095238095233</v>
      </c>
    </row>
    <row r="34" spans="1:10" x14ac:dyDescent="0.2">
      <c r="A34" s="46" t="s">
        <v>102</v>
      </c>
      <c r="B34" s="43"/>
      <c r="C34" s="26">
        <v>0.13</v>
      </c>
      <c r="D34" s="26">
        <f>D33*C34</f>
        <v>2.7874562580799997</v>
      </c>
      <c r="E34" s="26"/>
      <c r="F34" s="26">
        <f>C34</f>
        <v>0.13</v>
      </c>
      <c r="G34" s="26">
        <f>G33*F34</f>
        <v>2.8627132580799999</v>
      </c>
      <c r="H34" s="26">
        <f t="shared" si="2"/>
        <v>7.5257000000000129E-2</v>
      </c>
      <c r="I34" s="44">
        <f t="shared" si="3"/>
        <v>2.6998450570068194E-2</v>
      </c>
      <c r="J34" s="45">
        <f t="shared" si="9"/>
        <v>0.1238095238095238</v>
      </c>
    </row>
    <row r="35" spans="1:10" x14ac:dyDescent="0.2">
      <c r="A35" s="46" t="s">
        <v>103</v>
      </c>
      <c r="B35" s="24"/>
      <c r="C35" s="25"/>
      <c r="D35" s="25">
        <f>SUM(D33:D34)</f>
        <v>24.229427474079998</v>
      </c>
      <c r="E35" s="25"/>
      <c r="F35" s="25"/>
      <c r="G35" s="25">
        <f>SUM(G33:G34)</f>
        <v>24.883584474079999</v>
      </c>
      <c r="H35" s="25">
        <f t="shared" si="2"/>
        <v>0.65415700000000143</v>
      </c>
      <c r="I35" s="27">
        <f t="shared" si="3"/>
        <v>2.6998450570068208E-2</v>
      </c>
      <c r="J35" s="47">
        <f t="shared" si="9"/>
        <v>1.0761904761904761</v>
      </c>
    </row>
    <row r="36" spans="1:10" x14ac:dyDescent="0.2">
      <c r="A36" s="46" t="s">
        <v>104</v>
      </c>
      <c r="B36" s="43"/>
      <c r="C36" s="26">
        <v>-0.08</v>
      </c>
      <c r="D36" s="26">
        <f>D33*C36</f>
        <v>-1.71535769728</v>
      </c>
      <c r="E36" s="26"/>
      <c r="F36" s="26">
        <f>C36</f>
        <v>-0.08</v>
      </c>
      <c r="G36" s="26">
        <f>G33*F36</f>
        <v>-1.7616696972800001</v>
      </c>
      <c r="H36" s="26">
        <f t="shared" si="2"/>
        <v>-4.6312000000000131E-2</v>
      </c>
      <c r="I36" s="44">
        <f t="shared" si="3"/>
        <v>2.6998450570068222E-2</v>
      </c>
      <c r="J36" s="45">
        <f t="shared" si="9"/>
        <v>-7.6190476190476197E-2</v>
      </c>
    </row>
    <row r="37" spans="1:10" ht="13.5" thickBot="1" x14ac:dyDescent="0.25">
      <c r="A37" s="46" t="s">
        <v>105</v>
      </c>
      <c r="B37" s="49"/>
      <c r="C37" s="50"/>
      <c r="D37" s="50">
        <f>SUM(D35:D36)</f>
        <v>22.5140697768</v>
      </c>
      <c r="E37" s="50"/>
      <c r="F37" s="50"/>
      <c r="G37" s="50">
        <f>SUM(G35:G36)</f>
        <v>23.121914776800001</v>
      </c>
      <c r="H37" s="50">
        <f t="shared" si="2"/>
        <v>0.60784500000000108</v>
      </c>
      <c r="I37" s="51">
        <f t="shared" si="3"/>
        <v>2.6998450570068194E-2</v>
      </c>
      <c r="J37" s="52">
        <f t="shared" si="9"/>
        <v>1</v>
      </c>
    </row>
    <row r="38" spans="1:10" x14ac:dyDescent="0.2">
      <c r="A38" s="171"/>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theme="1" tint="0.499984740745262"/>
    <pageSetUpPr fitToPage="1"/>
  </sheetPr>
  <dimension ref="A1:J48"/>
  <sheetViews>
    <sheetView tabSelected="1" view="pageBreakPreview"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121</v>
      </c>
      <c r="B1" s="188"/>
      <c r="C1" s="188"/>
      <c r="D1" s="188"/>
      <c r="E1" s="188"/>
      <c r="F1" s="188"/>
      <c r="G1" s="188"/>
      <c r="H1" s="188"/>
      <c r="I1" s="188"/>
      <c r="J1" s="189"/>
    </row>
    <row r="3" spans="1:10" x14ac:dyDescent="0.2">
      <c r="A3" s="13" t="s">
        <v>13</v>
      </c>
      <c r="B3" s="13" t="s">
        <v>9</v>
      </c>
    </row>
    <row r="4" spans="1:10" x14ac:dyDescent="0.2">
      <c r="A4" s="15" t="s">
        <v>62</v>
      </c>
      <c r="B4" s="15">
        <v>200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5">
        <f>B4*B6</f>
        <v>218.4</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200</v>
      </c>
      <c r="C12" s="103">
        <v>0.10299999999999999</v>
      </c>
      <c r="D12" s="104">
        <f>B12*C12</f>
        <v>20.599999999999998</v>
      </c>
      <c r="E12" s="102">
        <f>B12</f>
        <v>200</v>
      </c>
      <c r="F12" s="103">
        <f>C12</f>
        <v>0.10299999999999999</v>
      </c>
      <c r="G12" s="104">
        <f>E12*F12</f>
        <v>20.599999999999998</v>
      </c>
      <c r="H12" s="104">
        <f>G12-D12</f>
        <v>0</v>
      </c>
      <c r="I12" s="105">
        <f>IF(ISERROR(H12/D12),0,(H12/D12))</f>
        <v>0</v>
      </c>
      <c r="J12" s="124">
        <f t="shared" ref="J12:J28" si="0">G12/$G$37</f>
        <v>0.35252263389710448</v>
      </c>
    </row>
    <row r="13" spans="1:10" x14ac:dyDescent="0.2">
      <c r="A13" s="107" t="s">
        <v>32</v>
      </c>
      <c r="B13" s="73">
        <f>IF(B4&gt;B7,(B4)-B7,0)</f>
        <v>0</v>
      </c>
      <c r="C13" s="21">
        <v>0.121</v>
      </c>
      <c r="D13" s="22">
        <f>B13*C13</f>
        <v>0</v>
      </c>
      <c r="E13" s="73">
        <f t="shared" ref="E13" si="1">B13</f>
        <v>0</v>
      </c>
      <c r="F13" s="21">
        <f>C13</f>
        <v>0.121</v>
      </c>
      <c r="G13" s="22">
        <f>E13*F13</f>
        <v>0</v>
      </c>
      <c r="H13" s="22">
        <f t="shared" ref="H13:H37" si="2">G13-D13</f>
        <v>0</v>
      </c>
      <c r="I13" s="23">
        <f t="shared" ref="I13:I37" si="3">IF(ISERROR(H13/D13),0,(H13/D13))</f>
        <v>0</v>
      </c>
      <c r="J13" s="125">
        <f t="shared" si="0"/>
        <v>0</v>
      </c>
    </row>
    <row r="14" spans="1:10" s="1" customFormat="1" x14ac:dyDescent="0.2">
      <c r="A14" s="46" t="s">
        <v>33</v>
      </c>
      <c r="B14" s="24"/>
      <c r="C14" s="25"/>
      <c r="D14" s="25">
        <f>SUM(D12:D13)</f>
        <v>20.599999999999998</v>
      </c>
      <c r="E14" s="76"/>
      <c r="F14" s="25"/>
      <c r="G14" s="25">
        <f>SUM(G12:G13)</f>
        <v>20.599999999999998</v>
      </c>
      <c r="H14" s="25">
        <f t="shared" si="2"/>
        <v>0</v>
      </c>
      <c r="I14" s="27">
        <f t="shared" si="3"/>
        <v>0</v>
      </c>
      <c r="J14" s="47">
        <f t="shared" si="0"/>
        <v>0.35252263389710448</v>
      </c>
    </row>
    <row r="15" spans="1:10" x14ac:dyDescent="0.2">
      <c r="A15" s="107" t="s">
        <v>38</v>
      </c>
      <c r="B15" s="73">
        <v>1</v>
      </c>
      <c r="C15" s="122">
        <f>VLOOKUP($B$3,'Data for Bill Impacts'!$A$3:$Y$15,7,0)</f>
        <v>3.1</v>
      </c>
      <c r="D15" s="22">
        <f>B15*C15</f>
        <v>3.1</v>
      </c>
      <c r="E15" s="73">
        <f t="shared" ref="E15:E32" si="4">B15</f>
        <v>1</v>
      </c>
      <c r="F15" s="78">
        <f>VLOOKUP($B$3,'Data for Bill Impacts'!$A$3:$Y$15,17,0)</f>
        <v>3.26</v>
      </c>
      <c r="G15" s="22">
        <f>E15*F15</f>
        <v>3.26</v>
      </c>
      <c r="H15" s="22">
        <f t="shared" si="2"/>
        <v>0.1599999999999997</v>
      </c>
      <c r="I15" s="23">
        <f t="shared" si="3"/>
        <v>5.1612903225806354E-2</v>
      </c>
      <c r="J15" s="125">
        <f t="shared" si="0"/>
        <v>5.5787562451677701E-2</v>
      </c>
    </row>
    <row r="16" spans="1:10" x14ac:dyDescent="0.2">
      <c r="A16" s="107" t="s">
        <v>85</v>
      </c>
      <c r="B16" s="73">
        <v>1</v>
      </c>
      <c r="C16" s="122">
        <f>VLOOKUP($B$3,'Data for Bill Impacts'!$A$3:$Y$15,13,0)</f>
        <v>0</v>
      </c>
      <c r="D16" s="22">
        <f t="shared" ref="D16" si="5">B16*C16</f>
        <v>0</v>
      </c>
      <c r="E16" s="73">
        <f t="shared" si="4"/>
        <v>1</v>
      </c>
      <c r="F16" s="122">
        <f>VLOOKUP($B$3,'Data for Bill Impacts'!$A$3:$Y$15,22,0)</f>
        <v>0</v>
      </c>
      <c r="G16" s="22">
        <f t="shared" ref="G16" si="6">E16*F16</f>
        <v>0</v>
      </c>
      <c r="H16" s="22">
        <f t="shared" si="2"/>
        <v>0</v>
      </c>
      <c r="I16" s="23">
        <f t="shared" si="3"/>
        <v>0</v>
      </c>
      <c r="J16" s="125">
        <f t="shared" si="0"/>
        <v>0</v>
      </c>
    </row>
    <row r="17" spans="1:10" x14ac:dyDescent="0.2">
      <c r="A17" s="107" t="s">
        <v>39</v>
      </c>
      <c r="B17" s="73">
        <f>IF($B$9="kWh",$B$4,$B$5)</f>
        <v>200</v>
      </c>
      <c r="C17" s="126">
        <f>VLOOKUP($B$3,'Data for Bill Impacts'!$A$3:$Y$15,10,0)</f>
        <v>0.11799999999999999</v>
      </c>
      <c r="D17" s="22">
        <f>B17*C17</f>
        <v>23.599999999999998</v>
      </c>
      <c r="E17" s="73">
        <f t="shared" si="4"/>
        <v>200</v>
      </c>
      <c r="F17" s="78">
        <f>VLOOKUP($B$3,'Data for Bill Impacts'!$A$3:$Y$15,19,0)</f>
        <v>0.1239</v>
      </c>
      <c r="G17" s="22">
        <f>E17*F17</f>
        <v>24.779999999999998</v>
      </c>
      <c r="H17" s="22">
        <f t="shared" si="2"/>
        <v>1.1799999999999997</v>
      </c>
      <c r="I17" s="23">
        <f t="shared" si="3"/>
        <v>4.9999999999999996E-2</v>
      </c>
      <c r="J17" s="125">
        <f t="shared" si="0"/>
        <v>0.42405392562962374</v>
      </c>
    </row>
    <row r="18" spans="1:10" s="1" customFormat="1" x14ac:dyDescent="0.2">
      <c r="A18" s="107" t="s">
        <v>122</v>
      </c>
      <c r="B18" s="73">
        <f>IF($B$9="kWh",$B$4,$B$5)</f>
        <v>200</v>
      </c>
      <c r="C18" s="126">
        <f>VLOOKUP($B$3,'Data for Bill Impacts'!$A$3:$Y$15,14,0)</f>
        <v>1E-4</v>
      </c>
      <c r="D18" s="22">
        <f>B18*C18</f>
        <v>0.02</v>
      </c>
      <c r="E18" s="73">
        <f>B18</f>
        <v>200</v>
      </c>
      <c r="F18" s="126">
        <f>VLOOKUP($B$3,'Data for Bill Impacts'!$A$3:$Y$15,23,0)</f>
        <v>1E-4</v>
      </c>
      <c r="G18" s="22">
        <f>E18*F18</f>
        <v>0.02</v>
      </c>
      <c r="H18" s="22">
        <f>G18-D18</f>
        <v>0</v>
      </c>
      <c r="I18" s="23">
        <f>IF(ISERROR(H18/D18),0,(H18/D18))</f>
        <v>0</v>
      </c>
      <c r="J18" s="125">
        <f t="shared" si="0"/>
        <v>3.422549843661209E-4</v>
      </c>
    </row>
    <row r="19" spans="1:10" hidden="1" x14ac:dyDescent="0.2">
      <c r="A19" s="107" t="s">
        <v>108</v>
      </c>
      <c r="B19" s="73">
        <f>B8</f>
        <v>218.4</v>
      </c>
      <c r="C19" s="78">
        <v>0</v>
      </c>
      <c r="D19" s="22">
        <f>B19*C19</f>
        <v>0</v>
      </c>
      <c r="E19" s="73">
        <f t="shared" si="4"/>
        <v>218.4</v>
      </c>
      <c r="F19" s="78">
        <v>0</v>
      </c>
      <c r="G19" s="22">
        <f>E19*F19</f>
        <v>0</v>
      </c>
      <c r="H19" s="22">
        <f t="shared" si="2"/>
        <v>0</v>
      </c>
      <c r="I19" s="23">
        <f>IF(ISERROR(H19/D19),0,(H19/D19))</f>
        <v>0</v>
      </c>
      <c r="J19" s="125">
        <f t="shared" si="0"/>
        <v>0</v>
      </c>
    </row>
    <row r="20" spans="1:10" x14ac:dyDescent="0.2">
      <c r="A20" s="110" t="s">
        <v>72</v>
      </c>
      <c r="B20" s="74"/>
      <c r="C20" s="35"/>
      <c r="D20" s="35">
        <f>SUM(D15:D19)</f>
        <v>26.72</v>
      </c>
      <c r="E20" s="73"/>
      <c r="F20" s="35"/>
      <c r="G20" s="35">
        <f>SUM(G15:G19)</f>
        <v>28.06</v>
      </c>
      <c r="H20" s="35">
        <f t="shared" si="2"/>
        <v>1.3399999999999999</v>
      </c>
      <c r="I20" s="36">
        <f t="shared" si="3"/>
        <v>5.0149700598802395E-2</v>
      </c>
      <c r="J20" s="111">
        <f t="shared" si="0"/>
        <v>0.48018374306566758</v>
      </c>
    </row>
    <row r="21" spans="1:10" s="1" customFormat="1" x14ac:dyDescent="0.2">
      <c r="A21" s="119" t="s">
        <v>81</v>
      </c>
      <c r="B21" s="120">
        <f>B8-B4</f>
        <v>18.400000000000006</v>
      </c>
      <c r="C21" s="121">
        <f>IF(B4&gt;B7,C13,C12)</f>
        <v>0.10299999999999999</v>
      </c>
      <c r="D21" s="22">
        <f>B21*C21</f>
        <v>1.8952000000000004</v>
      </c>
      <c r="E21" s="73">
        <f>B21</f>
        <v>18.400000000000006</v>
      </c>
      <c r="F21" s="121">
        <f>C21</f>
        <v>0.10299999999999999</v>
      </c>
      <c r="G21" s="22">
        <f>E21*F21</f>
        <v>1.8952000000000004</v>
      </c>
      <c r="H21" s="22">
        <f t="shared" si="2"/>
        <v>0</v>
      </c>
      <c r="I21" s="23">
        <f>IF(ISERROR(H21/D21),0,(H21/D21))</f>
        <v>0</v>
      </c>
      <c r="J21" s="125">
        <f t="shared" si="0"/>
        <v>3.2432082318533624E-2</v>
      </c>
    </row>
    <row r="22" spans="1:10" x14ac:dyDescent="0.2">
      <c r="A22" s="110" t="s">
        <v>79</v>
      </c>
      <c r="B22" s="74"/>
      <c r="C22" s="35"/>
      <c r="D22" s="35">
        <f>SUM(D20,D21:D21)</f>
        <v>28.615199999999998</v>
      </c>
      <c r="E22" s="73"/>
      <c r="F22" s="35"/>
      <c r="G22" s="35">
        <f>SUM(G20,G21:G21)</f>
        <v>29.955199999999998</v>
      </c>
      <c r="H22" s="35">
        <f t="shared" si="2"/>
        <v>1.3399999999999999</v>
      </c>
      <c r="I22" s="36">
        <f>IF(ISERROR(H22/D22),0,(H22/D22))</f>
        <v>4.6828259107047999E-2</v>
      </c>
      <c r="J22" s="111">
        <f t="shared" si="0"/>
        <v>0.51261582538420114</v>
      </c>
    </row>
    <row r="23" spans="1:10" x14ac:dyDescent="0.2">
      <c r="A23" s="107" t="s">
        <v>40</v>
      </c>
      <c r="B23" s="73">
        <f>B8</f>
        <v>218.4</v>
      </c>
      <c r="C23" s="126">
        <f>VLOOKUP($B$3,'Data for Bill Impacts'!$A$3:$Y$15,15,0)</f>
        <v>4.6979999999999999E-3</v>
      </c>
      <c r="D23" s="22">
        <f>B23*C23</f>
        <v>1.0260431999999999</v>
      </c>
      <c r="E23" s="73">
        <f t="shared" si="4"/>
        <v>218.4</v>
      </c>
      <c r="F23" s="126">
        <f>VLOOKUP($B$3,'Data for Bill Impacts'!$A$3:$Y$15,24,0)</f>
        <v>4.6979999999999999E-3</v>
      </c>
      <c r="G23" s="22">
        <f>E23*F23</f>
        <v>1.0260431999999999</v>
      </c>
      <c r="H23" s="22">
        <f t="shared" si="2"/>
        <v>0</v>
      </c>
      <c r="I23" s="23">
        <f t="shared" si="3"/>
        <v>0</v>
      </c>
      <c r="J23" s="125">
        <f t="shared" si="0"/>
        <v>1.7558419968748233E-2</v>
      </c>
    </row>
    <row r="24" spans="1:10" s="1" customFormat="1" x14ac:dyDescent="0.2">
      <c r="A24" s="107" t="s">
        <v>41</v>
      </c>
      <c r="B24" s="73">
        <f>B8</f>
        <v>218.4</v>
      </c>
      <c r="C24" s="126">
        <f>VLOOKUP($B$3,'Data for Bill Impacts'!$A$3:$Y$15,16,0)</f>
        <v>4.2899999999999995E-3</v>
      </c>
      <c r="D24" s="22">
        <f>B24*C24</f>
        <v>0.93693599999999988</v>
      </c>
      <c r="E24" s="73">
        <f t="shared" si="4"/>
        <v>218.4</v>
      </c>
      <c r="F24" s="126">
        <f>VLOOKUP($B$3,'Data for Bill Impacts'!$A$3:$Y$15,25,0)</f>
        <v>4.2899999999999995E-3</v>
      </c>
      <c r="G24" s="22">
        <f>E24*F24</f>
        <v>0.93693599999999988</v>
      </c>
      <c r="H24" s="22">
        <f t="shared" si="2"/>
        <v>0</v>
      </c>
      <c r="I24" s="23">
        <f t="shared" si="3"/>
        <v>0</v>
      </c>
      <c r="J24" s="125">
        <f t="shared" si="0"/>
        <v>1.6033550801602792E-2</v>
      </c>
    </row>
    <row r="25" spans="1:10" s="1" customFormat="1" x14ac:dyDescent="0.2">
      <c r="A25" s="110" t="s">
        <v>76</v>
      </c>
      <c r="B25" s="74"/>
      <c r="C25" s="35"/>
      <c r="D25" s="35">
        <f>SUM(D23:D24)</f>
        <v>1.9629791999999999</v>
      </c>
      <c r="E25" s="73"/>
      <c r="F25" s="35"/>
      <c r="G25" s="35">
        <f>SUM(G23:G24)</f>
        <v>1.9629791999999999</v>
      </c>
      <c r="H25" s="35">
        <f t="shared" si="2"/>
        <v>0</v>
      </c>
      <c r="I25" s="36">
        <f t="shared" si="3"/>
        <v>0</v>
      </c>
      <c r="J25" s="111">
        <f t="shared" si="0"/>
        <v>3.3591970770351025E-2</v>
      </c>
    </row>
    <row r="26" spans="1:10" s="1" customFormat="1" x14ac:dyDescent="0.2">
      <c r="A26" s="110" t="s">
        <v>80</v>
      </c>
      <c r="B26" s="74"/>
      <c r="C26" s="35"/>
      <c r="D26" s="35">
        <f>D22+D25</f>
        <v>30.578179199999997</v>
      </c>
      <c r="E26" s="73"/>
      <c r="F26" s="35"/>
      <c r="G26" s="35">
        <f>G22+G25</f>
        <v>31.918179199999997</v>
      </c>
      <c r="H26" s="35">
        <f t="shared" si="2"/>
        <v>1.3399999999999999</v>
      </c>
      <c r="I26" s="36">
        <f t="shared" si="3"/>
        <v>4.3822099126163798E-2</v>
      </c>
      <c r="J26" s="111">
        <f t="shared" si="0"/>
        <v>0.54620779615455217</v>
      </c>
    </row>
    <row r="27" spans="1:10" x14ac:dyDescent="0.2">
      <c r="A27" s="107" t="s">
        <v>42</v>
      </c>
      <c r="B27" s="73">
        <f>B8</f>
        <v>218.4</v>
      </c>
      <c r="C27" s="34">
        <v>3.5999999999999999E-3</v>
      </c>
      <c r="D27" s="22">
        <f>B27*C27</f>
        <v>0.78624000000000005</v>
      </c>
      <c r="E27" s="73">
        <f t="shared" si="4"/>
        <v>218.4</v>
      </c>
      <c r="F27" s="34">
        <v>3.5999999999999999E-3</v>
      </c>
      <c r="G27" s="22">
        <f>E27*F27</f>
        <v>0.78624000000000005</v>
      </c>
      <c r="H27" s="22">
        <f t="shared" si="2"/>
        <v>0</v>
      </c>
      <c r="I27" s="23">
        <f t="shared" si="3"/>
        <v>0</v>
      </c>
      <c r="J27" s="125">
        <f t="shared" si="0"/>
        <v>1.3454727945400945E-2</v>
      </c>
    </row>
    <row r="28" spans="1:10" s="1" customFormat="1" x14ac:dyDescent="0.2">
      <c r="A28" s="107" t="s">
        <v>43</v>
      </c>
      <c r="B28" s="73">
        <f>B8</f>
        <v>218.4</v>
      </c>
      <c r="C28" s="34">
        <v>2.0999999999999999E-3</v>
      </c>
      <c r="D28" s="22">
        <f>B28*C28</f>
        <v>0.45863999999999999</v>
      </c>
      <c r="E28" s="73">
        <f t="shared" si="4"/>
        <v>218.4</v>
      </c>
      <c r="F28" s="34">
        <v>2.0999999999999999E-3</v>
      </c>
      <c r="G28" s="22">
        <f>E28*F28</f>
        <v>0.45863999999999999</v>
      </c>
      <c r="H28" s="22">
        <f>G28-D28</f>
        <v>0</v>
      </c>
      <c r="I28" s="23">
        <f t="shared" si="3"/>
        <v>0</v>
      </c>
      <c r="J28" s="125">
        <f t="shared" si="0"/>
        <v>7.848591301483885E-3</v>
      </c>
    </row>
    <row r="29" spans="1:10" s="1" customFormat="1" x14ac:dyDescent="0.2">
      <c r="A29" s="107" t="s">
        <v>96</v>
      </c>
      <c r="B29" s="73">
        <f>B8</f>
        <v>218.4</v>
      </c>
      <c r="C29" s="34">
        <v>1.1000000000000001E-3</v>
      </c>
      <c r="D29" s="22">
        <f>B29*C29</f>
        <v>0.24024000000000001</v>
      </c>
      <c r="E29" s="73">
        <f t="shared" si="4"/>
        <v>218.4</v>
      </c>
      <c r="F29" s="34">
        <v>1.1000000000000001E-3</v>
      </c>
      <c r="G29" s="22">
        <f>E29*F29</f>
        <v>0.24024000000000001</v>
      </c>
      <c r="H29" s="22">
        <f>G29-D29</f>
        <v>0</v>
      </c>
      <c r="I29" s="23">
        <f t="shared" ref="I29" si="7">IF(ISERROR(H29/D29),0,(H29/D29))</f>
        <v>0</v>
      </c>
      <c r="J29" s="125">
        <f t="shared" ref="J29" si="8">G29/$G$37</f>
        <v>4.1111668722058443E-3</v>
      </c>
    </row>
    <row r="30" spans="1:10" x14ac:dyDescent="0.2">
      <c r="A30" s="107" t="s">
        <v>44</v>
      </c>
      <c r="B30" s="73">
        <v>1</v>
      </c>
      <c r="C30" s="22">
        <v>0.25</v>
      </c>
      <c r="D30" s="22">
        <f>B30*C30</f>
        <v>0.25</v>
      </c>
      <c r="E30" s="73">
        <f t="shared" si="4"/>
        <v>1</v>
      </c>
      <c r="F30" s="22">
        <f>C30</f>
        <v>0.25</v>
      </c>
      <c r="G30" s="22">
        <f>E30*F30</f>
        <v>0.25</v>
      </c>
      <c r="H30" s="22">
        <f t="shared" si="2"/>
        <v>0</v>
      </c>
      <c r="I30" s="23">
        <f t="shared" si="3"/>
        <v>0</v>
      </c>
      <c r="J30" s="125">
        <f t="shared" ref="J30:J37" si="9">G30/$G$37</f>
        <v>4.2781873045765108E-3</v>
      </c>
    </row>
    <row r="31" spans="1:10" s="1" customFormat="1" x14ac:dyDescent="0.2">
      <c r="A31" s="110" t="s">
        <v>45</v>
      </c>
      <c r="B31" s="74"/>
      <c r="C31" s="35"/>
      <c r="D31" s="35">
        <f>SUM(D27:D30)</f>
        <v>1.73512</v>
      </c>
      <c r="E31" s="73"/>
      <c r="F31" s="35"/>
      <c r="G31" s="35">
        <f>SUM(G27:G30)</f>
        <v>1.73512</v>
      </c>
      <c r="H31" s="35">
        <f t="shared" si="2"/>
        <v>0</v>
      </c>
      <c r="I31" s="36">
        <f t="shared" si="3"/>
        <v>0</v>
      </c>
      <c r="J31" s="111">
        <f t="shared" si="9"/>
        <v>2.9692673423667184E-2</v>
      </c>
    </row>
    <row r="32" spans="1:10" ht="13.5" thickBot="1" x14ac:dyDescent="0.25">
      <c r="A32" s="112" t="s">
        <v>46</v>
      </c>
      <c r="B32" s="113">
        <f>B4</f>
        <v>200</v>
      </c>
      <c r="C32" s="114">
        <v>7.0000000000000001E-3</v>
      </c>
      <c r="D32" s="115">
        <f>B32*C32</f>
        <v>1.4000000000000001</v>
      </c>
      <c r="E32" s="116">
        <f t="shared" si="4"/>
        <v>200</v>
      </c>
      <c r="F32" s="114">
        <f>C32</f>
        <v>7.0000000000000001E-3</v>
      </c>
      <c r="G32" s="115">
        <f>E32*F32</f>
        <v>1.4000000000000001</v>
      </c>
      <c r="H32" s="115">
        <f t="shared" si="2"/>
        <v>0</v>
      </c>
      <c r="I32" s="117">
        <f t="shared" si="3"/>
        <v>0</v>
      </c>
      <c r="J32" s="118">
        <f t="shared" si="9"/>
        <v>2.3957848905628465E-2</v>
      </c>
    </row>
    <row r="33" spans="1:10" x14ac:dyDescent="0.2">
      <c r="A33" s="37" t="s">
        <v>111</v>
      </c>
      <c r="B33" s="38"/>
      <c r="C33" s="39"/>
      <c r="D33" s="39">
        <f>SUM(D14,D22,D25,D31,D32)</f>
        <v>54.313299199999996</v>
      </c>
      <c r="E33" s="38"/>
      <c r="F33" s="39"/>
      <c r="G33" s="39">
        <f>SUM(G14,G22,G25,G31,G32)</f>
        <v>55.653299199999999</v>
      </c>
      <c r="H33" s="39">
        <f t="shared" si="2"/>
        <v>1.3400000000000034</v>
      </c>
      <c r="I33" s="40">
        <f>IF(ISERROR(H33/D33),0,(H33/D33))</f>
        <v>2.467167378408866E-2</v>
      </c>
      <c r="J33" s="41">
        <f t="shared" si="9"/>
        <v>0.95238095238095244</v>
      </c>
    </row>
    <row r="34" spans="1:10" x14ac:dyDescent="0.2">
      <c r="A34" s="46" t="s">
        <v>102</v>
      </c>
      <c r="B34" s="43"/>
      <c r="C34" s="26">
        <v>0.13</v>
      </c>
      <c r="D34" s="26">
        <f>D33*C34</f>
        <v>7.0607288959999996</v>
      </c>
      <c r="E34" s="26"/>
      <c r="F34" s="26">
        <f>C34</f>
        <v>0.13</v>
      </c>
      <c r="G34" s="26">
        <f>G33*F34</f>
        <v>7.2349288960000004</v>
      </c>
      <c r="H34" s="26">
        <f t="shared" si="2"/>
        <v>0.1742000000000008</v>
      </c>
      <c r="I34" s="44">
        <f t="shared" si="3"/>
        <v>2.4671673784088709E-2</v>
      </c>
      <c r="J34" s="45">
        <f t="shared" si="9"/>
        <v>0.12380952380952383</v>
      </c>
    </row>
    <row r="35" spans="1:10" x14ac:dyDescent="0.2">
      <c r="A35" s="46" t="s">
        <v>103</v>
      </c>
      <c r="B35" s="24"/>
      <c r="C35" s="25"/>
      <c r="D35" s="25">
        <f>SUM(D33:D34)</f>
        <v>61.374028095999996</v>
      </c>
      <c r="E35" s="25"/>
      <c r="F35" s="25"/>
      <c r="G35" s="25">
        <f>SUM(G33:G34)</f>
        <v>62.888228095999999</v>
      </c>
      <c r="H35" s="25">
        <f t="shared" si="2"/>
        <v>1.5142000000000024</v>
      </c>
      <c r="I35" s="27">
        <f t="shared" si="3"/>
        <v>2.4671673784088636E-2</v>
      </c>
      <c r="J35" s="47">
        <f t="shared" si="9"/>
        <v>1.0761904761904761</v>
      </c>
    </row>
    <row r="36" spans="1:10" x14ac:dyDescent="0.2">
      <c r="A36" s="46" t="s">
        <v>104</v>
      </c>
      <c r="B36" s="43"/>
      <c r="C36" s="26">
        <v>-0.08</v>
      </c>
      <c r="D36" s="26">
        <f>D33*C36</f>
        <v>-4.3450639359999998</v>
      </c>
      <c r="E36" s="26"/>
      <c r="F36" s="26">
        <f>C36</f>
        <v>-0.08</v>
      </c>
      <c r="G36" s="26">
        <f>G33*F36</f>
        <v>-4.4522639360000005</v>
      </c>
      <c r="H36" s="26">
        <f t="shared" si="2"/>
        <v>-0.10720000000000063</v>
      </c>
      <c r="I36" s="44">
        <f t="shared" si="3"/>
        <v>2.467167378408874E-2</v>
      </c>
      <c r="J36" s="45">
        <f t="shared" si="9"/>
        <v>-7.6190476190476197E-2</v>
      </c>
    </row>
    <row r="37" spans="1:10" ht="13.5" thickBot="1" x14ac:dyDescent="0.25">
      <c r="A37" s="46" t="s">
        <v>105</v>
      </c>
      <c r="B37" s="49"/>
      <c r="C37" s="50"/>
      <c r="D37" s="50">
        <f>SUM(D35:D36)</f>
        <v>57.028964159999994</v>
      </c>
      <c r="E37" s="50"/>
      <c r="F37" s="50"/>
      <c r="G37" s="50">
        <f>SUM(G35:G36)</f>
        <v>58.435964159999997</v>
      </c>
      <c r="H37" s="50">
        <f t="shared" si="2"/>
        <v>1.4070000000000036</v>
      </c>
      <c r="I37" s="51">
        <f t="shared" si="3"/>
        <v>2.467167378408866E-2</v>
      </c>
      <c r="J37" s="52">
        <f t="shared" si="9"/>
        <v>1</v>
      </c>
    </row>
    <row r="38" spans="1:10" x14ac:dyDescent="0.2">
      <c r="A38" s="171"/>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1" tint="0.499984740745262"/>
    <pageSetUpPr fitToPage="1"/>
  </sheetPr>
  <dimension ref="A1:K48"/>
  <sheetViews>
    <sheetView tabSelected="1" view="pageBreakPreview" topLeftCell="A10"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1" ht="16.5" thickBot="1" x14ac:dyDescent="0.3">
      <c r="A1" s="187" t="s">
        <v>118</v>
      </c>
      <c r="B1" s="188"/>
      <c r="C1" s="188"/>
      <c r="D1" s="188"/>
      <c r="E1" s="188"/>
      <c r="F1" s="188"/>
      <c r="G1" s="188"/>
      <c r="H1" s="188"/>
      <c r="I1" s="188"/>
      <c r="J1" s="189"/>
      <c r="K1" s="129"/>
    </row>
    <row r="3" spans="1:11" x14ac:dyDescent="0.2">
      <c r="A3" s="13" t="s">
        <v>13</v>
      </c>
      <c r="B3" s="13" t="s">
        <v>8</v>
      </c>
    </row>
    <row r="4" spans="1:11" x14ac:dyDescent="0.2">
      <c r="A4" s="15" t="s">
        <v>62</v>
      </c>
      <c r="B4" s="15">
        <v>100</v>
      </c>
    </row>
    <row r="5" spans="1:11" x14ac:dyDescent="0.2">
      <c r="A5" s="15" t="s">
        <v>16</v>
      </c>
      <c r="B5" s="15">
        <f>VLOOKUP($B$3,'Data for Bill Impacts'!$A$3:$Y$15,5,0)</f>
        <v>0</v>
      </c>
    </row>
    <row r="6" spans="1:11" x14ac:dyDescent="0.2">
      <c r="A6" s="15" t="s">
        <v>20</v>
      </c>
      <c r="B6" s="15">
        <f>VLOOKUP($B$3,'Data for Bill Impacts'!$A$3:$Y$15,2,0)</f>
        <v>1.0920000000000001</v>
      </c>
    </row>
    <row r="7" spans="1:11" x14ac:dyDescent="0.2">
      <c r="A7" s="15" t="s">
        <v>15</v>
      </c>
      <c r="B7" s="15">
        <f>VLOOKUP($B$3,'Data for Bill Impacts'!$A$3:$Y$15,4,0)</f>
        <v>750</v>
      </c>
    </row>
    <row r="8" spans="1:11" x14ac:dyDescent="0.2">
      <c r="A8" s="15" t="s">
        <v>82</v>
      </c>
      <c r="B8" s="169">
        <f>B4*B6</f>
        <v>109.2</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23" t="s">
        <v>29</v>
      </c>
    </row>
    <row r="12" spans="1:11" x14ac:dyDescent="0.2">
      <c r="A12" s="101" t="s">
        <v>31</v>
      </c>
      <c r="B12" s="102">
        <f>IF(B4&gt;B7,B7,B4)</f>
        <v>100</v>
      </c>
      <c r="C12" s="103">
        <v>0.10299999999999999</v>
      </c>
      <c r="D12" s="104">
        <f>B12*C12</f>
        <v>10.299999999999999</v>
      </c>
      <c r="E12" s="102">
        <f>B12</f>
        <v>100</v>
      </c>
      <c r="F12" s="103">
        <f>C12</f>
        <v>0.10299999999999999</v>
      </c>
      <c r="G12" s="104">
        <f>E12*F12</f>
        <v>10.299999999999999</v>
      </c>
      <c r="H12" s="104">
        <f>G12-D12</f>
        <v>0</v>
      </c>
      <c r="I12" s="105">
        <f>IF(ISERROR(H12/D12),0,(H12/D12))</f>
        <v>0</v>
      </c>
      <c r="J12" s="124">
        <f t="shared" ref="J12:J28" si="0">G12/$G$37</f>
        <v>0.34685118966765682</v>
      </c>
    </row>
    <row r="13" spans="1:11" x14ac:dyDescent="0.2">
      <c r="A13" s="107" t="s">
        <v>32</v>
      </c>
      <c r="B13" s="73">
        <f>IF(B4&gt;B7,(B4)-B7,0)</f>
        <v>0</v>
      </c>
      <c r="C13" s="21">
        <v>0.121</v>
      </c>
      <c r="D13" s="22">
        <f>B13*C13</f>
        <v>0</v>
      </c>
      <c r="E13" s="73">
        <f t="shared" ref="E13:E32" si="1">B13</f>
        <v>0</v>
      </c>
      <c r="F13" s="21">
        <f>C13</f>
        <v>0.121</v>
      </c>
      <c r="G13" s="22">
        <f>E13*F13</f>
        <v>0</v>
      </c>
      <c r="H13" s="22">
        <f t="shared" ref="H13:H37" si="2">G13-D13</f>
        <v>0</v>
      </c>
      <c r="I13" s="23">
        <f t="shared" ref="I13:I37" si="3">IF(ISERROR(H13/D13),0,(H13/D13))</f>
        <v>0</v>
      </c>
      <c r="J13" s="125">
        <f t="shared" si="0"/>
        <v>0</v>
      </c>
    </row>
    <row r="14" spans="1:11" s="1" customFormat="1" x14ac:dyDescent="0.2">
      <c r="A14" s="46" t="s">
        <v>33</v>
      </c>
      <c r="B14" s="24"/>
      <c r="C14" s="25"/>
      <c r="D14" s="25">
        <f>SUM(D12:D13)</f>
        <v>10.299999999999999</v>
      </c>
      <c r="E14" s="76"/>
      <c r="F14" s="25"/>
      <c r="G14" s="25">
        <f>SUM(G12:G13)</f>
        <v>10.299999999999999</v>
      </c>
      <c r="H14" s="25">
        <f t="shared" si="2"/>
        <v>0</v>
      </c>
      <c r="I14" s="27">
        <f t="shared" si="3"/>
        <v>0</v>
      </c>
      <c r="J14" s="47">
        <f t="shared" si="0"/>
        <v>0.34685118966765682</v>
      </c>
    </row>
    <row r="15" spans="1:11" x14ac:dyDescent="0.2">
      <c r="A15" s="107" t="s">
        <v>38</v>
      </c>
      <c r="B15" s="73">
        <v>1</v>
      </c>
      <c r="C15" s="78">
        <f>VLOOKUP($B$3,'Data for Bill Impacts'!$A$3:$Y$15,7,0)</f>
        <v>4.08</v>
      </c>
      <c r="D15" s="22">
        <f>B15*C15</f>
        <v>4.08</v>
      </c>
      <c r="E15" s="73">
        <f t="shared" si="1"/>
        <v>1</v>
      </c>
      <c r="F15" s="78">
        <f>VLOOKUP($B$3,'Data for Bill Impacts'!$A$3:$Y$15,17,0)</f>
        <v>4.21</v>
      </c>
      <c r="G15" s="22">
        <f>E15*F15</f>
        <v>4.21</v>
      </c>
      <c r="H15" s="22">
        <f t="shared" si="2"/>
        <v>0.12999999999999989</v>
      </c>
      <c r="I15" s="23">
        <f t="shared" si="3"/>
        <v>3.1862745098039186E-2</v>
      </c>
      <c r="J15" s="125">
        <f t="shared" si="0"/>
        <v>0.14177121441755683</v>
      </c>
    </row>
    <row r="16" spans="1:11" x14ac:dyDescent="0.2">
      <c r="A16" s="107" t="s">
        <v>85</v>
      </c>
      <c r="B16" s="73">
        <v>1</v>
      </c>
      <c r="C16" s="122">
        <f>VLOOKUP($B$3,'Data for Bill Impacts'!$A$3:$Y$15,13,0)</f>
        <v>0</v>
      </c>
      <c r="D16" s="22">
        <f t="shared" ref="D16" si="4">B16*C16</f>
        <v>0</v>
      </c>
      <c r="E16" s="73">
        <f t="shared" si="1"/>
        <v>1</v>
      </c>
      <c r="F16" s="122">
        <f>VLOOKUP($B$3,'Data for Bill Impacts'!$A$3:$Y$15,22,0)</f>
        <v>0</v>
      </c>
      <c r="G16" s="22">
        <f t="shared" ref="G16" si="5">E16*F16</f>
        <v>0</v>
      </c>
      <c r="H16" s="22">
        <f t="shared" ref="H16" si="6">G16-D16</f>
        <v>0</v>
      </c>
      <c r="I16" s="23">
        <f t="shared" ref="I16" si="7">IF(ISERROR(H16/D16),0,(H16/D16))</f>
        <v>0</v>
      </c>
      <c r="J16" s="125">
        <f t="shared" si="0"/>
        <v>0</v>
      </c>
    </row>
    <row r="17" spans="1:10" x14ac:dyDescent="0.2">
      <c r="A17" s="107" t="s">
        <v>39</v>
      </c>
      <c r="B17" s="73">
        <f>IF($B$9="kWh",$B$4,$B$5)</f>
        <v>100</v>
      </c>
      <c r="C17" s="126">
        <f>VLOOKUP($B$3,'Data for Bill Impacts'!$A$3:$Y$15,10,0)</f>
        <v>9.8000000000000004E-2</v>
      </c>
      <c r="D17" s="22">
        <f>B17*C17</f>
        <v>9.8000000000000007</v>
      </c>
      <c r="E17" s="73">
        <f t="shared" si="1"/>
        <v>100</v>
      </c>
      <c r="F17" s="78">
        <f>VLOOKUP($B$3,'Data for Bill Impacts'!$A$3:$Y$15,19,0)</f>
        <v>0.1013</v>
      </c>
      <c r="G17" s="22">
        <f>E17*F17</f>
        <v>10.130000000000001</v>
      </c>
      <c r="H17" s="22">
        <f t="shared" si="2"/>
        <v>0.33000000000000007</v>
      </c>
      <c r="I17" s="23">
        <f t="shared" si="3"/>
        <v>3.367346938775511E-2</v>
      </c>
      <c r="J17" s="125">
        <f t="shared" si="0"/>
        <v>0.34112646129450136</v>
      </c>
    </row>
    <row r="18" spans="1:10" s="1" customFormat="1" x14ac:dyDescent="0.2">
      <c r="A18" s="107" t="s">
        <v>122</v>
      </c>
      <c r="B18" s="73">
        <f>IF($B$9="kWh",$B$4,$B$5)</f>
        <v>100</v>
      </c>
      <c r="C18" s="126">
        <f>VLOOKUP($B$3,'Data for Bill Impacts'!$A$3:$Y$15,14,0)</f>
        <v>2.0000000000000001E-4</v>
      </c>
      <c r="D18" s="22">
        <f>B18*C18</f>
        <v>0.02</v>
      </c>
      <c r="E18" s="73">
        <f>B18</f>
        <v>100</v>
      </c>
      <c r="F18" s="126">
        <f>VLOOKUP($B$3,'Data for Bill Impacts'!$A$3:$Y$15,23,0)</f>
        <v>2.0000000000000001E-4</v>
      </c>
      <c r="G18" s="22">
        <f>E18*F18</f>
        <v>0.02</v>
      </c>
      <c r="H18" s="22">
        <f>G18-D18</f>
        <v>0</v>
      </c>
      <c r="I18" s="23">
        <f>IF(ISERROR(H18/D18),0,(H18/D18))</f>
        <v>0</v>
      </c>
      <c r="J18" s="125">
        <f t="shared" si="0"/>
        <v>6.7349745566535311E-4</v>
      </c>
    </row>
    <row r="19" spans="1:10" hidden="1" x14ac:dyDescent="0.2">
      <c r="A19" s="107" t="s">
        <v>108</v>
      </c>
      <c r="B19" s="73">
        <f>B8</f>
        <v>109.2</v>
      </c>
      <c r="C19" s="78">
        <v>0</v>
      </c>
      <c r="D19" s="22">
        <f>B19*C19</f>
        <v>0</v>
      </c>
      <c r="E19" s="73">
        <f t="shared" si="1"/>
        <v>109.2</v>
      </c>
      <c r="F19" s="78">
        <v>0</v>
      </c>
      <c r="G19" s="22">
        <f>E19*F19</f>
        <v>0</v>
      </c>
      <c r="H19" s="22">
        <f t="shared" si="2"/>
        <v>0</v>
      </c>
      <c r="I19" s="23">
        <f>IF(ISERROR(H19/D19),0,(H19/D19))</f>
        <v>0</v>
      </c>
      <c r="J19" s="125">
        <f t="shared" si="0"/>
        <v>0</v>
      </c>
    </row>
    <row r="20" spans="1:10" x14ac:dyDescent="0.2">
      <c r="A20" s="110" t="s">
        <v>72</v>
      </c>
      <c r="B20" s="74"/>
      <c r="C20" s="35"/>
      <c r="D20" s="35">
        <f>SUM(D15:D19)</f>
        <v>13.9</v>
      </c>
      <c r="E20" s="73"/>
      <c r="F20" s="35"/>
      <c r="G20" s="35">
        <f>SUM(G15:G19)</f>
        <v>14.36</v>
      </c>
      <c r="H20" s="35">
        <f t="shared" si="2"/>
        <v>0.45999999999999908</v>
      </c>
      <c r="I20" s="36">
        <f t="shared" si="3"/>
        <v>3.3093525179856045E-2</v>
      </c>
      <c r="J20" s="111">
        <f t="shared" si="0"/>
        <v>0.48357117316772347</v>
      </c>
    </row>
    <row r="21" spans="1:10" s="1" customFormat="1" x14ac:dyDescent="0.2">
      <c r="A21" s="119" t="s">
        <v>81</v>
      </c>
      <c r="B21" s="120">
        <f>B8-B4</f>
        <v>9.2000000000000028</v>
      </c>
      <c r="C21" s="121">
        <f>IF(B4&gt;B7,C13,C12)</f>
        <v>0.10299999999999999</v>
      </c>
      <c r="D21" s="22">
        <f>B21*C21</f>
        <v>0.94760000000000022</v>
      </c>
      <c r="E21" s="73">
        <f>B21</f>
        <v>9.2000000000000028</v>
      </c>
      <c r="F21" s="121">
        <f>C21</f>
        <v>0.10299999999999999</v>
      </c>
      <c r="G21" s="22">
        <f>E21*F21</f>
        <v>0.94760000000000022</v>
      </c>
      <c r="H21" s="22">
        <f t="shared" si="2"/>
        <v>0</v>
      </c>
      <c r="I21" s="23">
        <f>IF(ISERROR(H21/D21),0,(H21/D21))</f>
        <v>0</v>
      </c>
      <c r="J21" s="125">
        <f t="shared" si="0"/>
        <v>3.1910309449424433E-2</v>
      </c>
    </row>
    <row r="22" spans="1:10" x14ac:dyDescent="0.2">
      <c r="A22" s="110" t="s">
        <v>79</v>
      </c>
      <c r="B22" s="74"/>
      <c r="C22" s="35"/>
      <c r="D22" s="35">
        <f>SUM(D20,D21:D21)</f>
        <v>14.8476</v>
      </c>
      <c r="E22" s="73"/>
      <c r="F22" s="35"/>
      <c r="G22" s="35">
        <f>SUM(G20,G21:G21)</f>
        <v>15.307599999999999</v>
      </c>
      <c r="H22" s="35">
        <f t="shared" si="2"/>
        <v>0.45999999999999908</v>
      </c>
      <c r="I22" s="36">
        <f>IF(ISERROR(H22/D22),0,(H22/D22))</f>
        <v>3.0981438077534354E-2</v>
      </c>
      <c r="J22" s="111">
        <f t="shared" si="0"/>
        <v>0.51548148261714788</v>
      </c>
    </row>
    <row r="23" spans="1:10" x14ac:dyDescent="0.2">
      <c r="A23" s="107" t="s">
        <v>40</v>
      </c>
      <c r="B23" s="73">
        <f>B8</f>
        <v>109.2</v>
      </c>
      <c r="C23" s="78">
        <f>VLOOKUP($B$3,'Data for Bill Impacts'!$A$3:$Y$15,15,0)</f>
        <v>4.6979999999999999E-3</v>
      </c>
      <c r="D23" s="22">
        <f>B23*C23</f>
        <v>0.51302159999999997</v>
      </c>
      <c r="E23" s="73">
        <f t="shared" si="1"/>
        <v>109.2</v>
      </c>
      <c r="F23" s="126">
        <f>VLOOKUP($B$3,'Data for Bill Impacts'!$A$3:$Y$15,24,0)</f>
        <v>4.6979999999999999E-3</v>
      </c>
      <c r="G23" s="22">
        <f>E23*F23</f>
        <v>0.51302159999999997</v>
      </c>
      <c r="H23" s="22">
        <f t="shared" si="2"/>
        <v>0</v>
      </c>
      <c r="I23" s="23">
        <f t="shared" si="3"/>
        <v>0</v>
      </c>
      <c r="J23" s="125">
        <f t="shared" si="0"/>
        <v>1.7275937115068425E-2</v>
      </c>
    </row>
    <row r="24" spans="1:10" s="1" customFormat="1" x14ac:dyDescent="0.2">
      <c r="A24" s="107" t="s">
        <v>41</v>
      </c>
      <c r="B24" s="73">
        <f>B8</f>
        <v>109.2</v>
      </c>
      <c r="C24" s="78">
        <f>VLOOKUP($B$3,'Data for Bill Impacts'!$A$3:$Y$15,16,0)</f>
        <v>4.2899999999999995E-3</v>
      </c>
      <c r="D24" s="22">
        <f>B24*C24</f>
        <v>0.46846799999999994</v>
      </c>
      <c r="E24" s="73">
        <f t="shared" si="1"/>
        <v>109.2</v>
      </c>
      <c r="F24" s="126">
        <f>VLOOKUP($B$3,'Data for Bill Impacts'!$A$3:$Y$15,25,0)</f>
        <v>4.2899999999999995E-3</v>
      </c>
      <c r="G24" s="22">
        <f>E24*F24</f>
        <v>0.46846799999999994</v>
      </c>
      <c r="H24" s="22">
        <f t="shared" si="2"/>
        <v>0</v>
      </c>
      <c r="I24" s="23">
        <f t="shared" si="3"/>
        <v>0</v>
      </c>
      <c r="J24" s="125">
        <f t="shared" si="0"/>
        <v>1.577560030303183E-2</v>
      </c>
    </row>
    <row r="25" spans="1:10" s="1" customFormat="1" x14ac:dyDescent="0.2">
      <c r="A25" s="110" t="s">
        <v>76</v>
      </c>
      <c r="B25" s="74"/>
      <c r="C25" s="35"/>
      <c r="D25" s="35">
        <f>SUM(D23:D24)</f>
        <v>0.98148959999999996</v>
      </c>
      <c r="E25" s="73"/>
      <c r="F25" s="35"/>
      <c r="G25" s="35">
        <f>SUM(G23:G24)</f>
        <v>0.98148959999999996</v>
      </c>
      <c r="H25" s="35">
        <f t="shared" si="2"/>
        <v>0</v>
      </c>
      <c r="I25" s="36">
        <f t="shared" si="3"/>
        <v>0</v>
      </c>
      <c r="J25" s="111">
        <f t="shared" si="0"/>
        <v>3.3051537418100255E-2</v>
      </c>
    </row>
    <row r="26" spans="1:10" s="1" customFormat="1" x14ac:dyDescent="0.2">
      <c r="A26" s="110" t="s">
        <v>80</v>
      </c>
      <c r="B26" s="74"/>
      <c r="C26" s="35"/>
      <c r="D26" s="35">
        <f>D22+D25</f>
        <v>15.8290896</v>
      </c>
      <c r="E26" s="73"/>
      <c r="F26" s="35"/>
      <c r="G26" s="35">
        <f>G22+G25</f>
        <v>16.289089600000001</v>
      </c>
      <c r="H26" s="35">
        <f t="shared" si="2"/>
        <v>0.46000000000000085</v>
      </c>
      <c r="I26" s="36">
        <f t="shared" si="3"/>
        <v>2.9060420505800971E-2</v>
      </c>
      <c r="J26" s="111">
        <f t="shared" si="0"/>
        <v>0.54853302003524818</v>
      </c>
    </row>
    <row r="27" spans="1:10" x14ac:dyDescent="0.2">
      <c r="A27" s="107" t="s">
        <v>42</v>
      </c>
      <c r="B27" s="73">
        <f>B8</f>
        <v>109.2</v>
      </c>
      <c r="C27" s="34">
        <v>3.5999999999999999E-3</v>
      </c>
      <c r="D27" s="22">
        <f>B27*C27</f>
        <v>0.39312000000000002</v>
      </c>
      <c r="E27" s="73">
        <f t="shared" si="1"/>
        <v>109.2</v>
      </c>
      <c r="F27" s="34">
        <v>3.5999999999999999E-3</v>
      </c>
      <c r="G27" s="22">
        <f>E27*F27</f>
        <v>0.39312000000000002</v>
      </c>
      <c r="H27" s="22">
        <f t="shared" si="2"/>
        <v>0</v>
      </c>
      <c r="I27" s="23">
        <f t="shared" si="3"/>
        <v>0</v>
      </c>
      <c r="J27" s="125">
        <f t="shared" si="0"/>
        <v>1.3238265988558181E-2</v>
      </c>
    </row>
    <row r="28" spans="1:10" s="1" customFormat="1" x14ac:dyDescent="0.2">
      <c r="A28" s="107" t="s">
        <v>43</v>
      </c>
      <c r="B28" s="73">
        <f>B8</f>
        <v>109.2</v>
      </c>
      <c r="C28" s="34">
        <v>2.0999999999999999E-3</v>
      </c>
      <c r="D28" s="22">
        <f>B28*C28</f>
        <v>0.22932</v>
      </c>
      <c r="E28" s="73">
        <f t="shared" si="1"/>
        <v>109.2</v>
      </c>
      <c r="F28" s="34">
        <v>2.0999999999999999E-3</v>
      </c>
      <c r="G28" s="22">
        <f>E28*F28</f>
        <v>0.22932</v>
      </c>
      <c r="H28" s="22">
        <f>G28-D28</f>
        <v>0</v>
      </c>
      <c r="I28" s="23">
        <f t="shared" si="3"/>
        <v>0</v>
      </c>
      <c r="J28" s="125">
        <f t="shared" si="0"/>
        <v>7.7223218266589382E-3</v>
      </c>
    </row>
    <row r="29" spans="1:10" s="1" customFormat="1" x14ac:dyDescent="0.2">
      <c r="A29" s="107" t="s">
        <v>96</v>
      </c>
      <c r="B29" s="73">
        <f>B8</f>
        <v>109.2</v>
      </c>
      <c r="C29" s="34">
        <v>1.1000000000000001E-3</v>
      </c>
      <c r="D29" s="22">
        <f>B29*C29</f>
        <v>0.12012</v>
      </c>
      <c r="E29" s="73">
        <f t="shared" si="1"/>
        <v>109.2</v>
      </c>
      <c r="F29" s="34">
        <v>1.1000000000000001E-3</v>
      </c>
      <c r="G29" s="22">
        <f>E29*F29</f>
        <v>0.12012</v>
      </c>
      <c r="H29" s="22">
        <f>G29-D29</f>
        <v>0</v>
      </c>
      <c r="I29" s="23">
        <f t="shared" ref="I29" si="8">IF(ISERROR(H29/D29),0,(H29/D29))</f>
        <v>0</v>
      </c>
      <c r="J29" s="125">
        <f t="shared" ref="J29" si="9">G29/$G$37</f>
        <v>4.0450257187261106E-3</v>
      </c>
    </row>
    <row r="30" spans="1:10" x14ac:dyDescent="0.2">
      <c r="A30" s="107" t="s">
        <v>44</v>
      </c>
      <c r="B30" s="73">
        <v>1</v>
      </c>
      <c r="C30" s="22">
        <v>0.25</v>
      </c>
      <c r="D30" s="22">
        <f>B30*C30</f>
        <v>0.25</v>
      </c>
      <c r="E30" s="73">
        <f t="shared" si="1"/>
        <v>1</v>
      </c>
      <c r="F30" s="22">
        <f>C30</f>
        <v>0.25</v>
      </c>
      <c r="G30" s="22">
        <f>E30*F30</f>
        <v>0.25</v>
      </c>
      <c r="H30" s="22">
        <f t="shared" si="2"/>
        <v>0</v>
      </c>
      <c r="I30" s="23">
        <f t="shared" si="3"/>
        <v>0</v>
      </c>
      <c r="J30" s="125">
        <f t="shared" ref="J30:J37" si="10">G30/$G$37</f>
        <v>8.4187181958169134E-3</v>
      </c>
    </row>
    <row r="31" spans="1:10" s="1" customFormat="1" x14ac:dyDescent="0.2">
      <c r="A31" s="110" t="s">
        <v>45</v>
      </c>
      <c r="B31" s="74"/>
      <c r="C31" s="35"/>
      <c r="D31" s="35">
        <f>SUM(D27:D30)</f>
        <v>0.99256</v>
      </c>
      <c r="E31" s="73"/>
      <c r="F31" s="35"/>
      <c r="G31" s="35">
        <f>SUM(G27:G30)</f>
        <v>0.99256</v>
      </c>
      <c r="H31" s="35">
        <f t="shared" si="2"/>
        <v>0</v>
      </c>
      <c r="I31" s="36">
        <f t="shared" si="3"/>
        <v>0</v>
      </c>
      <c r="J31" s="111">
        <f t="shared" si="10"/>
        <v>3.3424331729760143E-2</v>
      </c>
    </row>
    <row r="32" spans="1:10" ht="13.5" thickBot="1" x14ac:dyDescent="0.25">
      <c r="A32" s="112" t="s">
        <v>46</v>
      </c>
      <c r="B32" s="113">
        <f>B4</f>
        <v>100</v>
      </c>
      <c r="C32" s="114">
        <v>7.0000000000000001E-3</v>
      </c>
      <c r="D32" s="115">
        <f>B32*C32</f>
        <v>0.70000000000000007</v>
      </c>
      <c r="E32" s="116">
        <f t="shared" si="1"/>
        <v>100</v>
      </c>
      <c r="F32" s="114">
        <f>C32</f>
        <v>7.0000000000000001E-3</v>
      </c>
      <c r="G32" s="115">
        <f>E32*F32</f>
        <v>0.70000000000000007</v>
      </c>
      <c r="H32" s="115">
        <f t="shared" si="2"/>
        <v>0</v>
      </c>
      <c r="I32" s="117">
        <f t="shared" si="3"/>
        <v>0</v>
      </c>
      <c r="J32" s="118">
        <f t="shared" si="10"/>
        <v>2.357241094828736E-2</v>
      </c>
    </row>
    <row r="33" spans="1:10" x14ac:dyDescent="0.2">
      <c r="A33" s="37" t="s">
        <v>111</v>
      </c>
      <c r="B33" s="38"/>
      <c r="C33" s="39"/>
      <c r="D33" s="39">
        <f>SUM(D14,D22,D25,D31,D32)</f>
        <v>27.821649599999997</v>
      </c>
      <c r="E33" s="38"/>
      <c r="F33" s="39"/>
      <c r="G33" s="39">
        <f>SUM(G14,G22,G25,G31,G32)</f>
        <v>28.281649599999998</v>
      </c>
      <c r="H33" s="39">
        <f t="shared" si="2"/>
        <v>0.46000000000000085</v>
      </c>
      <c r="I33" s="40">
        <f>IF(ISERROR(H33/D33),0,(H33/D33))</f>
        <v>1.653388661756422E-2</v>
      </c>
      <c r="J33" s="41">
        <f t="shared" si="10"/>
        <v>0.95238095238095244</v>
      </c>
    </row>
    <row r="34" spans="1:10" x14ac:dyDescent="0.2">
      <c r="A34" s="46" t="s">
        <v>102</v>
      </c>
      <c r="B34" s="43"/>
      <c r="C34" s="26">
        <v>0.13</v>
      </c>
      <c r="D34" s="26">
        <f>D33*C34</f>
        <v>3.616814448</v>
      </c>
      <c r="E34" s="26"/>
      <c r="F34" s="26">
        <f>C34</f>
        <v>0.13</v>
      </c>
      <c r="G34" s="26">
        <f>G33*F34</f>
        <v>3.676614448</v>
      </c>
      <c r="H34" s="26">
        <f t="shared" si="2"/>
        <v>5.9800000000000075E-2</v>
      </c>
      <c r="I34" s="44">
        <f t="shared" si="3"/>
        <v>1.6533886617564206E-2</v>
      </c>
      <c r="J34" s="45">
        <f t="shared" si="10"/>
        <v>0.12380952380952383</v>
      </c>
    </row>
    <row r="35" spans="1:10" x14ac:dyDescent="0.2">
      <c r="A35" s="46" t="s">
        <v>103</v>
      </c>
      <c r="B35" s="24"/>
      <c r="C35" s="25"/>
      <c r="D35" s="25">
        <f>SUM(D33:D34)</f>
        <v>31.438464047999997</v>
      </c>
      <c r="E35" s="25"/>
      <c r="F35" s="25"/>
      <c r="G35" s="25">
        <f>SUM(G33:G34)</f>
        <v>31.958264047999997</v>
      </c>
      <c r="H35" s="25">
        <f t="shared" si="2"/>
        <v>0.51980000000000004</v>
      </c>
      <c r="I35" s="27">
        <f t="shared" si="3"/>
        <v>1.6533886617564188E-2</v>
      </c>
      <c r="J35" s="47">
        <f t="shared" si="10"/>
        <v>1.0761904761904761</v>
      </c>
    </row>
    <row r="36" spans="1:10" x14ac:dyDescent="0.2">
      <c r="A36" s="46" t="s">
        <v>104</v>
      </c>
      <c r="B36" s="43"/>
      <c r="C36" s="26">
        <v>-0.08</v>
      </c>
      <c r="D36" s="26">
        <f>D33*C36</f>
        <v>-2.2257319679999998</v>
      </c>
      <c r="E36" s="26"/>
      <c r="F36" s="26">
        <f>C36</f>
        <v>-0.08</v>
      </c>
      <c r="G36" s="26">
        <f>G33*F36</f>
        <v>-2.2625319679999998</v>
      </c>
      <c r="H36" s="26">
        <f t="shared" si="2"/>
        <v>-3.6799999999999944E-2</v>
      </c>
      <c r="I36" s="44">
        <f t="shared" si="3"/>
        <v>1.6533886617564164E-2</v>
      </c>
      <c r="J36" s="45">
        <f t="shared" si="10"/>
        <v>-7.6190476190476197E-2</v>
      </c>
    </row>
    <row r="37" spans="1:10" ht="13.5" thickBot="1" x14ac:dyDescent="0.25">
      <c r="A37" s="46" t="s">
        <v>105</v>
      </c>
      <c r="B37" s="49"/>
      <c r="C37" s="50"/>
      <c r="D37" s="50">
        <f>SUM(D35:D36)</f>
        <v>29.212732079999995</v>
      </c>
      <c r="E37" s="50"/>
      <c r="F37" s="50"/>
      <c r="G37" s="50">
        <f>SUM(G35:G36)</f>
        <v>29.695732079999996</v>
      </c>
      <c r="H37" s="50">
        <f t="shared" si="2"/>
        <v>0.48300000000000054</v>
      </c>
      <c r="I37" s="51">
        <f t="shared" si="3"/>
        <v>1.6533886617564209E-2</v>
      </c>
      <c r="J37" s="52">
        <f t="shared" si="10"/>
        <v>1</v>
      </c>
    </row>
    <row r="38" spans="1:10" x14ac:dyDescent="0.2">
      <c r="A38" s="171"/>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theme="1" tint="0.499984740745262"/>
    <pageSetUpPr fitToPage="1"/>
  </sheetPr>
  <dimension ref="A1:J48"/>
  <sheetViews>
    <sheetView tabSelected="1" view="pageBreakPreview" topLeftCell="A7"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119</v>
      </c>
      <c r="B1" s="188"/>
      <c r="C1" s="188"/>
      <c r="D1" s="188"/>
      <c r="E1" s="188"/>
      <c r="F1" s="188"/>
      <c r="G1" s="188"/>
      <c r="H1" s="188"/>
      <c r="I1" s="188"/>
      <c r="J1" s="189"/>
    </row>
    <row r="3" spans="1:10" ht="15" customHeight="1" x14ac:dyDescent="0.2">
      <c r="A3" s="13" t="s">
        <v>13</v>
      </c>
      <c r="B3" s="13" t="s">
        <v>8</v>
      </c>
    </row>
    <row r="4" spans="1:10" x14ac:dyDescent="0.2">
      <c r="A4" s="15" t="s">
        <v>62</v>
      </c>
      <c r="B4" s="169">
        <f>VLOOKUP(B3,'Data for Bill Impacts'!A18:D31,3,FALSE)</f>
        <v>517</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9">
        <f>B4*B6</f>
        <v>564.56400000000008</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517</v>
      </c>
      <c r="C12" s="103">
        <v>0.10299999999999999</v>
      </c>
      <c r="D12" s="104">
        <f>B12*C12</f>
        <v>53.250999999999998</v>
      </c>
      <c r="E12" s="102">
        <f>B12</f>
        <v>517</v>
      </c>
      <c r="F12" s="103">
        <f>C12</f>
        <v>0.10299999999999999</v>
      </c>
      <c r="G12" s="104">
        <f>E12*F12</f>
        <v>53.250999999999998</v>
      </c>
      <c r="H12" s="104">
        <f>G12-D12</f>
        <v>0</v>
      </c>
      <c r="I12" s="105">
        <f>IF(ISERROR(H12/D12),0,(H12/D12))</f>
        <v>0</v>
      </c>
      <c r="J12" s="124">
        <f t="shared" ref="J12:J28" si="0">G12/$G$37</f>
        <v>0.39881043307349534</v>
      </c>
    </row>
    <row r="13" spans="1:10" x14ac:dyDescent="0.2">
      <c r="A13" s="107" t="s">
        <v>32</v>
      </c>
      <c r="B13" s="73">
        <f>IF(B4&gt;B7,(B4)-B7,0)</f>
        <v>0</v>
      </c>
      <c r="C13" s="21">
        <v>0.121</v>
      </c>
      <c r="D13" s="22">
        <f>B13*C13</f>
        <v>0</v>
      </c>
      <c r="E13" s="73">
        <f t="shared" ref="E13" si="1">B13</f>
        <v>0</v>
      </c>
      <c r="F13" s="21">
        <f>C13</f>
        <v>0.121</v>
      </c>
      <c r="G13" s="22">
        <f>E13*F13</f>
        <v>0</v>
      </c>
      <c r="H13" s="22">
        <f t="shared" ref="H13:H37" si="2">G13-D13</f>
        <v>0</v>
      </c>
      <c r="I13" s="23">
        <f t="shared" ref="I13:I37" si="3">IF(ISERROR(H13/D13),0,(H13/D13))</f>
        <v>0</v>
      </c>
      <c r="J13" s="125">
        <f t="shared" si="0"/>
        <v>0</v>
      </c>
    </row>
    <row r="14" spans="1:10" s="1" customFormat="1" x14ac:dyDescent="0.2">
      <c r="A14" s="46" t="s">
        <v>33</v>
      </c>
      <c r="B14" s="24"/>
      <c r="C14" s="25"/>
      <c r="D14" s="25">
        <f>SUM(D12:D13)</f>
        <v>53.250999999999998</v>
      </c>
      <c r="E14" s="76"/>
      <c r="F14" s="25"/>
      <c r="G14" s="25">
        <f>SUM(G12:G13)</f>
        <v>53.250999999999998</v>
      </c>
      <c r="H14" s="25">
        <f t="shared" si="2"/>
        <v>0</v>
      </c>
      <c r="I14" s="27">
        <f t="shared" si="3"/>
        <v>0</v>
      </c>
      <c r="J14" s="47">
        <f t="shared" si="0"/>
        <v>0.39881043307349534</v>
      </c>
    </row>
    <row r="15" spans="1:10" x14ac:dyDescent="0.2">
      <c r="A15" s="107" t="s">
        <v>38</v>
      </c>
      <c r="B15" s="73">
        <v>1</v>
      </c>
      <c r="C15" s="78">
        <f>VLOOKUP($B$3,'Data for Bill Impacts'!$A$3:$Y$15,7,0)</f>
        <v>4.08</v>
      </c>
      <c r="D15" s="22">
        <f>B15*C15</f>
        <v>4.08</v>
      </c>
      <c r="E15" s="73">
        <f t="shared" ref="E15:E32" si="4">B15</f>
        <v>1</v>
      </c>
      <c r="F15" s="78">
        <f>VLOOKUP($B$3,'Data for Bill Impacts'!$A$3:$Y$15,17,0)</f>
        <v>4.21</v>
      </c>
      <c r="G15" s="22">
        <f>E15*F15</f>
        <v>4.21</v>
      </c>
      <c r="H15" s="22">
        <f t="shared" si="2"/>
        <v>0.12999999999999989</v>
      </c>
      <c r="I15" s="23">
        <f t="shared" si="3"/>
        <v>3.1862745098039186E-2</v>
      </c>
      <c r="J15" s="125">
        <f t="shared" si="0"/>
        <v>3.1529772647263254E-2</v>
      </c>
    </row>
    <row r="16" spans="1:10" x14ac:dyDescent="0.2">
      <c r="A16" s="107" t="s">
        <v>85</v>
      </c>
      <c r="B16" s="73">
        <v>1</v>
      </c>
      <c r="C16" s="122">
        <f>VLOOKUP($B$3,'Data for Bill Impacts'!$A$3:$Y$15,11,0)</f>
        <v>0</v>
      </c>
      <c r="D16" s="22">
        <f t="shared" ref="D16" si="5">B16*C16</f>
        <v>0</v>
      </c>
      <c r="E16" s="73">
        <f t="shared" si="4"/>
        <v>1</v>
      </c>
      <c r="F16" s="122">
        <f>VLOOKUP($B$3,'Data for Bill Impacts'!$A$3:$Y$15,22,0)</f>
        <v>0</v>
      </c>
      <c r="G16" s="22">
        <f t="shared" ref="G16" si="6">E16*F16</f>
        <v>0</v>
      </c>
      <c r="H16" s="22">
        <f t="shared" si="2"/>
        <v>0</v>
      </c>
      <c r="I16" s="23">
        <f t="shared" si="3"/>
        <v>0</v>
      </c>
      <c r="J16" s="125">
        <f t="shared" si="0"/>
        <v>0</v>
      </c>
    </row>
    <row r="17" spans="1:10" x14ac:dyDescent="0.2">
      <c r="A17" s="107" t="s">
        <v>39</v>
      </c>
      <c r="B17" s="73">
        <f>IF($B$9="kWh",$B$4,$B$5)</f>
        <v>517</v>
      </c>
      <c r="C17" s="126">
        <f>VLOOKUP($B$3,'Data for Bill Impacts'!$A$3:$Y$15,10,0)</f>
        <v>9.8000000000000004E-2</v>
      </c>
      <c r="D17" s="22">
        <f>B17*C17</f>
        <v>50.666000000000004</v>
      </c>
      <c r="E17" s="73">
        <f t="shared" si="4"/>
        <v>517</v>
      </c>
      <c r="F17" s="78">
        <f>VLOOKUP($B$3,'Data for Bill Impacts'!$A$3:$Y$15,19,0)</f>
        <v>0.1013</v>
      </c>
      <c r="G17" s="22">
        <f>E17*F17</f>
        <v>52.372100000000003</v>
      </c>
      <c r="H17" s="22">
        <f t="shared" si="2"/>
        <v>1.7060999999999993</v>
      </c>
      <c r="I17" s="23">
        <f t="shared" si="3"/>
        <v>3.3673469387755083E-2</v>
      </c>
      <c r="J17" s="125">
        <f t="shared" si="0"/>
        <v>0.39222812495480663</v>
      </c>
    </row>
    <row r="18" spans="1:10" s="1" customFormat="1" x14ac:dyDescent="0.2">
      <c r="A18" s="107" t="s">
        <v>122</v>
      </c>
      <c r="B18" s="73">
        <f>IF($B$9="kWh",$B$4,$B$5)</f>
        <v>517</v>
      </c>
      <c r="C18" s="126">
        <f>VLOOKUP($B$3,'Data for Bill Impacts'!$A$3:$Y$15,14,0)</f>
        <v>2.0000000000000001E-4</v>
      </c>
      <c r="D18" s="22">
        <f>B18*C18</f>
        <v>0.10340000000000001</v>
      </c>
      <c r="E18" s="73">
        <f>B18</f>
        <v>517</v>
      </c>
      <c r="F18" s="126">
        <f>VLOOKUP($B$3,'Data for Bill Impacts'!$A$3:$Y$15,23,0)</f>
        <v>2.0000000000000001E-4</v>
      </c>
      <c r="G18" s="22">
        <f>E18*F18</f>
        <v>0.10340000000000001</v>
      </c>
      <c r="H18" s="22">
        <f>G18-D18</f>
        <v>0</v>
      </c>
      <c r="I18" s="23">
        <f>IF(ISERROR(H18/D18),0,(H18/D18))</f>
        <v>0</v>
      </c>
      <c r="J18" s="125">
        <f t="shared" si="0"/>
        <v>7.7438919043397165E-4</v>
      </c>
    </row>
    <row r="19" spans="1:10" hidden="1" x14ac:dyDescent="0.2">
      <c r="A19" s="107" t="s">
        <v>108</v>
      </c>
      <c r="B19" s="73">
        <f>B8</f>
        <v>564.56400000000008</v>
      </c>
      <c r="C19" s="78">
        <v>0</v>
      </c>
      <c r="D19" s="22">
        <f>B19*C19</f>
        <v>0</v>
      </c>
      <c r="E19" s="73">
        <f t="shared" si="4"/>
        <v>564.56400000000008</v>
      </c>
      <c r="F19" s="78">
        <v>0</v>
      </c>
      <c r="G19" s="22">
        <f>E19*F19</f>
        <v>0</v>
      </c>
      <c r="H19" s="22">
        <f t="shared" si="2"/>
        <v>0</v>
      </c>
      <c r="I19" s="23">
        <f>IF(ISERROR(H19/D19),0,(H19/D19))</f>
        <v>0</v>
      </c>
      <c r="J19" s="125">
        <f t="shared" si="0"/>
        <v>0</v>
      </c>
    </row>
    <row r="20" spans="1:10" x14ac:dyDescent="0.2">
      <c r="A20" s="110" t="s">
        <v>72</v>
      </c>
      <c r="B20" s="74"/>
      <c r="C20" s="35"/>
      <c r="D20" s="35">
        <f>SUM(D15:D19)</f>
        <v>54.849400000000003</v>
      </c>
      <c r="E20" s="73"/>
      <c r="F20" s="35"/>
      <c r="G20" s="35">
        <f>SUM(G15:G19)</f>
        <v>56.685500000000005</v>
      </c>
      <c r="H20" s="35">
        <f t="shared" si="2"/>
        <v>1.8361000000000018</v>
      </c>
      <c r="I20" s="36">
        <f t="shared" si="3"/>
        <v>3.3475297815472947E-2</v>
      </c>
      <c r="J20" s="111">
        <f t="shared" si="0"/>
        <v>0.42453228679250388</v>
      </c>
    </row>
    <row r="21" spans="1:10" s="1" customFormat="1" x14ac:dyDescent="0.2">
      <c r="A21" s="119" t="s">
        <v>81</v>
      </c>
      <c r="B21" s="120">
        <f>B8-B4</f>
        <v>47.564000000000078</v>
      </c>
      <c r="C21" s="121">
        <f>IF(B4&gt;B7,C13,C12)</f>
        <v>0.10299999999999999</v>
      </c>
      <c r="D21" s="22">
        <f>B21*C21</f>
        <v>4.8990920000000076</v>
      </c>
      <c r="E21" s="73">
        <f>B21</f>
        <v>47.564000000000078</v>
      </c>
      <c r="F21" s="121">
        <f>C21</f>
        <v>0.10299999999999999</v>
      </c>
      <c r="G21" s="22">
        <f>E21*F21</f>
        <v>4.8990920000000076</v>
      </c>
      <c r="H21" s="22">
        <f t="shared" si="2"/>
        <v>0</v>
      </c>
      <c r="I21" s="23">
        <f>IF(ISERROR(H21/D21),0,(H21/D21))</f>
        <v>0</v>
      </c>
      <c r="J21" s="125">
        <f t="shared" si="0"/>
        <v>3.6690559842761629E-2</v>
      </c>
    </row>
    <row r="22" spans="1:10" x14ac:dyDescent="0.2">
      <c r="A22" s="110" t="s">
        <v>79</v>
      </c>
      <c r="B22" s="74"/>
      <c r="C22" s="35"/>
      <c r="D22" s="35">
        <f>SUM(D20,D21:D21)</f>
        <v>59.748492000000013</v>
      </c>
      <c r="E22" s="73"/>
      <c r="F22" s="35"/>
      <c r="G22" s="35">
        <f>SUM(G20,G21:G21)</f>
        <v>61.584592000000015</v>
      </c>
      <c r="H22" s="35">
        <f t="shared" si="2"/>
        <v>1.8361000000000018</v>
      </c>
      <c r="I22" s="36">
        <f>IF(ISERROR(H22/D22),0,(H22/D22))</f>
        <v>3.0730482704065594E-2</v>
      </c>
      <c r="J22" s="111">
        <f t="shared" si="0"/>
        <v>0.46122284663526553</v>
      </c>
    </row>
    <row r="23" spans="1:10" x14ac:dyDescent="0.2">
      <c r="A23" s="107" t="s">
        <v>40</v>
      </c>
      <c r="B23" s="73">
        <f>B8</f>
        <v>564.56400000000008</v>
      </c>
      <c r="C23" s="78">
        <f>VLOOKUP($B$3,'Data for Bill Impacts'!$A$3:$Y$15,15,0)</f>
        <v>4.6979999999999999E-3</v>
      </c>
      <c r="D23" s="22">
        <f>B23*C23</f>
        <v>2.6523216720000002</v>
      </c>
      <c r="E23" s="73">
        <f t="shared" si="4"/>
        <v>564.56400000000008</v>
      </c>
      <c r="F23" s="126">
        <f>VLOOKUP($B$3,'Data for Bill Impacts'!$A$3:$Y$15,24,0)</f>
        <v>4.6979999999999999E-3</v>
      </c>
      <c r="G23" s="22">
        <f>E23*F23</f>
        <v>2.6523216720000002</v>
      </c>
      <c r="H23" s="22">
        <f t="shared" si="2"/>
        <v>0</v>
      </c>
      <c r="I23" s="23">
        <f t="shared" si="3"/>
        <v>0</v>
      </c>
      <c r="J23" s="125">
        <f t="shared" si="0"/>
        <v>1.9863919074957041E-2</v>
      </c>
    </row>
    <row r="24" spans="1:10" s="1" customFormat="1" x14ac:dyDescent="0.2">
      <c r="A24" s="107" t="s">
        <v>41</v>
      </c>
      <c r="B24" s="73">
        <f>B8</f>
        <v>564.56400000000008</v>
      </c>
      <c r="C24" s="78">
        <f>VLOOKUP($B$3,'Data for Bill Impacts'!$A$3:$Y$15,16,0)</f>
        <v>4.2899999999999995E-3</v>
      </c>
      <c r="D24" s="22">
        <f>B24*C24</f>
        <v>2.42197956</v>
      </c>
      <c r="E24" s="73">
        <f t="shared" si="4"/>
        <v>564.56400000000008</v>
      </c>
      <c r="F24" s="126">
        <f>VLOOKUP($B$3,'Data for Bill Impacts'!$A$3:$Y$15,25,0)</f>
        <v>4.2899999999999995E-3</v>
      </c>
      <c r="G24" s="22">
        <f>E24*F24</f>
        <v>2.42197956</v>
      </c>
      <c r="H24" s="22">
        <f t="shared" si="2"/>
        <v>0</v>
      </c>
      <c r="I24" s="23">
        <f t="shared" si="3"/>
        <v>0</v>
      </c>
      <c r="J24" s="125">
        <f t="shared" si="0"/>
        <v>1.8138827763211091E-2</v>
      </c>
    </row>
    <row r="25" spans="1:10" s="1" customFormat="1" x14ac:dyDescent="0.2">
      <c r="A25" s="110" t="s">
        <v>76</v>
      </c>
      <c r="B25" s="74"/>
      <c r="C25" s="35"/>
      <c r="D25" s="35">
        <f>SUM(D23:D24)</f>
        <v>5.0743012319999998</v>
      </c>
      <c r="E25" s="73"/>
      <c r="F25" s="35"/>
      <c r="G25" s="35">
        <f>SUM(G23:G24)</f>
        <v>5.0743012319999998</v>
      </c>
      <c r="H25" s="35">
        <f t="shared" si="2"/>
        <v>0</v>
      </c>
      <c r="I25" s="36">
        <f t="shared" si="3"/>
        <v>0</v>
      </c>
      <c r="J25" s="111">
        <f t="shared" si="0"/>
        <v>3.8002746838168129E-2</v>
      </c>
    </row>
    <row r="26" spans="1:10" s="1" customFormat="1" x14ac:dyDescent="0.2">
      <c r="A26" s="110" t="s">
        <v>80</v>
      </c>
      <c r="B26" s="74"/>
      <c r="C26" s="35"/>
      <c r="D26" s="35">
        <f>D22+D25</f>
        <v>64.822793232000009</v>
      </c>
      <c r="E26" s="73"/>
      <c r="F26" s="35"/>
      <c r="G26" s="35">
        <f>G22+G25</f>
        <v>66.658893232000011</v>
      </c>
      <c r="H26" s="35">
        <f t="shared" si="2"/>
        <v>1.8361000000000018</v>
      </c>
      <c r="I26" s="36">
        <f t="shared" si="3"/>
        <v>2.8324913328381603E-2</v>
      </c>
      <c r="J26" s="111">
        <f t="shared" si="0"/>
        <v>0.49922559347343359</v>
      </c>
    </row>
    <row r="27" spans="1:10" x14ac:dyDescent="0.2">
      <c r="A27" s="107" t="s">
        <v>42</v>
      </c>
      <c r="B27" s="73">
        <f>B8</f>
        <v>564.56400000000008</v>
      </c>
      <c r="C27" s="34">
        <v>3.5999999999999999E-3</v>
      </c>
      <c r="D27" s="22">
        <f>B27*C27</f>
        <v>2.0324304000000004</v>
      </c>
      <c r="E27" s="73">
        <f t="shared" si="4"/>
        <v>564.56400000000008</v>
      </c>
      <c r="F27" s="34">
        <v>3.5999999999999999E-3</v>
      </c>
      <c r="G27" s="22">
        <f>E27*F27</f>
        <v>2.0324304000000004</v>
      </c>
      <c r="H27" s="22">
        <f t="shared" si="2"/>
        <v>0</v>
      </c>
      <c r="I27" s="23">
        <f t="shared" si="3"/>
        <v>0</v>
      </c>
      <c r="J27" s="125">
        <f t="shared" si="0"/>
        <v>1.5221393927170148E-2</v>
      </c>
    </row>
    <row r="28" spans="1:10" s="1" customFormat="1" x14ac:dyDescent="0.2">
      <c r="A28" s="107" t="s">
        <v>43</v>
      </c>
      <c r="B28" s="73">
        <f>B8</f>
        <v>564.56400000000008</v>
      </c>
      <c r="C28" s="34">
        <v>1.2999999999999999E-3</v>
      </c>
      <c r="D28" s="22">
        <f>B28*C28</f>
        <v>0.73393320000000006</v>
      </c>
      <c r="E28" s="73">
        <f t="shared" si="4"/>
        <v>564.56400000000008</v>
      </c>
      <c r="F28" s="34">
        <v>1.2999999999999999E-3</v>
      </c>
      <c r="G28" s="22">
        <f>E28*F28</f>
        <v>0.73393320000000006</v>
      </c>
      <c r="H28" s="22">
        <f>G28-D28</f>
        <v>0</v>
      </c>
      <c r="I28" s="23">
        <f t="shared" si="3"/>
        <v>0</v>
      </c>
      <c r="J28" s="125">
        <f t="shared" si="0"/>
        <v>5.4966144737003302E-3</v>
      </c>
    </row>
    <row r="29" spans="1:10" s="1" customFormat="1" x14ac:dyDescent="0.2">
      <c r="A29" s="107" t="s">
        <v>96</v>
      </c>
      <c r="B29" s="73">
        <f>B8</f>
        <v>564.56400000000008</v>
      </c>
      <c r="C29" s="34">
        <v>1.1000000000000001E-3</v>
      </c>
      <c r="D29" s="22">
        <f>B29*C29</f>
        <v>0.62102040000000014</v>
      </c>
      <c r="E29" s="73">
        <f t="shared" si="4"/>
        <v>564.56400000000008</v>
      </c>
      <c r="F29" s="34">
        <v>1.1000000000000001E-3</v>
      </c>
      <c r="G29" s="22">
        <f>E29*F29</f>
        <v>0.62102040000000014</v>
      </c>
      <c r="H29" s="22">
        <f>G29-D29</f>
        <v>0</v>
      </c>
      <c r="I29" s="23">
        <f t="shared" ref="I29" si="7">IF(ISERROR(H29/D29),0,(H29/D29))</f>
        <v>0</v>
      </c>
      <c r="J29" s="125">
        <f t="shared" ref="J29" si="8">G29/$G$37</f>
        <v>4.6509814777464346E-3</v>
      </c>
    </row>
    <row r="30" spans="1:10" x14ac:dyDescent="0.2">
      <c r="A30" s="107" t="s">
        <v>44</v>
      </c>
      <c r="B30" s="73">
        <v>1</v>
      </c>
      <c r="C30" s="22">
        <v>0.25</v>
      </c>
      <c r="D30" s="22">
        <f>B30*C30</f>
        <v>0.25</v>
      </c>
      <c r="E30" s="73">
        <f t="shared" si="4"/>
        <v>1</v>
      </c>
      <c r="F30" s="22">
        <f>C30</f>
        <v>0.25</v>
      </c>
      <c r="G30" s="22">
        <f>E30*F30</f>
        <v>0.25</v>
      </c>
      <c r="H30" s="22">
        <f t="shared" si="2"/>
        <v>0</v>
      </c>
      <c r="I30" s="23">
        <f t="shared" si="3"/>
        <v>0</v>
      </c>
      <c r="J30" s="125">
        <f t="shared" ref="J30:J37" si="9">G30/$G$37</f>
        <v>1.8723142902175329E-3</v>
      </c>
    </row>
    <row r="31" spans="1:10" s="1" customFormat="1" x14ac:dyDescent="0.2">
      <c r="A31" s="110" t="s">
        <v>45</v>
      </c>
      <c r="B31" s="74"/>
      <c r="C31" s="35"/>
      <c r="D31" s="35">
        <f>SUM(D27:D30)</f>
        <v>3.6373840000000008</v>
      </c>
      <c r="E31" s="73"/>
      <c r="F31" s="35"/>
      <c r="G31" s="35">
        <f>SUM(G27:G30)</f>
        <v>3.6373840000000008</v>
      </c>
      <c r="H31" s="35">
        <f t="shared" si="2"/>
        <v>0</v>
      </c>
      <c r="I31" s="36">
        <f t="shared" si="3"/>
        <v>0</v>
      </c>
      <c r="J31" s="111">
        <f t="shared" si="9"/>
        <v>2.7241304168834447E-2</v>
      </c>
    </row>
    <row r="32" spans="1:10" ht="13.5" thickBot="1" x14ac:dyDescent="0.25">
      <c r="A32" s="112" t="s">
        <v>46</v>
      </c>
      <c r="B32" s="113">
        <f>B4</f>
        <v>517</v>
      </c>
      <c r="C32" s="114">
        <v>7.0000000000000001E-3</v>
      </c>
      <c r="D32" s="115">
        <f>B32*C32</f>
        <v>3.6190000000000002</v>
      </c>
      <c r="E32" s="116">
        <f t="shared" si="4"/>
        <v>517</v>
      </c>
      <c r="F32" s="114">
        <f>C32</f>
        <v>7.0000000000000001E-3</v>
      </c>
      <c r="G32" s="115">
        <f>E32*F32</f>
        <v>3.6190000000000002</v>
      </c>
      <c r="H32" s="115">
        <f t="shared" si="2"/>
        <v>0</v>
      </c>
      <c r="I32" s="117">
        <f t="shared" si="3"/>
        <v>0</v>
      </c>
      <c r="J32" s="118">
        <f t="shared" si="9"/>
        <v>2.7103621665189006E-2</v>
      </c>
    </row>
    <row r="33" spans="1:10" x14ac:dyDescent="0.2">
      <c r="A33" s="37" t="s">
        <v>111</v>
      </c>
      <c r="B33" s="38"/>
      <c r="C33" s="39"/>
      <c r="D33" s="39">
        <f>SUM(D14,D22,D25,D31,D32)</f>
        <v>125.330177232</v>
      </c>
      <c r="E33" s="38"/>
      <c r="F33" s="39"/>
      <c r="G33" s="39">
        <f>SUM(G14,G22,G25,G31,G32)</f>
        <v>127.16627723200001</v>
      </c>
      <c r="H33" s="39">
        <f t="shared" si="2"/>
        <v>1.8361000000000161</v>
      </c>
      <c r="I33" s="40">
        <f>IF(ISERROR(H33/D33),0,(H33/D33))</f>
        <v>1.46501029564587E-2</v>
      </c>
      <c r="J33" s="41">
        <f t="shared" si="9"/>
        <v>0.95238095238095244</v>
      </c>
    </row>
    <row r="34" spans="1:10" x14ac:dyDescent="0.2">
      <c r="A34" s="46" t="s">
        <v>102</v>
      </c>
      <c r="B34" s="43"/>
      <c r="C34" s="26">
        <v>0.13</v>
      </c>
      <c r="D34" s="26">
        <f>D33*C34</f>
        <v>16.292923040160002</v>
      </c>
      <c r="E34" s="26"/>
      <c r="F34" s="26">
        <f>C34</f>
        <v>0.13</v>
      </c>
      <c r="G34" s="26">
        <f>G33*F34</f>
        <v>16.531616040160003</v>
      </c>
      <c r="H34" s="26">
        <f t="shared" si="2"/>
        <v>0.23869300000000138</v>
      </c>
      <c r="I34" s="44">
        <f t="shared" si="3"/>
        <v>1.4650102956458655E-2</v>
      </c>
      <c r="J34" s="45">
        <f t="shared" si="9"/>
        <v>0.12380952380952383</v>
      </c>
    </row>
    <row r="35" spans="1:10" x14ac:dyDescent="0.2">
      <c r="A35" s="46" t="s">
        <v>103</v>
      </c>
      <c r="B35" s="24"/>
      <c r="C35" s="25"/>
      <c r="D35" s="25">
        <f>SUM(D33:D34)</f>
        <v>141.62310027216</v>
      </c>
      <c r="E35" s="25"/>
      <c r="F35" s="25"/>
      <c r="G35" s="25">
        <f>SUM(G33:G34)</f>
        <v>143.69789327216</v>
      </c>
      <c r="H35" s="25">
        <f t="shared" si="2"/>
        <v>2.0747929999999997</v>
      </c>
      <c r="I35" s="27">
        <f t="shared" si="3"/>
        <v>1.4650102956458569E-2</v>
      </c>
      <c r="J35" s="47">
        <f t="shared" si="9"/>
        <v>1.0761904761904761</v>
      </c>
    </row>
    <row r="36" spans="1:10" x14ac:dyDescent="0.2">
      <c r="A36" s="46" t="s">
        <v>104</v>
      </c>
      <c r="B36" s="43"/>
      <c r="C36" s="26">
        <v>-0.08</v>
      </c>
      <c r="D36" s="26">
        <f>D33*C36</f>
        <v>-10.02641417856</v>
      </c>
      <c r="E36" s="26"/>
      <c r="F36" s="26">
        <f>C36</f>
        <v>-0.08</v>
      </c>
      <c r="G36" s="26">
        <f>G33*F36</f>
        <v>-10.173302178560002</v>
      </c>
      <c r="H36" s="26">
        <f t="shared" si="2"/>
        <v>-0.14688800000000235</v>
      </c>
      <c r="I36" s="44">
        <f t="shared" si="3"/>
        <v>1.4650102956458806E-2</v>
      </c>
      <c r="J36" s="45">
        <f t="shared" si="9"/>
        <v>-7.6190476190476197E-2</v>
      </c>
    </row>
    <row r="37" spans="1:10" ht="13.5" thickBot="1" x14ac:dyDescent="0.25">
      <c r="A37" s="46" t="s">
        <v>105</v>
      </c>
      <c r="B37" s="49"/>
      <c r="C37" s="50"/>
      <c r="D37" s="50">
        <f>SUM(D35:D36)</f>
        <v>131.5966860936</v>
      </c>
      <c r="E37" s="50"/>
      <c r="F37" s="50"/>
      <c r="G37" s="50">
        <f>SUM(G35:G36)</f>
        <v>133.52459109360001</v>
      </c>
      <c r="H37" s="50">
        <f t="shared" si="2"/>
        <v>1.9279050000000097</v>
      </c>
      <c r="I37" s="51">
        <f t="shared" si="3"/>
        <v>1.4650102956458647E-2</v>
      </c>
      <c r="J37" s="52">
        <f t="shared" si="9"/>
        <v>1</v>
      </c>
    </row>
    <row r="38" spans="1:10" x14ac:dyDescent="0.2">
      <c r="A38" s="171"/>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theme="1" tint="0.499984740745262"/>
    <pageSetUpPr fitToPage="1"/>
  </sheetPr>
  <dimension ref="A1:J48"/>
  <sheetViews>
    <sheetView tabSelected="1" view="pageBreakPreview" topLeftCell="A20" zoomScaleNormal="100" zoomScaleSheetLayoutView="100" workbookViewId="0">
      <selection activeCell="E1" sqref="E1:E1048576"/>
    </sheetView>
  </sheetViews>
  <sheetFormatPr defaultRowHeight="12.75" x14ac:dyDescent="0.2"/>
  <cols>
    <col min="1" max="1" width="53.28515625"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256" max="256" width="53.28515625" customWidth="1"/>
    <col min="257" max="257" width="15.5703125" bestFit="1" customWidth="1"/>
    <col min="258" max="258" width="10.5703125" customWidth="1"/>
    <col min="259" max="259" width="10.5703125" bestFit="1" customWidth="1"/>
    <col min="261" max="261" width="10.140625" customWidth="1"/>
    <col min="262" max="262" width="12.28515625" customWidth="1"/>
    <col min="263" max="263" width="10.85546875" bestFit="1" customWidth="1"/>
    <col min="264" max="264" width="11.140625" bestFit="1" customWidth="1"/>
    <col min="265" max="265" width="10.42578125" customWidth="1"/>
    <col min="512" max="512" width="53.28515625" customWidth="1"/>
    <col min="513" max="513" width="15.5703125" bestFit="1" customWidth="1"/>
    <col min="514" max="514" width="10.5703125" customWidth="1"/>
    <col min="515" max="515" width="10.5703125" bestFit="1" customWidth="1"/>
    <col min="517" max="517" width="10.140625" customWidth="1"/>
    <col min="518" max="518" width="12.28515625" customWidth="1"/>
    <col min="519" max="519" width="10.85546875" bestFit="1" customWidth="1"/>
    <col min="520" max="520" width="11.140625" bestFit="1" customWidth="1"/>
    <col min="521" max="521" width="10.42578125" customWidth="1"/>
    <col min="768" max="768" width="53.28515625" customWidth="1"/>
    <col min="769" max="769" width="15.5703125" bestFit="1" customWidth="1"/>
    <col min="770" max="770" width="10.5703125" customWidth="1"/>
    <col min="771" max="771" width="10.5703125" bestFit="1" customWidth="1"/>
    <col min="773" max="773" width="10.140625" customWidth="1"/>
    <col min="774" max="774" width="12.28515625" customWidth="1"/>
    <col min="775" max="775" width="10.85546875" bestFit="1" customWidth="1"/>
    <col min="776" max="776" width="11.140625" bestFit="1" customWidth="1"/>
    <col min="777" max="777" width="10.42578125" customWidth="1"/>
    <col min="1024" max="1024" width="53.28515625" customWidth="1"/>
    <col min="1025" max="1025" width="15.5703125" bestFit="1" customWidth="1"/>
    <col min="1026" max="1026" width="10.5703125" customWidth="1"/>
    <col min="1027" max="1027" width="10.5703125" bestFit="1" customWidth="1"/>
    <col min="1029" max="1029" width="10.140625" customWidth="1"/>
    <col min="1030" max="1030" width="12.28515625" customWidth="1"/>
    <col min="1031" max="1031" width="10.85546875" bestFit="1" customWidth="1"/>
    <col min="1032" max="1032" width="11.140625" bestFit="1" customWidth="1"/>
    <col min="1033" max="1033" width="10.42578125" customWidth="1"/>
    <col min="1280" max="1280" width="53.28515625" customWidth="1"/>
    <col min="1281" max="1281" width="15.5703125" bestFit="1" customWidth="1"/>
    <col min="1282" max="1282" width="10.5703125" customWidth="1"/>
    <col min="1283" max="1283" width="10.5703125" bestFit="1" customWidth="1"/>
    <col min="1285" max="1285" width="10.140625" customWidth="1"/>
    <col min="1286" max="1286" width="12.28515625" customWidth="1"/>
    <col min="1287" max="1287" width="10.85546875" bestFit="1" customWidth="1"/>
    <col min="1288" max="1288" width="11.140625" bestFit="1" customWidth="1"/>
    <col min="1289" max="1289" width="10.42578125" customWidth="1"/>
    <col min="1536" max="1536" width="53.28515625" customWidth="1"/>
    <col min="1537" max="1537" width="15.5703125" bestFit="1" customWidth="1"/>
    <col min="1538" max="1538" width="10.5703125" customWidth="1"/>
    <col min="1539" max="1539" width="10.5703125" bestFit="1" customWidth="1"/>
    <col min="1541" max="1541" width="10.140625" customWidth="1"/>
    <col min="1542" max="1542" width="12.28515625" customWidth="1"/>
    <col min="1543" max="1543" width="10.85546875" bestFit="1" customWidth="1"/>
    <col min="1544" max="1544" width="11.140625" bestFit="1" customWidth="1"/>
    <col min="1545" max="1545" width="10.42578125" customWidth="1"/>
    <col min="1792" max="1792" width="53.28515625" customWidth="1"/>
    <col min="1793" max="1793" width="15.5703125" bestFit="1" customWidth="1"/>
    <col min="1794" max="1794" width="10.5703125" customWidth="1"/>
    <col min="1795" max="1795" width="10.5703125" bestFit="1" customWidth="1"/>
    <col min="1797" max="1797" width="10.140625" customWidth="1"/>
    <col min="1798" max="1798" width="12.28515625" customWidth="1"/>
    <col min="1799" max="1799" width="10.85546875" bestFit="1" customWidth="1"/>
    <col min="1800" max="1800" width="11.140625" bestFit="1" customWidth="1"/>
    <col min="1801" max="1801" width="10.42578125" customWidth="1"/>
    <col min="2048" max="2048" width="53.28515625" customWidth="1"/>
    <col min="2049" max="2049" width="15.5703125" bestFit="1" customWidth="1"/>
    <col min="2050" max="2050" width="10.5703125" customWidth="1"/>
    <col min="2051" max="2051" width="10.5703125" bestFit="1" customWidth="1"/>
    <col min="2053" max="2053" width="10.140625" customWidth="1"/>
    <col min="2054" max="2054" width="12.28515625" customWidth="1"/>
    <col min="2055" max="2055" width="10.85546875" bestFit="1" customWidth="1"/>
    <col min="2056" max="2056" width="11.140625" bestFit="1" customWidth="1"/>
    <col min="2057" max="2057" width="10.42578125" customWidth="1"/>
    <col min="2304" max="2304" width="53.28515625" customWidth="1"/>
    <col min="2305" max="2305" width="15.5703125" bestFit="1" customWidth="1"/>
    <col min="2306" max="2306" width="10.5703125" customWidth="1"/>
    <col min="2307" max="2307" width="10.5703125" bestFit="1" customWidth="1"/>
    <col min="2309" max="2309" width="10.140625" customWidth="1"/>
    <col min="2310" max="2310" width="12.28515625" customWidth="1"/>
    <col min="2311" max="2311" width="10.85546875" bestFit="1" customWidth="1"/>
    <col min="2312" max="2312" width="11.140625" bestFit="1" customWidth="1"/>
    <col min="2313" max="2313" width="10.42578125" customWidth="1"/>
    <col min="2560" max="2560" width="53.28515625" customWidth="1"/>
    <col min="2561" max="2561" width="15.5703125" bestFit="1" customWidth="1"/>
    <col min="2562" max="2562" width="10.5703125" customWidth="1"/>
    <col min="2563" max="2563" width="10.5703125" bestFit="1" customWidth="1"/>
    <col min="2565" max="2565" width="10.140625" customWidth="1"/>
    <col min="2566" max="2566" width="12.28515625" customWidth="1"/>
    <col min="2567" max="2567" width="10.85546875" bestFit="1" customWidth="1"/>
    <col min="2568" max="2568" width="11.140625" bestFit="1" customWidth="1"/>
    <col min="2569" max="2569" width="10.42578125" customWidth="1"/>
    <col min="2816" max="2816" width="53.28515625" customWidth="1"/>
    <col min="2817" max="2817" width="15.5703125" bestFit="1" customWidth="1"/>
    <col min="2818" max="2818" width="10.5703125" customWidth="1"/>
    <col min="2819" max="2819" width="10.5703125" bestFit="1" customWidth="1"/>
    <col min="2821" max="2821" width="10.140625" customWidth="1"/>
    <col min="2822" max="2822" width="12.28515625" customWidth="1"/>
    <col min="2823" max="2823" width="10.85546875" bestFit="1" customWidth="1"/>
    <col min="2824" max="2824" width="11.140625" bestFit="1" customWidth="1"/>
    <col min="2825" max="2825" width="10.42578125" customWidth="1"/>
    <col min="3072" max="3072" width="53.28515625" customWidth="1"/>
    <col min="3073" max="3073" width="15.5703125" bestFit="1" customWidth="1"/>
    <col min="3074" max="3074" width="10.5703125" customWidth="1"/>
    <col min="3075" max="3075" width="10.5703125" bestFit="1" customWidth="1"/>
    <col min="3077" max="3077" width="10.140625" customWidth="1"/>
    <col min="3078" max="3078" width="12.28515625" customWidth="1"/>
    <col min="3079" max="3079" width="10.85546875" bestFit="1" customWidth="1"/>
    <col min="3080" max="3080" width="11.140625" bestFit="1" customWidth="1"/>
    <col min="3081" max="3081" width="10.42578125" customWidth="1"/>
    <col min="3328" max="3328" width="53.28515625" customWidth="1"/>
    <col min="3329" max="3329" width="15.5703125" bestFit="1" customWidth="1"/>
    <col min="3330" max="3330" width="10.5703125" customWidth="1"/>
    <col min="3331" max="3331" width="10.5703125" bestFit="1" customWidth="1"/>
    <col min="3333" max="3333" width="10.140625" customWidth="1"/>
    <col min="3334" max="3334" width="12.28515625" customWidth="1"/>
    <col min="3335" max="3335" width="10.85546875" bestFit="1" customWidth="1"/>
    <col min="3336" max="3336" width="11.140625" bestFit="1" customWidth="1"/>
    <col min="3337" max="3337" width="10.42578125" customWidth="1"/>
    <col min="3584" max="3584" width="53.28515625" customWidth="1"/>
    <col min="3585" max="3585" width="15.5703125" bestFit="1" customWidth="1"/>
    <col min="3586" max="3586" width="10.5703125" customWidth="1"/>
    <col min="3587" max="3587" width="10.5703125" bestFit="1" customWidth="1"/>
    <col min="3589" max="3589" width="10.140625" customWidth="1"/>
    <col min="3590" max="3590" width="12.28515625" customWidth="1"/>
    <col min="3591" max="3591" width="10.85546875" bestFit="1" customWidth="1"/>
    <col min="3592" max="3592" width="11.140625" bestFit="1" customWidth="1"/>
    <col min="3593" max="3593" width="10.42578125" customWidth="1"/>
    <col min="3840" max="3840" width="53.28515625" customWidth="1"/>
    <col min="3841" max="3841" width="15.5703125" bestFit="1" customWidth="1"/>
    <col min="3842" max="3842" width="10.5703125" customWidth="1"/>
    <col min="3843" max="3843" width="10.5703125" bestFit="1" customWidth="1"/>
    <col min="3845" max="3845" width="10.140625" customWidth="1"/>
    <col min="3846" max="3846" width="12.28515625" customWidth="1"/>
    <col min="3847" max="3847" width="10.85546875" bestFit="1" customWidth="1"/>
    <col min="3848" max="3848" width="11.140625" bestFit="1" customWidth="1"/>
    <col min="3849" max="3849" width="10.42578125" customWidth="1"/>
    <col min="4096" max="4096" width="53.28515625" customWidth="1"/>
    <col min="4097" max="4097" width="15.5703125" bestFit="1" customWidth="1"/>
    <col min="4098" max="4098" width="10.5703125" customWidth="1"/>
    <col min="4099" max="4099" width="10.5703125" bestFit="1" customWidth="1"/>
    <col min="4101" max="4101" width="10.140625" customWidth="1"/>
    <col min="4102" max="4102" width="12.28515625" customWidth="1"/>
    <col min="4103" max="4103" width="10.85546875" bestFit="1" customWidth="1"/>
    <col min="4104" max="4104" width="11.140625" bestFit="1" customWidth="1"/>
    <col min="4105" max="4105" width="10.42578125" customWidth="1"/>
    <col min="4352" max="4352" width="53.28515625" customWidth="1"/>
    <col min="4353" max="4353" width="15.5703125" bestFit="1" customWidth="1"/>
    <col min="4354" max="4354" width="10.5703125" customWidth="1"/>
    <col min="4355" max="4355" width="10.5703125" bestFit="1" customWidth="1"/>
    <col min="4357" max="4357" width="10.140625" customWidth="1"/>
    <col min="4358" max="4358" width="12.28515625" customWidth="1"/>
    <col min="4359" max="4359" width="10.85546875" bestFit="1" customWidth="1"/>
    <col min="4360" max="4360" width="11.140625" bestFit="1" customWidth="1"/>
    <col min="4361" max="4361" width="10.42578125" customWidth="1"/>
    <col min="4608" max="4608" width="53.28515625" customWidth="1"/>
    <col min="4609" max="4609" width="15.5703125" bestFit="1" customWidth="1"/>
    <col min="4610" max="4610" width="10.5703125" customWidth="1"/>
    <col min="4611" max="4611" width="10.5703125" bestFit="1" customWidth="1"/>
    <col min="4613" max="4613" width="10.140625" customWidth="1"/>
    <col min="4614" max="4614" width="12.28515625" customWidth="1"/>
    <col min="4615" max="4615" width="10.85546875" bestFit="1" customWidth="1"/>
    <col min="4616" max="4616" width="11.140625" bestFit="1" customWidth="1"/>
    <col min="4617" max="4617" width="10.42578125" customWidth="1"/>
    <col min="4864" max="4864" width="53.28515625" customWidth="1"/>
    <col min="4865" max="4865" width="15.5703125" bestFit="1" customWidth="1"/>
    <col min="4866" max="4866" width="10.5703125" customWidth="1"/>
    <col min="4867" max="4867" width="10.5703125" bestFit="1" customWidth="1"/>
    <col min="4869" max="4869" width="10.140625" customWidth="1"/>
    <col min="4870" max="4870" width="12.28515625" customWidth="1"/>
    <col min="4871" max="4871" width="10.85546875" bestFit="1" customWidth="1"/>
    <col min="4872" max="4872" width="11.140625" bestFit="1" customWidth="1"/>
    <col min="4873" max="4873" width="10.42578125" customWidth="1"/>
    <col min="5120" max="5120" width="53.28515625" customWidth="1"/>
    <col min="5121" max="5121" width="15.5703125" bestFit="1" customWidth="1"/>
    <col min="5122" max="5122" width="10.5703125" customWidth="1"/>
    <col min="5123" max="5123" width="10.5703125" bestFit="1" customWidth="1"/>
    <col min="5125" max="5125" width="10.140625" customWidth="1"/>
    <col min="5126" max="5126" width="12.28515625" customWidth="1"/>
    <col min="5127" max="5127" width="10.85546875" bestFit="1" customWidth="1"/>
    <col min="5128" max="5128" width="11.140625" bestFit="1" customWidth="1"/>
    <col min="5129" max="5129" width="10.42578125" customWidth="1"/>
    <col min="5376" max="5376" width="53.28515625" customWidth="1"/>
    <col min="5377" max="5377" width="15.5703125" bestFit="1" customWidth="1"/>
    <col min="5378" max="5378" width="10.5703125" customWidth="1"/>
    <col min="5379" max="5379" width="10.5703125" bestFit="1" customWidth="1"/>
    <col min="5381" max="5381" width="10.140625" customWidth="1"/>
    <col min="5382" max="5382" width="12.28515625" customWidth="1"/>
    <col min="5383" max="5383" width="10.85546875" bestFit="1" customWidth="1"/>
    <col min="5384" max="5384" width="11.140625" bestFit="1" customWidth="1"/>
    <col min="5385" max="5385" width="10.42578125" customWidth="1"/>
    <col min="5632" max="5632" width="53.28515625" customWidth="1"/>
    <col min="5633" max="5633" width="15.5703125" bestFit="1" customWidth="1"/>
    <col min="5634" max="5634" width="10.5703125" customWidth="1"/>
    <col min="5635" max="5635" width="10.5703125" bestFit="1" customWidth="1"/>
    <col min="5637" max="5637" width="10.140625" customWidth="1"/>
    <col min="5638" max="5638" width="12.28515625" customWidth="1"/>
    <col min="5639" max="5639" width="10.85546875" bestFit="1" customWidth="1"/>
    <col min="5640" max="5640" width="11.140625" bestFit="1" customWidth="1"/>
    <col min="5641" max="5641" width="10.42578125" customWidth="1"/>
    <col min="5888" max="5888" width="53.28515625" customWidth="1"/>
    <col min="5889" max="5889" width="15.5703125" bestFit="1" customWidth="1"/>
    <col min="5890" max="5890" width="10.5703125" customWidth="1"/>
    <col min="5891" max="5891" width="10.5703125" bestFit="1" customWidth="1"/>
    <col min="5893" max="5893" width="10.140625" customWidth="1"/>
    <col min="5894" max="5894" width="12.28515625" customWidth="1"/>
    <col min="5895" max="5895" width="10.85546875" bestFit="1" customWidth="1"/>
    <col min="5896" max="5896" width="11.140625" bestFit="1" customWidth="1"/>
    <col min="5897" max="5897" width="10.42578125" customWidth="1"/>
    <col min="6144" max="6144" width="53.28515625" customWidth="1"/>
    <col min="6145" max="6145" width="15.5703125" bestFit="1" customWidth="1"/>
    <col min="6146" max="6146" width="10.5703125" customWidth="1"/>
    <col min="6147" max="6147" width="10.5703125" bestFit="1" customWidth="1"/>
    <col min="6149" max="6149" width="10.140625" customWidth="1"/>
    <col min="6150" max="6150" width="12.28515625" customWidth="1"/>
    <col min="6151" max="6151" width="10.85546875" bestFit="1" customWidth="1"/>
    <col min="6152" max="6152" width="11.140625" bestFit="1" customWidth="1"/>
    <col min="6153" max="6153" width="10.42578125" customWidth="1"/>
    <col min="6400" max="6400" width="53.28515625" customWidth="1"/>
    <col min="6401" max="6401" width="15.5703125" bestFit="1" customWidth="1"/>
    <col min="6402" max="6402" width="10.5703125" customWidth="1"/>
    <col min="6403" max="6403" width="10.5703125" bestFit="1" customWidth="1"/>
    <col min="6405" max="6405" width="10.140625" customWidth="1"/>
    <col min="6406" max="6406" width="12.28515625" customWidth="1"/>
    <col min="6407" max="6407" width="10.85546875" bestFit="1" customWidth="1"/>
    <col min="6408" max="6408" width="11.140625" bestFit="1" customWidth="1"/>
    <col min="6409" max="6409" width="10.42578125" customWidth="1"/>
    <col min="6656" max="6656" width="53.28515625" customWidth="1"/>
    <col min="6657" max="6657" width="15.5703125" bestFit="1" customWidth="1"/>
    <col min="6658" max="6658" width="10.5703125" customWidth="1"/>
    <col min="6659" max="6659" width="10.5703125" bestFit="1" customWidth="1"/>
    <col min="6661" max="6661" width="10.140625" customWidth="1"/>
    <col min="6662" max="6662" width="12.28515625" customWidth="1"/>
    <col min="6663" max="6663" width="10.85546875" bestFit="1" customWidth="1"/>
    <col min="6664" max="6664" width="11.140625" bestFit="1" customWidth="1"/>
    <col min="6665" max="6665" width="10.42578125" customWidth="1"/>
    <col min="6912" max="6912" width="53.28515625" customWidth="1"/>
    <col min="6913" max="6913" width="15.5703125" bestFit="1" customWidth="1"/>
    <col min="6914" max="6914" width="10.5703125" customWidth="1"/>
    <col min="6915" max="6915" width="10.5703125" bestFit="1" customWidth="1"/>
    <col min="6917" max="6917" width="10.140625" customWidth="1"/>
    <col min="6918" max="6918" width="12.28515625" customWidth="1"/>
    <col min="6919" max="6919" width="10.85546875" bestFit="1" customWidth="1"/>
    <col min="6920" max="6920" width="11.140625" bestFit="1" customWidth="1"/>
    <col min="6921" max="6921" width="10.42578125" customWidth="1"/>
    <col min="7168" max="7168" width="53.28515625" customWidth="1"/>
    <col min="7169" max="7169" width="15.5703125" bestFit="1" customWidth="1"/>
    <col min="7170" max="7170" width="10.5703125" customWidth="1"/>
    <col min="7171" max="7171" width="10.5703125" bestFit="1" customWidth="1"/>
    <col min="7173" max="7173" width="10.140625" customWidth="1"/>
    <col min="7174" max="7174" width="12.28515625" customWidth="1"/>
    <col min="7175" max="7175" width="10.85546875" bestFit="1" customWidth="1"/>
    <col min="7176" max="7176" width="11.140625" bestFit="1" customWidth="1"/>
    <col min="7177" max="7177" width="10.42578125" customWidth="1"/>
    <col min="7424" max="7424" width="53.28515625" customWidth="1"/>
    <col min="7425" max="7425" width="15.5703125" bestFit="1" customWidth="1"/>
    <col min="7426" max="7426" width="10.5703125" customWidth="1"/>
    <col min="7427" max="7427" width="10.5703125" bestFit="1" customWidth="1"/>
    <col min="7429" max="7429" width="10.140625" customWidth="1"/>
    <col min="7430" max="7430" width="12.28515625" customWidth="1"/>
    <col min="7431" max="7431" width="10.85546875" bestFit="1" customWidth="1"/>
    <col min="7432" max="7432" width="11.140625" bestFit="1" customWidth="1"/>
    <col min="7433" max="7433" width="10.42578125" customWidth="1"/>
    <col min="7680" max="7680" width="53.28515625" customWidth="1"/>
    <col min="7681" max="7681" width="15.5703125" bestFit="1" customWidth="1"/>
    <col min="7682" max="7682" width="10.5703125" customWidth="1"/>
    <col min="7683" max="7683" width="10.5703125" bestFit="1" customWidth="1"/>
    <col min="7685" max="7685" width="10.140625" customWidth="1"/>
    <col min="7686" max="7686" width="12.28515625" customWidth="1"/>
    <col min="7687" max="7687" width="10.85546875" bestFit="1" customWidth="1"/>
    <col min="7688" max="7688" width="11.140625" bestFit="1" customWidth="1"/>
    <col min="7689" max="7689" width="10.42578125" customWidth="1"/>
    <col min="7936" max="7936" width="53.28515625" customWidth="1"/>
    <col min="7937" max="7937" width="15.5703125" bestFit="1" customWidth="1"/>
    <col min="7938" max="7938" width="10.5703125" customWidth="1"/>
    <col min="7939" max="7939" width="10.5703125" bestFit="1" customWidth="1"/>
    <col min="7941" max="7941" width="10.140625" customWidth="1"/>
    <col min="7942" max="7942" width="12.28515625" customWidth="1"/>
    <col min="7943" max="7943" width="10.85546875" bestFit="1" customWidth="1"/>
    <col min="7944" max="7944" width="11.140625" bestFit="1" customWidth="1"/>
    <col min="7945" max="7945" width="10.42578125" customWidth="1"/>
    <col min="8192" max="8192" width="53.28515625" customWidth="1"/>
    <col min="8193" max="8193" width="15.5703125" bestFit="1" customWidth="1"/>
    <col min="8194" max="8194" width="10.5703125" customWidth="1"/>
    <col min="8195" max="8195" width="10.5703125" bestFit="1" customWidth="1"/>
    <col min="8197" max="8197" width="10.140625" customWidth="1"/>
    <col min="8198" max="8198" width="12.28515625" customWidth="1"/>
    <col min="8199" max="8199" width="10.85546875" bestFit="1" customWidth="1"/>
    <col min="8200" max="8200" width="11.140625" bestFit="1" customWidth="1"/>
    <col min="8201" max="8201" width="10.42578125" customWidth="1"/>
    <col min="8448" max="8448" width="53.28515625" customWidth="1"/>
    <col min="8449" max="8449" width="15.5703125" bestFit="1" customWidth="1"/>
    <col min="8450" max="8450" width="10.5703125" customWidth="1"/>
    <col min="8451" max="8451" width="10.5703125" bestFit="1" customWidth="1"/>
    <col min="8453" max="8453" width="10.140625" customWidth="1"/>
    <col min="8454" max="8454" width="12.28515625" customWidth="1"/>
    <col min="8455" max="8455" width="10.85546875" bestFit="1" customWidth="1"/>
    <col min="8456" max="8456" width="11.140625" bestFit="1" customWidth="1"/>
    <col min="8457" max="8457" width="10.42578125" customWidth="1"/>
    <col min="8704" max="8704" width="53.28515625" customWidth="1"/>
    <col min="8705" max="8705" width="15.5703125" bestFit="1" customWidth="1"/>
    <col min="8706" max="8706" width="10.5703125" customWidth="1"/>
    <col min="8707" max="8707" width="10.5703125" bestFit="1" customWidth="1"/>
    <col min="8709" max="8709" width="10.140625" customWidth="1"/>
    <col min="8710" max="8710" width="12.28515625" customWidth="1"/>
    <col min="8711" max="8711" width="10.85546875" bestFit="1" customWidth="1"/>
    <col min="8712" max="8712" width="11.140625" bestFit="1" customWidth="1"/>
    <col min="8713" max="8713" width="10.42578125" customWidth="1"/>
    <col min="8960" max="8960" width="53.28515625" customWidth="1"/>
    <col min="8961" max="8961" width="15.5703125" bestFit="1" customWidth="1"/>
    <col min="8962" max="8962" width="10.5703125" customWidth="1"/>
    <col min="8963" max="8963" width="10.5703125" bestFit="1" customWidth="1"/>
    <col min="8965" max="8965" width="10.140625" customWidth="1"/>
    <col min="8966" max="8966" width="12.28515625" customWidth="1"/>
    <col min="8967" max="8967" width="10.85546875" bestFit="1" customWidth="1"/>
    <col min="8968" max="8968" width="11.140625" bestFit="1" customWidth="1"/>
    <col min="8969" max="8969" width="10.42578125" customWidth="1"/>
    <col min="9216" max="9216" width="53.28515625" customWidth="1"/>
    <col min="9217" max="9217" width="15.5703125" bestFit="1" customWidth="1"/>
    <col min="9218" max="9218" width="10.5703125" customWidth="1"/>
    <col min="9219" max="9219" width="10.5703125" bestFit="1" customWidth="1"/>
    <col min="9221" max="9221" width="10.140625" customWidth="1"/>
    <col min="9222" max="9222" width="12.28515625" customWidth="1"/>
    <col min="9223" max="9223" width="10.85546875" bestFit="1" customWidth="1"/>
    <col min="9224" max="9224" width="11.140625" bestFit="1" customWidth="1"/>
    <col min="9225" max="9225" width="10.42578125" customWidth="1"/>
    <col min="9472" max="9472" width="53.28515625" customWidth="1"/>
    <col min="9473" max="9473" width="15.5703125" bestFit="1" customWidth="1"/>
    <col min="9474" max="9474" width="10.5703125" customWidth="1"/>
    <col min="9475" max="9475" width="10.5703125" bestFit="1" customWidth="1"/>
    <col min="9477" max="9477" width="10.140625" customWidth="1"/>
    <col min="9478" max="9478" width="12.28515625" customWidth="1"/>
    <col min="9479" max="9479" width="10.85546875" bestFit="1" customWidth="1"/>
    <col min="9480" max="9480" width="11.140625" bestFit="1" customWidth="1"/>
    <col min="9481" max="9481" width="10.42578125" customWidth="1"/>
    <col min="9728" max="9728" width="53.28515625" customWidth="1"/>
    <col min="9729" max="9729" width="15.5703125" bestFit="1" customWidth="1"/>
    <col min="9730" max="9730" width="10.5703125" customWidth="1"/>
    <col min="9731" max="9731" width="10.5703125" bestFit="1" customWidth="1"/>
    <col min="9733" max="9733" width="10.140625" customWidth="1"/>
    <col min="9734" max="9734" width="12.28515625" customWidth="1"/>
    <col min="9735" max="9735" width="10.85546875" bestFit="1" customWidth="1"/>
    <col min="9736" max="9736" width="11.140625" bestFit="1" customWidth="1"/>
    <col min="9737" max="9737" width="10.42578125" customWidth="1"/>
    <col min="9984" max="9984" width="53.28515625" customWidth="1"/>
    <col min="9985" max="9985" width="15.5703125" bestFit="1" customWidth="1"/>
    <col min="9986" max="9986" width="10.5703125" customWidth="1"/>
    <col min="9987" max="9987" width="10.5703125" bestFit="1" customWidth="1"/>
    <col min="9989" max="9989" width="10.140625" customWidth="1"/>
    <col min="9990" max="9990" width="12.28515625" customWidth="1"/>
    <col min="9991" max="9991" width="10.85546875" bestFit="1" customWidth="1"/>
    <col min="9992" max="9992" width="11.140625" bestFit="1" customWidth="1"/>
    <col min="9993" max="9993" width="10.42578125" customWidth="1"/>
    <col min="10240" max="10240" width="53.28515625" customWidth="1"/>
    <col min="10241" max="10241" width="15.5703125" bestFit="1" customWidth="1"/>
    <col min="10242" max="10242" width="10.5703125" customWidth="1"/>
    <col min="10243" max="10243" width="10.5703125" bestFit="1" customWidth="1"/>
    <col min="10245" max="10245" width="10.140625" customWidth="1"/>
    <col min="10246" max="10246" width="12.28515625" customWidth="1"/>
    <col min="10247" max="10247" width="10.85546875" bestFit="1" customWidth="1"/>
    <col min="10248" max="10248" width="11.140625" bestFit="1" customWidth="1"/>
    <col min="10249" max="10249" width="10.42578125" customWidth="1"/>
    <col min="10496" max="10496" width="53.28515625" customWidth="1"/>
    <col min="10497" max="10497" width="15.5703125" bestFit="1" customWidth="1"/>
    <col min="10498" max="10498" width="10.5703125" customWidth="1"/>
    <col min="10499" max="10499" width="10.5703125" bestFit="1" customWidth="1"/>
    <col min="10501" max="10501" width="10.140625" customWidth="1"/>
    <col min="10502" max="10502" width="12.28515625" customWidth="1"/>
    <col min="10503" max="10503" width="10.85546875" bestFit="1" customWidth="1"/>
    <col min="10504" max="10504" width="11.140625" bestFit="1" customWidth="1"/>
    <col min="10505" max="10505" width="10.42578125" customWidth="1"/>
    <col min="10752" max="10752" width="53.28515625" customWidth="1"/>
    <col min="10753" max="10753" width="15.5703125" bestFit="1" customWidth="1"/>
    <col min="10754" max="10754" width="10.5703125" customWidth="1"/>
    <col min="10755" max="10755" width="10.5703125" bestFit="1" customWidth="1"/>
    <col min="10757" max="10757" width="10.140625" customWidth="1"/>
    <col min="10758" max="10758" width="12.28515625" customWidth="1"/>
    <col min="10759" max="10759" width="10.85546875" bestFit="1" customWidth="1"/>
    <col min="10760" max="10760" width="11.140625" bestFit="1" customWidth="1"/>
    <col min="10761" max="10761" width="10.42578125" customWidth="1"/>
    <col min="11008" max="11008" width="53.28515625" customWidth="1"/>
    <col min="11009" max="11009" width="15.5703125" bestFit="1" customWidth="1"/>
    <col min="11010" max="11010" width="10.5703125" customWidth="1"/>
    <col min="11011" max="11011" width="10.5703125" bestFit="1" customWidth="1"/>
    <col min="11013" max="11013" width="10.140625" customWidth="1"/>
    <col min="11014" max="11014" width="12.28515625" customWidth="1"/>
    <col min="11015" max="11015" width="10.85546875" bestFit="1" customWidth="1"/>
    <col min="11016" max="11016" width="11.140625" bestFit="1" customWidth="1"/>
    <col min="11017" max="11017" width="10.42578125" customWidth="1"/>
    <col min="11264" max="11264" width="53.28515625" customWidth="1"/>
    <col min="11265" max="11265" width="15.5703125" bestFit="1" customWidth="1"/>
    <col min="11266" max="11266" width="10.5703125" customWidth="1"/>
    <col min="11267" max="11267" width="10.5703125" bestFit="1" customWidth="1"/>
    <col min="11269" max="11269" width="10.140625" customWidth="1"/>
    <col min="11270" max="11270" width="12.28515625" customWidth="1"/>
    <col min="11271" max="11271" width="10.85546875" bestFit="1" customWidth="1"/>
    <col min="11272" max="11272" width="11.140625" bestFit="1" customWidth="1"/>
    <col min="11273" max="11273" width="10.42578125" customWidth="1"/>
    <col min="11520" max="11520" width="53.28515625" customWidth="1"/>
    <col min="11521" max="11521" width="15.5703125" bestFit="1" customWidth="1"/>
    <col min="11522" max="11522" width="10.5703125" customWidth="1"/>
    <col min="11523" max="11523" width="10.5703125" bestFit="1" customWidth="1"/>
    <col min="11525" max="11525" width="10.140625" customWidth="1"/>
    <col min="11526" max="11526" width="12.28515625" customWidth="1"/>
    <col min="11527" max="11527" width="10.85546875" bestFit="1" customWidth="1"/>
    <col min="11528" max="11528" width="11.140625" bestFit="1" customWidth="1"/>
    <col min="11529" max="11529" width="10.42578125" customWidth="1"/>
    <col min="11776" max="11776" width="53.28515625" customWidth="1"/>
    <col min="11777" max="11777" width="15.5703125" bestFit="1" customWidth="1"/>
    <col min="11778" max="11778" width="10.5703125" customWidth="1"/>
    <col min="11779" max="11779" width="10.5703125" bestFit="1" customWidth="1"/>
    <col min="11781" max="11781" width="10.140625" customWidth="1"/>
    <col min="11782" max="11782" width="12.28515625" customWidth="1"/>
    <col min="11783" max="11783" width="10.85546875" bestFit="1" customWidth="1"/>
    <col min="11784" max="11784" width="11.140625" bestFit="1" customWidth="1"/>
    <col min="11785" max="11785" width="10.42578125" customWidth="1"/>
    <col min="12032" max="12032" width="53.28515625" customWidth="1"/>
    <col min="12033" max="12033" width="15.5703125" bestFit="1" customWidth="1"/>
    <col min="12034" max="12034" width="10.5703125" customWidth="1"/>
    <col min="12035" max="12035" width="10.5703125" bestFit="1" customWidth="1"/>
    <col min="12037" max="12037" width="10.140625" customWidth="1"/>
    <col min="12038" max="12038" width="12.28515625" customWidth="1"/>
    <col min="12039" max="12039" width="10.85546875" bestFit="1" customWidth="1"/>
    <col min="12040" max="12040" width="11.140625" bestFit="1" customWidth="1"/>
    <col min="12041" max="12041" width="10.42578125" customWidth="1"/>
    <col min="12288" max="12288" width="53.28515625" customWidth="1"/>
    <col min="12289" max="12289" width="15.5703125" bestFit="1" customWidth="1"/>
    <col min="12290" max="12290" width="10.5703125" customWidth="1"/>
    <col min="12291" max="12291" width="10.5703125" bestFit="1" customWidth="1"/>
    <col min="12293" max="12293" width="10.140625" customWidth="1"/>
    <col min="12294" max="12294" width="12.28515625" customWidth="1"/>
    <col min="12295" max="12295" width="10.85546875" bestFit="1" customWidth="1"/>
    <col min="12296" max="12296" width="11.140625" bestFit="1" customWidth="1"/>
    <col min="12297" max="12297" width="10.42578125" customWidth="1"/>
    <col min="12544" max="12544" width="53.28515625" customWidth="1"/>
    <col min="12545" max="12545" width="15.5703125" bestFit="1" customWidth="1"/>
    <col min="12546" max="12546" width="10.5703125" customWidth="1"/>
    <col min="12547" max="12547" width="10.5703125" bestFit="1" customWidth="1"/>
    <col min="12549" max="12549" width="10.140625" customWidth="1"/>
    <col min="12550" max="12550" width="12.28515625" customWidth="1"/>
    <col min="12551" max="12551" width="10.85546875" bestFit="1" customWidth="1"/>
    <col min="12552" max="12552" width="11.140625" bestFit="1" customWidth="1"/>
    <col min="12553" max="12553" width="10.42578125" customWidth="1"/>
    <col min="12800" max="12800" width="53.28515625" customWidth="1"/>
    <col min="12801" max="12801" width="15.5703125" bestFit="1" customWidth="1"/>
    <col min="12802" max="12802" width="10.5703125" customWidth="1"/>
    <col min="12803" max="12803" width="10.5703125" bestFit="1" customWidth="1"/>
    <col min="12805" max="12805" width="10.140625" customWidth="1"/>
    <col min="12806" max="12806" width="12.28515625" customWidth="1"/>
    <col min="12807" max="12807" width="10.85546875" bestFit="1" customWidth="1"/>
    <col min="12808" max="12808" width="11.140625" bestFit="1" customWidth="1"/>
    <col min="12809" max="12809" width="10.42578125" customWidth="1"/>
    <col min="13056" max="13056" width="53.28515625" customWidth="1"/>
    <col min="13057" max="13057" width="15.5703125" bestFit="1" customWidth="1"/>
    <col min="13058" max="13058" width="10.5703125" customWidth="1"/>
    <col min="13059" max="13059" width="10.5703125" bestFit="1" customWidth="1"/>
    <col min="13061" max="13061" width="10.140625" customWidth="1"/>
    <col min="13062" max="13062" width="12.28515625" customWidth="1"/>
    <col min="13063" max="13063" width="10.85546875" bestFit="1" customWidth="1"/>
    <col min="13064" max="13064" width="11.140625" bestFit="1" customWidth="1"/>
    <col min="13065" max="13065" width="10.42578125" customWidth="1"/>
    <col min="13312" max="13312" width="53.28515625" customWidth="1"/>
    <col min="13313" max="13313" width="15.5703125" bestFit="1" customWidth="1"/>
    <col min="13314" max="13314" width="10.5703125" customWidth="1"/>
    <col min="13315" max="13315" width="10.5703125" bestFit="1" customWidth="1"/>
    <col min="13317" max="13317" width="10.140625" customWidth="1"/>
    <col min="13318" max="13318" width="12.28515625" customWidth="1"/>
    <col min="13319" max="13319" width="10.85546875" bestFit="1" customWidth="1"/>
    <col min="13320" max="13320" width="11.140625" bestFit="1" customWidth="1"/>
    <col min="13321" max="13321" width="10.42578125" customWidth="1"/>
    <col min="13568" max="13568" width="53.28515625" customWidth="1"/>
    <col min="13569" max="13569" width="15.5703125" bestFit="1" customWidth="1"/>
    <col min="13570" max="13570" width="10.5703125" customWidth="1"/>
    <col min="13571" max="13571" width="10.5703125" bestFit="1" customWidth="1"/>
    <col min="13573" max="13573" width="10.140625" customWidth="1"/>
    <col min="13574" max="13574" width="12.28515625" customWidth="1"/>
    <col min="13575" max="13575" width="10.85546875" bestFit="1" customWidth="1"/>
    <col min="13576" max="13576" width="11.140625" bestFit="1" customWidth="1"/>
    <col min="13577" max="13577" width="10.42578125" customWidth="1"/>
    <col min="13824" max="13824" width="53.28515625" customWidth="1"/>
    <col min="13825" max="13825" width="15.5703125" bestFit="1" customWidth="1"/>
    <col min="13826" max="13826" width="10.5703125" customWidth="1"/>
    <col min="13827" max="13827" width="10.5703125" bestFit="1" customWidth="1"/>
    <col min="13829" max="13829" width="10.140625" customWidth="1"/>
    <col min="13830" max="13830" width="12.28515625" customWidth="1"/>
    <col min="13831" max="13831" width="10.85546875" bestFit="1" customWidth="1"/>
    <col min="13832" max="13832" width="11.140625" bestFit="1" customWidth="1"/>
    <col min="13833" max="13833" width="10.42578125" customWidth="1"/>
    <col min="14080" max="14080" width="53.28515625" customWidth="1"/>
    <col min="14081" max="14081" width="15.5703125" bestFit="1" customWidth="1"/>
    <col min="14082" max="14082" width="10.5703125" customWidth="1"/>
    <col min="14083" max="14083" width="10.5703125" bestFit="1" customWidth="1"/>
    <col min="14085" max="14085" width="10.140625" customWidth="1"/>
    <col min="14086" max="14086" width="12.28515625" customWidth="1"/>
    <col min="14087" max="14087" width="10.85546875" bestFit="1" customWidth="1"/>
    <col min="14088" max="14088" width="11.140625" bestFit="1" customWidth="1"/>
    <col min="14089" max="14089" width="10.42578125" customWidth="1"/>
    <col min="14336" max="14336" width="53.28515625" customWidth="1"/>
    <col min="14337" max="14337" width="15.5703125" bestFit="1" customWidth="1"/>
    <col min="14338" max="14338" width="10.5703125" customWidth="1"/>
    <col min="14339" max="14339" width="10.5703125" bestFit="1" customWidth="1"/>
    <col min="14341" max="14341" width="10.140625" customWidth="1"/>
    <col min="14342" max="14342" width="12.28515625" customWidth="1"/>
    <col min="14343" max="14343" width="10.85546875" bestFit="1" customWidth="1"/>
    <col min="14344" max="14344" width="11.140625" bestFit="1" customWidth="1"/>
    <col min="14345" max="14345" width="10.42578125" customWidth="1"/>
    <col min="14592" max="14592" width="53.28515625" customWidth="1"/>
    <col min="14593" max="14593" width="15.5703125" bestFit="1" customWidth="1"/>
    <col min="14594" max="14594" width="10.5703125" customWidth="1"/>
    <col min="14595" max="14595" width="10.5703125" bestFit="1" customWidth="1"/>
    <col min="14597" max="14597" width="10.140625" customWidth="1"/>
    <col min="14598" max="14598" width="12.28515625" customWidth="1"/>
    <col min="14599" max="14599" width="10.85546875" bestFit="1" customWidth="1"/>
    <col min="14600" max="14600" width="11.140625" bestFit="1" customWidth="1"/>
    <col min="14601" max="14601" width="10.42578125" customWidth="1"/>
    <col min="14848" max="14848" width="53.28515625" customWidth="1"/>
    <col min="14849" max="14849" width="15.5703125" bestFit="1" customWidth="1"/>
    <col min="14850" max="14850" width="10.5703125" customWidth="1"/>
    <col min="14851" max="14851" width="10.5703125" bestFit="1" customWidth="1"/>
    <col min="14853" max="14853" width="10.140625" customWidth="1"/>
    <col min="14854" max="14854" width="12.28515625" customWidth="1"/>
    <col min="14855" max="14855" width="10.85546875" bestFit="1" customWidth="1"/>
    <col min="14856" max="14856" width="11.140625" bestFit="1" customWidth="1"/>
    <col min="14857" max="14857" width="10.42578125" customWidth="1"/>
    <col min="15104" max="15104" width="53.28515625" customWidth="1"/>
    <col min="15105" max="15105" width="15.5703125" bestFit="1" customWidth="1"/>
    <col min="15106" max="15106" width="10.5703125" customWidth="1"/>
    <col min="15107" max="15107" width="10.5703125" bestFit="1" customWidth="1"/>
    <col min="15109" max="15109" width="10.140625" customWidth="1"/>
    <col min="15110" max="15110" width="12.28515625" customWidth="1"/>
    <col min="15111" max="15111" width="10.85546875" bestFit="1" customWidth="1"/>
    <col min="15112" max="15112" width="11.140625" bestFit="1" customWidth="1"/>
    <col min="15113" max="15113" width="10.42578125" customWidth="1"/>
    <col min="15360" max="15360" width="53.28515625" customWidth="1"/>
    <col min="15361" max="15361" width="15.5703125" bestFit="1" customWidth="1"/>
    <col min="15362" max="15362" width="10.5703125" customWidth="1"/>
    <col min="15363" max="15363" width="10.5703125" bestFit="1" customWidth="1"/>
    <col min="15365" max="15365" width="10.140625" customWidth="1"/>
    <col min="15366" max="15366" width="12.28515625" customWidth="1"/>
    <col min="15367" max="15367" width="10.85546875" bestFit="1" customWidth="1"/>
    <col min="15368" max="15368" width="11.140625" bestFit="1" customWidth="1"/>
    <col min="15369" max="15369" width="10.42578125" customWidth="1"/>
    <col min="15616" max="15616" width="53.28515625" customWidth="1"/>
    <col min="15617" max="15617" width="15.5703125" bestFit="1" customWidth="1"/>
    <col min="15618" max="15618" width="10.5703125" customWidth="1"/>
    <col min="15619" max="15619" width="10.5703125" bestFit="1" customWidth="1"/>
    <col min="15621" max="15621" width="10.140625" customWidth="1"/>
    <col min="15622" max="15622" width="12.28515625" customWidth="1"/>
    <col min="15623" max="15623" width="10.85546875" bestFit="1" customWidth="1"/>
    <col min="15624" max="15624" width="11.140625" bestFit="1" customWidth="1"/>
    <col min="15625" max="15625" width="10.42578125" customWidth="1"/>
    <col min="15872" max="15872" width="53.28515625" customWidth="1"/>
    <col min="15873" max="15873" width="15.5703125" bestFit="1" customWidth="1"/>
    <col min="15874" max="15874" width="10.5703125" customWidth="1"/>
    <col min="15875" max="15875" width="10.5703125" bestFit="1" customWidth="1"/>
    <col min="15877" max="15877" width="10.140625" customWidth="1"/>
    <col min="15878" max="15878" width="12.28515625" customWidth="1"/>
    <col min="15879" max="15879" width="10.85546875" bestFit="1" customWidth="1"/>
    <col min="15880" max="15880" width="11.140625" bestFit="1" customWidth="1"/>
    <col min="15881" max="15881" width="10.42578125" customWidth="1"/>
    <col min="16128" max="16128" width="53.28515625" customWidth="1"/>
    <col min="16129" max="16129" width="15.5703125" bestFit="1" customWidth="1"/>
    <col min="16130" max="16130" width="10.5703125" customWidth="1"/>
    <col min="16131" max="16131" width="10.5703125" bestFit="1" customWidth="1"/>
    <col min="16133" max="16133" width="10.140625" customWidth="1"/>
    <col min="16134" max="16134" width="12.28515625" customWidth="1"/>
    <col min="16135" max="16135" width="10.85546875" bestFit="1" customWidth="1"/>
    <col min="16136" max="16136" width="11.140625" bestFit="1" customWidth="1"/>
    <col min="16137" max="16137" width="10.42578125" customWidth="1"/>
  </cols>
  <sheetData>
    <row r="1" spans="1:10" ht="16.5" thickBot="1" x14ac:dyDescent="0.3">
      <c r="A1" s="187" t="s">
        <v>121</v>
      </c>
      <c r="B1" s="188"/>
      <c r="C1" s="188"/>
      <c r="D1" s="188"/>
      <c r="E1" s="188"/>
      <c r="F1" s="188"/>
      <c r="G1" s="188"/>
      <c r="H1" s="188"/>
      <c r="I1" s="188"/>
      <c r="J1" s="189"/>
    </row>
    <row r="3" spans="1:10" x14ac:dyDescent="0.2">
      <c r="A3" s="13" t="s">
        <v>13</v>
      </c>
      <c r="B3" s="13" t="s">
        <v>8</v>
      </c>
    </row>
    <row r="4" spans="1:10" x14ac:dyDescent="0.2">
      <c r="A4" s="15" t="s">
        <v>62</v>
      </c>
      <c r="B4" s="15">
        <v>2000</v>
      </c>
    </row>
    <row r="5" spans="1:10" x14ac:dyDescent="0.2">
      <c r="A5" s="15" t="s">
        <v>16</v>
      </c>
      <c r="B5" s="15">
        <f>VLOOKUP($B$3,'Data for Bill Impacts'!$A$3:$Y$15,5,0)</f>
        <v>0</v>
      </c>
    </row>
    <row r="6" spans="1:10" x14ac:dyDescent="0.2">
      <c r="A6" s="15" t="s">
        <v>20</v>
      </c>
      <c r="B6" s="15">
        <f>VLOOKUP($B$3,'Data for Bill Impacts'!$A$3:$Y$15,2,0)</f>
        <v>1.0920000000000001</v>
      </c>
    </row>
    <row r="7" spans="1:10" x14ac:dyDescent="0.2">
      <c r="A7" s="15" t="s">
        <v>15</v>
      </c>
      <c r="B7" s="15">
        <f>VLOOKUP($B$3,'Data for Bill Impacts'!$A$3:$Y$15,4,0)</f>
        <v>750</v>
      </c>
    </row>
    <row r="8" spans="1:10" x14ac:dyDescent="0.2">
      <c r="A8" s="15" t="s">
        <v>82</v>
      </c>
      <c r="B8" s="169">
        <f>B4*B6</f>
        <v>2184</v>
      </c>
    </row>
    <row r="9" spans="1:10" x14ac:dyDescent="0.2">
      <c r="A9" s="15" t="s">
        <v>21</v>
      </c>
      <c r="B9" s="16" t="str">
        <f>VLOOKUP($B$3,'Data for Bill Impacts'!$A$3:$Y$15,6,0)</f>
        <v>kWh</v>
      </c>
    </row>
    <row r="10" spans="1:10" ht="13.5" thickBot="1" x14ac:dyDescent="0.25"/>
    <row r="11" spans="1:10" s="20" customFormat="1" ht="39" thickBot="1" x14ac:dyDescent="0.25">
      <c r="A11" s="17"/>
      <c r="B11" s="18" t="s">
        <v>22</v>
      </c>
      <c r="C11" s="18" t="s">
        <v>23</v>
      </c>
      <c r="D11" s="18" t="s">
        <v>24</v>
      </c>
      <c r="E11" s="18" t="s">
        <v>22</v>
      </c>
      <c r="F11" s="18" t="s">
        <v>25</v>
      </c>
      <c r="G11" s="18" t="s">
        <v>26</v>
      </c>
      <c r="H11" s="18" t="s">
        <v>27</v>
      </c>
      <c r="I11" s="18" t="s">
        <v>28</v>
      </c>
      <c r="J11" s="123" t="s">
        <v>29</v>
      </c>
    </row>
    <row r="12" spans="1:10" x14ac:dyDescent="0.2">
      <c r="A12" s="101" t="s">
        <v>31</v>
      </c>
      <c r="B12" s="102">
        <f>IF(B4&gt;B7,B7,B4)</f>
        <v>750</v>
      </c>
      <c r="C12" s="103">
        <v>0.10299999999999999</v>
      </c>
      <c r="D12" s="104">
        <f>B12*C12</f>
        <v>77.25</v>
      </c>
      <c r="E12" s="102">
        <f>B12</f>
        <v>750</v>
      </c>
      <c r="F12" s="103">
        <f>C12</f>
        <v>0.10299999999999999</v>
      </c>
      <c r="G12" s="104">
        <f>E12*F12</f>
        <v>77.25</v>
      </c>
      <c r="H12" s="104">
        <f>G12-D12</f>
        <v>0</v>
      </c>
      <c r="I12" s="105">
        <f>IF(ISERROR(H12/D12),0,(H12/D12))</f>
        <v>0</v>
      </c>
      <c r="J12" s="124">
        <f t="shared" ref="J12:J28" si="0">G12/$G$37</f>
        <v>0.14519578400251593</v>
      </c>
    </row>
    <row r="13" spans="1:10" x14ac:dyDescent="0.2">
      <c r="A13" s="107" t="s">
        <v>32</v>
      </c>
      <c r="B13" s="73">
        <f>IF(B4&gt;B7,(B4)-B7,0)</f>
        <v>1250</v>
      </c>
      <c r="C13" s="21">
        <v>0.121</v>
      </c>
      <c r="D13" s="22">
        <f>B13*C13</f>
        <v>151.25</v>
      </c>
      <c r="E13" s="73">
        <f t="shared" ref="E13" si="1">B13</f>
        <v>1250</v>
      </c>
      <c r="F13" s="21">
        <f>C13</f>
        <v>0.121</v>
      </c>
      <c r="G13" s="22">
        <f>E13*F13</f>
        <v>151.25</v>
      </c>
      <c r="H13" s="22">
        <f t="shared" ref="H13:H37" si="2">G13-D13</f>
        <v>0</v>
      </c>
      <c r="I13" s="23">
        <f t="shared" ref="I13:I37" si="3">IF(ISERROR(H13/D13),0,(H13/D13))</f>
        <v>0</v>
      </c>
      <c r="J13" s="125">
        <f t="shared" si="0"/>
        <v>0.28428300751301661</v>
      </c>
    </row>
    <row r="14" spans="1:10" s="1" customFormat="1" x14ac:dyDescent="0.2">
      <c r="A14" s="46" t="s">
        <v>33</v>
      </c>
      <c r="B14" s="24"/>
      <c r="C14" s="25"/>
      <c r="D14" s="25">
        <f>SUM(D12:D13)</f>
        <v>228.5</v>
      </c>
      <c r="E14" s="76"/>
      <c r="F14" s="25"/>
      <c r="G14" s="25">
        <f>SUM(G12:G13)</f>
        <v>228.5</v>
      </c>
      <c r="H14" s="25">
        <f t="shared" si="2"/>
        <v>0</v>
      </c>
      <c r="I14" s="27">
        <f t="shared" si="3"/>
        <v>0</v>
      </c>
      <c r="J14" s="47">
        <f t="shared" si="0"/>
        <v>0.42947879151553259</v>
      </c>
    </row>
    <row r="15" spans="1:10" x14ac:dyDescent="0.2">
      <c r="A15" s="107" t="s">
        <v>38</v>
      </c>
      <c r="B15" s="73">
        <v>1</v>
      </c>
      <c r="C15" s="78">
        <f>VLOOKUP($B$3,'Data for Bill Impacts'!$A$3:$Y$15,7,0)</f>
        <v>4.08</v>
      </c>
      <c r="D15" s="22">
        <f>B15*C15</f>
        <v>4.08</v>
      </c>
      <c r="E15" s="73">
        <f t="shared" ref="E15:E32" si="4">B15</f>
        <v>1</v>
      </c>
      <c r="F15" s="78">
        <f>VLOOKUP($B$3,'Data for Bill Impacts'!$A$3:$Y$15,17,0)</f>
        <v>4.21</v>
      </c>
      <c r="G15" s="22">
        <f>E15*F15</f>
        <v>4.21</v>
      </c>
      <c r="H15" s="22">
        <f t="shared" si="2"/>
        <v>0.12999999999999989</v>
      </c>
      <c r="I15" s="23">
        <f t="shared" si="3"/>
        <v>3.1862745098039186E-2</v>
      </c>
      <c r="J15" s="125">
        <f t="shared" si="0"/>
        <v>7.9129352835028092E-3</v>
      </c>
    </row>
    <row r="16" spans="1:10" x14ac:dyDescent="0.2">
      <c r="A16" s="107" t="s">
        <v>85</v>
      </c>
      <c r="B16" s="73">
        <v>1</v>
      </c>
      <c r="C16" s="122">
        <f>VLOOKUP($B$3,'Data for Bill Impacts'!$A$3:$Y$15,11,0)</f>
        <v>0</v>
      </c>
      <c r="D16" s="22">
        <f t="shared" ref="D16" si="5">B16*C16</f>
        <v>0</v>
      </c>
      <c r="E16" s="73">
        <f t="shared" si="4"/>
        <v>1</v>
      </c>
      <c r="F16" s="122">
        <f>VLOOKUP($B$3,'Data for Bill Impacts'!$A$3:$Y$15,22,0)</f>
        <v>0</v>
      </c>
      <c r="G16" s="22">
        <f t="shared" ref="G16" si="6">E16*F16</f>
        <v>0</v>
      </c>
      <c r="H16" s="22">
        <f t="shared" si="2"/>
        <v>0</v>
      </c>
      <c r="I16" s="23">
        <f t="shared" si="3"/>
        <v>0</v>
      </c>
      <c r="J16" s="125">
        <f t="shared" si="0"/>
        <v>0</v>
      </c>
    </row>
    <row r="17" spans="1:10" x14ac:dyDescent="0.2">
      <c r="A17" s="107" t="s">
        <v>39</v>
      </c>
      <c r="B17" s="73">
        <f>IF($B$9="kWh",$B$4,$B$5)</f>
        <v>2000</v>
      </c>
      <c r="C17" s="126">
        <f>VLOOKUP($B$3,'Data for Bill Impacts'!$A$3:$Y$15,10,0)</f>
        <v>9.8000000000000004E-2</v>
      </c>
      <c r="D17" s="22">
        <f>B17*C17</f>
        <v>196</v>
      </c>
      <c r="E17" s="73">
        <f t="shared" si="4"/>
        <v>2000</v>
      </c>
      <c r="F17" s="78">
        <f>VLOOKUP($B$3,'Data for Bill Impacts'!$A$3:$Y$15,19,0)</f>
        <v>0.1013</v>
      </c>
      <c r="G17" s="22">
        <f>E17*F17</f>
        <v>202.6</v>
      </c>
      <c r="H17" s="22">
        <f t="shared" si="2"/>
        <v>6.5999999999999943</v>
      </c>
      <c r="I17" s="23">
        <f t="shared" si="3"/>
        <v>3.3673469387755076E-2</v>
      </c>
      <c r="J17" s="125">
        <f t="shared" si="0"/>
        <v>0.38079826328685729</v>
      </c>
    </row>
    <row r="18" spans="1:10" s="1" customFormat="1" x14ac:dyDescent="0.2">
      <c r="A18" s="107" t="s">
        <v>122</v>
      </c>
      <c r="B18" s="73">
        <f>IF($B$9="kWh",$B$4,$B$5)</f>
        <v>2000</v>
      </c>
      <c r="C18" s="126">
        <f>VLOOKUP($B$3,'Data for Bill Impacts'!$A$3:$Y$15,14,0)</f>
        <v>2.0000000000000001E-4</v>
      </c>
      <c r="D18" s="22">
        <f>B18*C18</f>
        <v>0.4</v>
      </c>
      <c r="E18" s="73">
        <f>B18</f>
        <v>2000</v>
      </c>
      <c r="F18" s="126">
        <f>VLOOKUP($B$3,'Data for Bill Impacts'!$A$3:$Y$15,23,0)</f>
        <v>2.0000000000000001E-4</v>
      </c>
      <c r="G18" s="22">
        <f>E18*F18</f>
        <v>0.4</v>
      </c>
      <c r="H18" s="22">
        <f>G18-D18</f>
        <v>0</v>
      </c>
      <c r="I18" s="23">
        <f>IF(ISERROR(H18/D18),0,(H18/D18))</f>
        <v>0</v>
      </c>
      <c r="J18" s="125">
        <f t="shared" si="0"/>
        <v>7.5182282978649025E-4</v>
      </c>
    </row>
    <row r="19" spans="1:10" hidden="1" x14ac:dyDescent="0.2">
      <c r="A19" s="107" t="s">
        <v>108</v>
      </c>
      <c r="B19" s="73">
        <f>B8</f>
        <v>2184</v>
      </c>
      <c r="C19" s="78">
        <v>0</v>
      </c>
      <c r="D19" s="22">
        <f>B19*C19</f>
        <v>0</v>
      </c>
      <c r="E19" s="73">
        <f t="shared" si="4"/>
        <v>2184</v>
      </c>
      <c r="F19" s="78">
        <v>0</v>
      </c>
      <c r="G19" s="22">
        <f>E19*F19</f>
        <v>0</v>
      </c>
      <c r="H19" s="22">
        <f t="shared" si="2"/>
        <v>0</v>
      </c>
      <c r="I19" s="23">
        <f>IF(ISERROR(H19/D19),0,(H19/D19))</f>
        <v>0</v>
      </c>
      <c r="J19" s="125">
        <f t="shared" si="0"/>
        <v>0</v>
      </c>
    </row>
    <row r="20" spans="1:10" x14ac:dyDescent="0.2">
      <c r="A20" s="110" t="s">
        <v>72</v>
      </c>
      <c r="B20" s="74"/>
      <c r="C20" s="35"/>
      <c r="D20" s="35">
        <f>SUM(D15:D19)</f>
        <v>200.48000000000002</v>
      </c>
      <c r="E20" s="73"/>
      <c r="F20" s="35"/>
      <c r="G20" s="35">
        <f>SUM(G15:G19)</f>
        <v>207.21</v>
      </c>
      <c r="H20" s="35">
        <f t="shared" si="2"/>
        <v>6.7299999999999898</v>
      </c>
      <c r="I20" s="36">
        <f t="shared" si="3"/>
        <v>3.3569433359936098E-2</v>
      </c>
      <c r="J20" s="111">
        <f t="shared" si="0"/>
        <v>0.38946302140014666</v>
      </c>
    </row>
    <row r="21" spans="1:10" s="1" customFormat="1" x14ac:dyDescent="0.2">
      <c r="A21" s="119" t="s">
        <v>81</v>
      </c>
      <c r="B21" s="120">
        <f>B8-B4</f>
        <v>184</v>
      </c>
      <c r="C21" s="121">
        <f>IF(B4&gt;B7,C13,C12)</f>
        <v>0.121</v>
      </c>
      <c r="D21" s="22">
        <f>B21*C21</f>
        <v>22.263999999999999</v>
      </c>
      <c r="E21" s="73">
        <f>B21</f>
        <v>184</v>
      </c>
      <c r="F21" s="121">
        <f>C21</f>
        <v>0.121</v>
      </c>
      <c r="G21" s="22">
        <f>E21*F21</f>
        <v>22.263999999999999</v>
      </c>
      <c r="H21" s="22">
        <f t="shared" si="2"/>
        <v>0</v>
      </c>
      <c r="I21" s="23">
        <f>IF(ISERROR(H21/D21),0,(H21/D21))</f>
        <v>0</v>
      </c>
      <c r="J21" s="125">
        <f t="shared" si="0"/>
        <v>4.1846458705916044E-2</v>
      </c>
    </row>
    <row r="22" spans="1:10" x14ac:dyDescent="0.2">
      <c r="A22" s="110" t="s">
        <v>79</v>
      </c>
      <c r="B22" s="74"/>
      <c r="C22" s="35"/>
      <c r="D22" s="35">
        <f>SUM(D20,D21:D21)</f>
        <v>222.74400000000003</v>
      </c>
      <c r="E22" s="73"/>
      <c r="F22" s="35"/>
      <c r="G22" s="35">
        <f>SUM(G20,G21:G21)</f>
        <v>229.47400000000002</v>
      </c>
      <c r="H22" s="35">
        <f t="shared" si="2"/>
        <v>6.7299999999999898</v>
      </c>
      <c r="I22" s="36">
        <f>IF(ISERROR(H22/D22),0,(H22/D22))</f>
        <v>3.021405739324062E-2</v>
      </c>
      <c r="J22" s="111">
        <f t="shared" si="0"/>
        <v>0.43130948010606268</v>
      </c>
    </row>
    <row r="23" spans="1:10" x14ac:dyDescent="0.2">
      <c r="A23" s="107" t="s">
        <v>40</v>
      </c>
      <c r="B23" s="73">
        <f>B8</f>
        <v>2184</v>
      </c>
      <c r="C23" s="78">
        <f>VLOOKUP($B$3,'Data for Bill Impacts'!$A$3:$Y$15,15,0)</f>
        <v>4.6979999999999999E-3</v>
      </c>
      <c r="D23" s="22">
        <f>B23*C23</f>
        <v>10.260432</v>
      </c>
      <c r="E23" s="73">
        <f t="shared" si="4"/>
        <v>2184</v>
      </c>
      <c r="F23" s="126">
        <f>VLOOKUP($B$3,'Data for Bill Impacts'!$A$3:$Y$15,24,0)</f>
        <v>4.6979999999999999E-3</v>
      </c>
      <c r="G23" s="22">
        <f>E23*F23</f>
        <v>10.260432</v>
      </c>
      <c r="H23" s="22">
        <f t="shared" si="2"/>
        <v>0</v>
      </c>
      <c r="I23" s="23">
        <f t="shared" si="3"/>
        <v>0</v>
      </c>
      <c r="J23" s="125">
        <f t="shared" si="0"/>
        <v>1.9285067552679645E-2</v>
      </c>
    </row>
    <row r="24" spans="1:10" s="1" customFormat="1" x14ac:dyDescent="0.2">
      <c r="A24" s="107" t="s">
        <v>41</v>
      </c>
      <c r="B24" s="73">
        <f>B8</f>
        <v>2184</v>
      </c>
      <c r="C24" s="78">
        <f>VLOOKUP($B$3,'Data for Bill Impacts'!$A$3:$Y$15,16,0)</f>
        <v>4.2899999999999995E-3</v>
      </c>
      <c r="D24" s="22">
        <f>B24*C24</f>
        <v>9.3693599999999986</v>
      </c>
      <c r="E24" s="73">
        <f t="shared" si="4"/>
        <v>2184</v>
      </c>
      <c r="F24" s="126">
        <f>VLOOKUP($B$3,'Data for Bill Impacts'!$A$3:$Y$15,25,0)</f>
        <v>4.2899999999999995E-3</v>
      </c>
      <c r="G24" s="22">
        <f>E24*F24</f>
        <v>9.3693599999999986</v>
      </c>
      <c r="H24" s="22">
        <f t="shared" si="2"/>
        <v>0</v>
      </c>
      <c r="I24" s="23">
        <f t="shared" si="3"/>
        <v>0</v>
      </c>
      <c r="J24" s="125">
        <f t="shared" si="0"/>
        <v>1.7610246871220873E-2</v>
      </c>
    </row>
    <row r="25" spans="1:10" s="1" customFormat="1" x14ac:dyDescent="0.2">
      <c r="A25" s="110" t="s">
        <v>76</v>
      </c>
      <c r="B25" s="74"/>
      <c r="C25" s="35"/>
      <c r="D25" s="35">
        <f>SUM(D23:D24)</f>
        <v>19.629791999999998</v>
      </c>
      <c r="E25" s="73"/>
      <c r="F25" s="35"/>
      <c r="G25" s="35">
        <f>SUM(G23:G24)</f>
        <v>19.629791999999998</v>
      </c>
      <c r="H25" s="35">
        <f t="shared" si="2"/>
        <v>0</v>
      </c>
      <c r="I25" s="36">
        <f t="shared" si="3"/>
        <v>0</v>
      </c>
      <c r="J25" s="111">
        <f t="shared" si="0"/>
        <v>3.6895314423900517E-2</v>
      </c>
    </row>
    <row r="26" spans="1:10" s="1" customFormat="1" x14ac:dyDescent="0.2">
      <c r="A26" s="110" t="s">
        <v>80</v>
      </c>
      <c r="B26" s="74"/>
      <c r="C26" s="35"/>
      <c r="D26" s="35">
        <f>D22+D25</f>
        <v>242.37379200000004</v>
      </c>
      <c r="E26" s="73"/>
      <c r="F26" s="35"/>
      <c r="G26" s="35">
        <f>G22+G25</f>
        <v>249.10379200000003</v>
      </c>
      <c r="H26" s="35">
        <f t="shared" si="2"/>
        <v>6.7299999999999898</v>
      </c>
      <c r="I26" s="36">
        <f t="shared" si="3"/>
        <v>2.7767028540775517E-2</v>
      </c>
      <c r="J26" s="111">
        <f t="shared" si="0"/>
        <v>0.46820479452996322</v>
      </c>
    </row>
    <row r="27" spans="1:10" x14ac:dyDescent="0.2">
      <c r="A27" s="107" t="s">
        <v>42</v>
      </c>
      <c r="B27" s="73">
        <f>B8</f>
        <v>2184</v>
      </c>
      <c r="C27" s="34">
        <v>3.5999999999999999E-3</v>
      </c>
      <c r="D27" s="22">
        <f>B27*C27</f>
        <v>7.8624000000000001</v>
      </c>
      <c r="E27" s="73">
        <f t="shared" si="4"/>
        <v>2184</v>
      </c>
      <c r="F27" s="34">
        <v>3.5999999999999999E-3</v>
      </c>
      <c r="G27" s="22">
        <f>E27*F27</f>
        <v>7.8624000000000001</v>
      </c>
      <c r="H27" s="22">
        <f t="shared" si="2"/>
        <v>0</v>
      </c>
      <c r="I27" s="23">
        <f t="shared" si="3"/>
        <v>0</v>
      </c>
      <c r="J27" s="125">
        <f t="shared" si="0"/>
        <v>1.4777829542283252E-2</v>
      </c>
    </row>
    <row r="28" spans="1:10" s="1" customFormat="1" x14ac:dyDescent="0.2">
      <c r="A28" s="107" t="s">
        <v>43</v>
      </c>
      <c r="B28" s="73">
        <f>B8</f>
        <v>2184</v>
      </c>
      <c r="C28" s="34">
        <v>2.0999999999999999E-3</v>
      </c>
      <c r="D28" s="22">
        <f>B28*C28</f>
        <v>4.5863999999999994</v>
      </c>
      <c r="E28" s="73">
        <f t="shared" si="4"/>
        <v>2184</v>
      </c>
      <c r="F28" s="34">
        <v>2.0999999999999999E-3</v>
      </c>
      <c r="G28" s="22">
        <f>E28*F28</f>
        <v>4.5863999999999994</v>
      </c>
      <c r="H28" s="22">
        <f>G28-D28</f>
        <v>0</v>
      </c>
      <c r="I28" s="23">
        <f t="shared" si="3"/>
        <v>0</v>
      </c>
      <c r="J28" s="125">
        <f t="shared" si="0"/>
        <v>8.6204005663318966E-3</v>
      </c>
    </row>
    <row r="29" spans="1:10" s="1" customFormat="1" x14ac:dyDescent="0.2">
      <c r="A29" s="107" t="s">
        <v>96</v>
      </c>
      <c r="B29" s="73">
        <f>B8</f>
        <v>2184</v>
      </c>
      <c r="C29" s="34">
        <v>1.1000000000000001E-3</v>
      </c>
      <c r="D29" s="22">
        <f>B29*C29</f>
        <v>2.4024000000000001</v>
      </c>
      <c r="E29" s="73">
        <f t="shared" si="4"/>
        <v>2184</v>
      </c>
      <c r="F29" s="34">
        <v>1.1000000000000001E-3</v>
      </c>
      <c r="G29" s="22">
        <f>E29*F29</f>
        <v>2.4024000000000001</v>
      </c>
      <c r="H29" s="22">
        <f>G29-D29</f>
        <v>0</v>
      </c>
      <c r="I29" s="23">
        <f t="shared" ref="I29" si="7">IF(ISERROR(H29/D29),0,(H29/D29))</f>
        <v>0</v>
      </c>
      <c r="J29" s="125">
        <f t="shared" ref="J29" si="8">G29/$G$37</f>
        <v>4.5154479156976606E-3</v>
      </c>
    </row>
    <row r="30" spans="1:10" x14ac:dyDescent="0.2">
      <c r="A30" s="107" t="s">
        <v>44</v>
      </c>
      <c r="B30" s="73">
        <v>1</v>
      </c>
      <c r="C30" s="22">
        <v>0.25</v>
      </c>
      <c r="D30" s="22">
        <f>B30*C30</f>
        <v>0.25</v>
      </c>
      <c r="E30" s="73">
        <f t="shared" si="4"/>
        <v>1</v>
      </c>
      <c r="F30" s="22">
        <f>C30</f>
        <v>0.25</v>
      </c>
      <c r="G30" s="22">
        <f>E30*F30</f>
        <v>0.25</v>
      </c>
      <c r="H30" s="22">
        <f t="shared" si="2"/>
        <v>0</v>
      </c>
      <c r="I30" s="23">
        <f t="shared" si="3"/>
        <v>0</v>
      </c>
      <c r="J30" s="125">
        <f t="shared" ref="J30:J37" si="9">G30/$G$37</f>
        <v>4.6988926861655643E-4</v>
      </c>
    </row>
    <row r="31" spans="1:10" s="1" customFormat="1" x14ac:dyDescent="0.2">
      <c r="A31" s="110" t="s">
        <v>45</v>
      </c>
      <c r="B31" s="74"/>
      <c r="C31" s="35"/>
      <c r="D31" s="35">
        <f>SUM(D27:D30)</f>
        <v>15.101199999999999</v>
      </c>
      <c r="E31" s="73"/>
      <c r="F31" s="35"/>
      <c r="G31" s="35">
        <f>SUM(G27:G30)</f>
        <v>15.101199999999999</v>
      </c>
      <c r="H31" s="35">
        <f t="shared" si="2"/>
        <v>0</v>
      </c>
      <c r="I31" s="36">
        <f t="shared" si="3"/>
        <v>0</v>
      </c>
      <c r="J31" s="111">
        <f t="shared" si="9"/>
        <v>2.8383567292929363E-2</v>
      </c>
    </row>
    <row r="32" spans="1:10" ht="13.5" thickBot="1" x14ac:dyDescent="0.25">
      <c r="A32" s="112" t="s">
        <v>46</v>
      </c>
      <c r="B32" s="113">
        <f>B4</f>
        <v>2000</v>
      </c>
      <c r="C32" s="114">
        <v>7.0000000000000001E-3</v>
      </c>
      <c r="D32" s="115">
        <f>B32*C32</f>
        <v>14</v>
      </c>
      <c r="E32" s="116">
        <f t="shared" si="4"/>
        <v>2000</v>
      </c>
      <c r="F32" s="114">
        <f>C32</f>
        <v>7.0000000000000001E-3</v>
      </c>
      <c r="G32" s="115">
        <f>E32*F32</f>
        <v>14</v>
      </c>
      <c r="H32" s="115">
        <f t="shared" si="2"/>
        <v>0</v>
      </c>
      <c r="I32" s="117">
        <f t="shared" si="3"/>
        <v>0</v>
      </c>
      <c r="J32" s="118">
        <f t="shared" si="9"/>
        <v>2.6313799042527158E-2</v>
      </c>
    </row>
    <row r="33" spans="1:10" x14ac:dyDescent="0.2">
      <c r="A33" s="37" t="s">
        <v>111</v>
      </c>
      <c r="B33" s="38"/>
      <c r="C33" s="39"/>
      <c r="D33" s="39">
        <f>SUM(D14,D22,D25,D31,D32)</f>
        <v>499.97499200000004</v>
      </c>
      <c r="E33" s="38"/>
      <c r="F33" s="39"/>
      <c r="G33" s="39">
        <f>SUM(G14,G22,G25,G31,G32)</f>
        <v>506.70499200000006</v>
      </c>
      <c r="H33" s="39">
        <f t="shared" si="2"/>
        <v>6.7300000000000182</v>
      </c>
      <c r="I33" s="40">
        <f>IF(ISERROR(H33/D33),0,(H33/D33))</f>
        <v>1.3460673249033259E-2</v>
      </c>
      <c r="J33" s="41">
        <f t="shared" si="9"/>
        <v>0.95238095238095244</v>
      </c>
    </row>
    <row r="34" spans="1:10" x14ac:dyDescent="0.2">
      <c r="A34" s="46" t="s">
        <v>102</v>
      </c>
      <c r="B34" s="43"/>
      <c r="C34" s="26">
        <v>0.13</v>
      </c>
      <c r="D34" s="26">
        <f>D33*C34</f>
        <v>64.996748960000005</v>
      </c>
      <c r="E34" s="26"/>
      <c r="F34" s="26">
        <f>C34</f>
        <v>0.13</v>
      </c>
      <c r="G34" s="26">
        <f>G33*F34</f>
        <v>65.871648960000016</v>
      </c>
      <c r="H34" s="26">
        <f t="shared" si="2"/>
        <v>0.87490000000001089</v>
      </c>
      <c r="I34" s="44">
        <f t="shared" si="3"/>
        <v>1.3460673249033391E-2</v>
      </c>
      <c r="J34" s="45">
        <f t="shared" si="9"/>
        <v>0.12380952380952383</v>
      </c>
    </row>
    <row r="35" spans="1:10" x14ac:dyDescent="0.2">
      <c r="A35" s="46" t="s">
        <v>103</v>
      </c>
      <c r="B35" s="24"/>
      <c r="C35" s="25"/>
      <c r="D35" s="25">
        <f>SUM(D33:D34)</f>
        <v>564.97174096000003</v>
      </c>
      <c r="E35" s="25"/>
      <c r="F35" s="25"/>
      <c r="G35" s="25">
        <f>SUM(G33:G34)</f>
        <v>572.57664096000008</v>
      </c>
      <c r="H35" s="25">
        <f t="shared" si="2"/>
        <v>7.6049000000000433</v>
      </c>
      <c r="I35" s="27">
        <f t="shared" si="3"/>
        <v>1.34606732490333E-2</v>
      </c>
      <c r="J35" s="47">
        <f t="shared" si="9"/>
        <v>1.0761904761904761</v>
      </c>
    </row>
    <row r="36" spans="1:10" x14ac:dyDescent="0.2">
      <c r="A36" s="46" t="s">
        <v>104</v>
      </c>
      <c r="B36" s="43"/>
      <c r="C36" s="26">
        <v>-0.08</v>
      </c>
      <c r="D36" s="26">
        <f>D33*C36</f>
        <v>-39.997999360000001</v>
      </c>
      <c r="E36" s="26"/>
      <c r="F36" s="26">
        <f>C36</f>
        <v>-0.08</v>
      </c>
      <c r="G36" s="26">
        <f>G33*F36</f>
        <v>-40.536399360000004</v>
      </c>
      <c r="H36" s="26">
        <f t="shared" si="2"/>
        <v>-0.53840000000000288</v>
      </c>
      <c r="I36" s="44">
        <f t="shared" si="3"/>
        <v>1.3460673249033295E-2</v>
      </c>
      <c r="J36" s="45">
        <f t="shared" si="9"/>
        <v>-7.6190476190476183E-2</v>
      </c>
    </row>
    <row r="37" spans="1:10" ht="13.5" thickBot="1" x14ac:dyDescent="0.25">
      <c r="A37" s="46" t="s">
        <v>105</v>
      </c>
      <c r="B37" s="49"/>
      <c r="C37" s="50"/>
      <c r="D37" s="50">
        <f>SUM(D35:D36)</f>
        <v>524.97374160000004</v>
      </c>
      <c r="E37" s="50"/>
      <c r="F37" s="50"/>
      <c r="G37" s="50">
        <f>SUM(G35:G36)</f>
        <v>532.04024160000006</v>
      </c>
      <c r="H37" s="50">
        <f t="shared" si="2"/>
        <v>7.0665000000000191</v>
      </c>
      <c r="I37" s="51">
        <f t="shared" si="3"/>
        <v>1.3460673249033259E-2</v>
      </c>
      <c r="J37" s="52">
        <f t="shared" si="9"/>
        <v>1</v>
      </c>
    </row>
    <row r="38" spans="1:10" x14ac:dyDescent="0.2">
      <c r="A38" s="171"/>
      <c r="D38" s="72"/>
      <c r="F38" s="69"/>
    </row>
    <row r="39" spans="1:10" x14ac:dyDescent="0.2">
      <c r="F39" s="69"/>
    </row>
    <row r="40" spans="1:10" x14ac:dyDescent="0.2">
      <c r="A40" s="70"/>
      <c r="B40" s="71"/>
      <c r="F40" s="69"/>
    </row>
    <row r="41" spans="1:10" x14ac:dyDescent="0.2">
      <c r="B41" s="72"/>
      <c r="D41" s="72"/>
      <c r="F41" s="69"/>
    </row>
    <row r="42" spans="1:10" x14ac:dyDescent="0.2">
      <c r="F42" s="69"/>
    </row>
    <row r="43" spans="1:10" x14ac:dyDescent="0.2">
      <c r="F43" s="69"/>
    </row>
    <row r="44" spans="1:10" x14ac:dyDescent="0.2">
      <c r="F44" s="69"/>
    </row>
    <row r="45" spans="1:10" x14ac:dyDescent="0.2">
      <c r="F45" s="69"/>
    </row>
    <row r="46" spans="1:10" x14ac:dyDescent="0.2">
      <c r="F46" s="69"/>
    </row>
    <row r="47" spans="1:10" x14ac:dyDescent="0.2">
      <c r="F47" s="69"/>
    </row>
    <row r="48" spans="1:10" x14ac:dyDescent="0.2">
      <c r="F48" s="69"/>
    </row>
  </sheetData>
  <mergeCells count="1">
    <mergeCell ref="A1:J1"/>
  </mergeCells>
  <pageMargins left="0.7" right="0.7" top="0.75" bottom="0.75" header="0.3" footer="0.3"/>
  <pageSetup paperSize="5"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'Data for Bill Impacts'!$A$3:$A$11</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1" tint="0.499984740745262"/>
    <pageSetUpPr fitToPage="1"/>
  </sheetPr>
  <dimension ref="A1:K68"/>
  <sheetViews>
    <sheetView tabSelected="1" zoomScaleNormal="100" zoomScaleSheetLayoutView="100" workbookViewId="0">
      <selection activeCell="E1" sqref="E1:E1048576"/>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120</v>
      </c>
      <c r="B1" s="188"/>
      <c r="C1" s="188"/>
      <c r="D1" s="188"/>
      <c r="E1" s="188"/>
      <c r="F1" s="188"/>
      <c r="G1" s="188"/>
      <c r="H1" s="188"/>
      <c r="I1" s="188"/>
      <c r="J1" s="188"/>
      <c r="K1" s="189"/>
    </row>
    <row r="3" spans="1:11" x14ac:dyDescent="0.2">
      <c r="A3" s="13" t="s">
        <v>13</v>
      </c>
      <c r="B3" s="13" t="s">
        <v>0</v>
      </c>
    </row>
    <row r="4" spans="1:11" x14ac:dyDescent="0.2">
      <c r="A4" s="15" t="s">
        <v>62</v>
      </c>
      <c r="B4" s="15">
        <f>VLOOKUP(B3,'Data for Bill Impacts'!$A$19:$D$31,3,FALSE)</f>
        <v>755</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69">
        <f>B4*B6</f>
        <v>798.03499999999997</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0.42458382291385027</v>
      </c>
      <c r="K12" s="106"/>
    </row>
    <row r="13" spans="1:11" x14ac:dyDescent="0.2">
      <c r="A13" s="107" t="s">
        <v>32</v>
      </c>
      <c r="B13" s="73">
        <f>IF(B4&gt;B7,(B4)-B7,0)</f>
        <v>155</v>
      </c>
      <c r="C13" s="21">
        <v>0.121</v>
      </c>
      <c r="D13" s="22">
        <f>B13*C13</f>
        <v>18.754999999999999</v>
      </c>
      <c r="E13" s="73">
        <f t="shared" ref="E13" si="0">B13</f>
        <v>155</v>
      </c>
      <c r="F13" s="21">
        <f>C13</f>
        <v>0.121</v>
      </c>
      <c r="G13" s="22">
        <f>E13*F13</f>
        <v>18.754999999999999</v>
      </c>
      <c r="H13" s="22">
        <f t="shared" ref="H13:H46" si="1">G13-D13</f>
        <v>0</v>
      </c>
      <c r="I13" s="23">
        <f t="shared" ref="I13:I46" si="2">IF(ISERROR(H13/D13),0,(H13/D13))</f>
        <v>0</v>
      </c>
      <c r="J13" s="23">
        <f>G13/$G$46</f>
        <v>0.12885225887943788</v>
      </c>
      <c r="K13" s="108"/>
    </row>
    <row r="14" spans="1:11" s="1" customFormat="1" x14ac:dyDescent="0.2">
      <c r="A14" s="46" t="s">
        <v>33</v>
      </c>
      <c r="B14" s="24"/>
      <c r="C14" s="25"/>
      <c r="D14" s="25">
        <f>SUM(D12:D13)</f>
        <v>80.554999999999993</v>
      </c>
      <c r="E14" s="76"/>
      <c r="F14" s="25"/>
      <c r="G14" s="25">
        <f>SUM(G12:G13)</f>
        <v>80.554999999999993</v>
      </c>
      <c r="H14" s="25">
        <f t="shared" si="1"/>
        <v>0</v>
      </c>
      <c r="I14" s="27">
        <f t="shared" si="2"/>
        <v>0</v>
      </c>
      <c r="J14" s="27">
        <f>G14/$G$46</f>
        <v>0.55343608179328818</v>
      </c>
      <c r="K14" s="108"/>
    </row>
    <row r="15" spans="1:11" s="1" customFormat="1" x14ac:dyDescent="0.2">
      <c r="A15" s="109" t="s">
        <v>34</v>
      </c>
      <c r="B15" s="75">
        <f>B4*0.65</f>
        <v>490.75</v>
      </c>
      <c r="C15" s="28">
        <v>8.6999999999999994E-2</v>
      </c>
      <c r="D15" s="22">
        <f>B15*C15</f>
        <v>42.695249999999994</v>
      </c>
      <c r="E15" s="73">
        <f t="shared" ref="E15:F17" si="3">B15</f>
        <v>490.75</v>
      </c>
      <c r="F15" s="28">
        <f t="shared" si="3"/>
        <v>8.6999999999999994E-2</v>
      </c>
      <c r="G15" s="22">
        <f>E15*F15</f>
        <v>42.695249999999994</v>
      </c>
      <c r="H15" s="22">
        <f t="shared" si="1"/>
        <v>0</v>
      </c>
      <c r="I15" s="23">
        <f t="shared" si="2"/>
        <v>0</v>
      </c>
      <c r="J15" s="23"/>
      <c r="K15" s="108">
        <f t="shared" ref="K15:K26" si="4">G15/$G$51</f>
        <v>0.28685000764857899</v>
      </c>
    </row>
    <row r="16" spans="1:11" s="1" customFormat="1" x14ac:dyDescent="0.2">
      <c r="A16" s="109" t="s">
        <v>35</v>
      </c>
      <c r="B16" s="75">
        <f>B4*0.17</f>
        <v>128.35000000000002</v>
      </c>
      <c r="C16" s="28">
        <v>0.13200000000000001</v>
      </c>
      <c r="D16" s="22">
        <f>B16*C16</f>
        <v>16.942200000000003</v>
      </c>
      <c r="E16" s="73">
        <f t="shared" si="3"/>
        <v>128.35000000000002</v>
      </c>
      <c r="F16" s="28">
        <f t="shared" si="3"/>
        <v>0.13200000000000001</v>
      </c>
      <c r="G16" s="22">
        <f>E16*F16</f>
        <v>16.942200000000003</v>
      </c>
      <c r="H16" s="22">
        <f t="shared" si="1"/>
        <v>0</v>
      </c>
      <c r="I16" s="23">
        <f t="shared" si="2"/>
        <v>0</v>
      </c>
      <c r="J16" s="23"/>
      <c r="K16" s="108">
        <f t="shared" si="4"/>
        <v>0.11382695263720805</v>
      </c>
    </row>
    <row r="17" spans="1:11" s="1" customFormat="1" x14ac:dyDescent="0.2">
      <c r="A17" s="109" t="s">
        <v>36</v>
      </c>
      <c r="B17" s="75">
        <f>B4*0.18</f>
        <v>135.9</v>
      </c>
      <c r="C17" s="28">
        <v>0.18</v>
      </c>
      <c r="D17" s="22">
        <f>B17*C17</f>
        <v>24.462</v>
      </c>
      <c r="E17" s="73">
        <f t="shared" si="3"/>
        <v>135.9</v>
      </c>
      <c r="F17" s="28">
        <f t="shared" si="3"/>
        <v>0.18</v>
      </c>
      <c r="G17" s="22">
        <f>E17*F17</f>
        <v>24.462</v>
      </c>
      <c r="H17" s="22">
        <f t="shared" si="1"/>
        <v>0</v>
      </c>
      <c r="I17" s="23">
        <f t="shared" si="2"/>
        <v>0</v>
      </c>
      <c r="J17" s="23"/>
      <c r="K17" s="108">
        <f t="shared" si="4"/>
        <v>0.16434907600024687</v>
      </c>
    </row>
    <row r="18" spans="1:11" s="1" customFormat="1" x14ac:dyDescent="0.2">
      <c r="A18" s="61" t="s">
        <v>37</v>
      </c>
      <c r="B18" s="29"/>
      <c r="C18" s="30"/>
      <c r="D18" s="30">
        <f>SUM(D15:D17)</f>
        <v>84.099450000000004</v>
      </c>
      <c r="E18" s="77"/>
      <c r="F18" s="30"/>
      <c r="G18" s="30">
        <f>SUM(G15:G17)</f>
        <v>84.099450000000004</v>
      </c>
      <c r="H18" s="31">
        <f t="shared" si="1"/>
        <v>0</v>
      </c>
      <c r="I18" s="32">
        <f t="shared" si="2"/>
        <v>0</v>
      </c>
      <c r="J18" s="33">
        <f t="shared" ref="J18:J26" si="5">G18/$G$46</f>
        <v>0.57778747550084475</v>
      </c>
      <c r="K18" s="62">
        <f t="shared" si="4"/>
        <v>0.56502603628603398</v>
      </c>
    </row>
    <row r="19" spans="1:11" x14ac:dyDescent="0.2">
      <c r="A19" s="107" t="s">
        <v>38</v>
      </c>
      <c r="B19" s="73">
        <v>1</v>
      </c>
      <c r="C19" s="78">
        <f>VLOOKUP($B$3,'Data for Bill Impacts'!$A$3:$Y$15,7,0)</f>
        <v>27.76</v>
      </c>
      <c r="D19" s="22">
        <f>B19*C19</f>
        <v>27.76</v>
      </c>
      <c r="E19" s="73">
        <f t="shared" ref="E19:E41" si="6">B19</f>
        <v>1</v>
      </c>
      <c r="F19" s="78">
        <f>VLOOKUP($B$3,'Data for Bill Impacts'!$A$3:$Y$15,17,0)</f>
        <v>31.3</v>
      </c>
      <c r="G19" s="22">
        <f>E19*F19</f>
        <v>31.3</v>
      </c>
      <c r="H19" s="22">
        <f t="shared" si="1"/>
        <v>3.5399999999999991</v>
      </c>
      <c r="I19" s="23">
        <f t="shared" si="2"/>
        <v>0.12752161383285299</v>
      </c>
      <c r="J19" s="23">
        <f t="shared" si="5"/>
        <v>0.21504002681559084</v>
      </c>
      <c r="K19" s="108">
        <f t="shared" si="4"/>
        <v>0.21029049459601534</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G22/$G$46</f>
        <v>6.8702883966642445E-5</v>
      </c>
      <c r="K22" s="108">
        <f t="shared" si="4"/>
        <v>6.718546153227327E-5</v>
      </c>
    </row>
    <row r="23" spans="1:11" x14ac:dyDescent="0.2">
      <c r="A23" s="107" t="s">
        <v>39</v>
      </c>
      <c r="B23" s="73">
        <f>IF($B$9="kWh",$B$4,$B$5)</f>
        <v>755</v>
      </c>
      <c r="C23" s="78">
        <f>VLOOKUP($B$3,'Data for Bill Impacts'!$A$3:$Y$15,10,0)</f>
        <v>7.9000000000000008E-3</v>
      </c>
      <c r="D23" s="22">
        <f>B23*C23</f>
        <v>5.964500000000001</v>
      </c>
      <c r="E23" s="73">
        <f t="shared" si="6"/>
        <v>755</v>
      </c>
      <c r="F23" s="78">
        <f>VLOOKUP($B$3,'Data for Bill Impacts'!$A$3:$Y$15,19,0)</f>
        <v>4.7000000000000002E-3</v>
      </c>
      <c r="G23" s="22">
        <f>E23*F23</f>
        <v>3.5485000000000002</v>
      </c>
      <c r="H23" s="22">
        <f t="shared" si="1"/>
        <v>-2.4160000000000008</v>
      </c>
      <c r="I23" s="23">
        <f t="shared" si="2"/>
        <v>-0.40506329113924056</v>
      </c>
      <c r="J23" s="23">
        <f t="shared" si="5"/>
        <v>2.4379218375563071E-2</v>
      </c>
      <c r="K23" s="108">
        <f t="shared" si="4"/>
        <v>2.384076102472717E-2</v>
      </c>
    </row>
    <row r="24" spans="1:11" x14ac:dyDescent="0.2">
      <c r="A24" s="107" t="s">
        <v>122</v>
      </c>
      <c r="B24" s="73">
        <f>IF($B$9="kWh",$B$4,$B$5)</f>
        <v>755</v>
      </c>
      <c r="C24" s="126">
        <f>VLOOKUP($B$3,'Data for Bill Impacts'!$A$3:$Y$15,14,0)</f>
        <v>2.0000000000000001E-4</v>
      </c>
      <c r="D24" s="22">
        <f>B24*C24</f>
        <v>0.151</v>
      </c>
      <c r="E24" s="73">
        <f>B24</f>
        <v>755</v>
      </c>
      <c r="F24" s="126">
        <f>VLOOKUP($B$3,'Data for Bill Impacts'!$A$3:$Y$15,23,0)</f>
        <v>2.0000000000000001E-4</v>
      </c>
      <c r="G24" s="22">
        <f>E24*F24</f>
        <v>0.151</v>
      </c>
      <c r="H24" s="22">
        <f>G24-D24</f>
        <v>0</v>
      </c>
      <c r="I24" s="23">
        <f>IF(ISERROR(H24/D24),0,(H24/D24))</f>
        <v>0</v>
      </c>
      <c r="J24" s="23">
        <f t="shared" si="5"/>
        <v>1.0374135478963009E-3</v>
      </c>
      <c r="K24" s="108">
        <f t="shared" si="4"/>
        <v>1.0145004691373264E-3</v>
      </c>
    </row>
    <row r="25" spans="1:11" s="1" customFormat="1" x14ac:dyDescent="0.2">
      <c r="A25" s="110" t="s">
        <v>72</v>
      </c>
      <c r="B25" s="74"/>
      <c r="C25" s="35"/>
      <c r="D25" s="35">
        <f>SUM(D19:D24)</f>
        <v>33.885500000000008</v>
      </c>
      <c r="E25" s="73"/>
      <c r="F25" s="35"/>
      <c r="G25" s="35">
        <f>SUM(G19:G24)</f>
        <v>35.009500000000003</v>
      </c>
      <c r="H25" s="35">
        <f t="shared" si="1"/>
        <v>1.1239999999999952</v>
      </c>
      <c r="I25" s="36">
        <f t="shared" si="2"/>
        <v>3.3170530167770725E-2</v>
      </c>
      <c r="J25" s="36">
        <f t="shared" si="5"/>
        <v>0.24052536162301688</v>
      </c>
      <c r="K25" s="111">
        <f t="shared" si="4"/>
        <v>0.23521294155141212</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5.4275278333647528E-3</v>
      </c>
      <c r="K26" s="108">
        <f t="shared" si="4"/>
        <v>5.3076514610495883E-3</v>
      </c>
    </row>
    <row r="27" spans="1:11" s="1" customFormat="1" x14ac:dyDescent="0.2">
      <c r="A27" s="119" t="s">
        <v>75</v>
      </c>
      <c r="B27" s="120">
        <f>B8-B4</f>
        <v>43.034999999999968</v>
      </c>
      <c r="C27" s="121">
        <f>IF(B4&gt;B7,C13,C12)</f>
        <v>0.121</v>
      </c>
      <c r="D27" s="22">
        <f>B27*C27</f>
        <v>5.2072349999999963</v>
      </c>
      <c r="E27" s="73">
        <f>B27</f>
        <v>43.034999999999968</v>
      </c>
      <c r="F27" s="121">
        <f>C27</f>
        <v>0.121</v>
      </c>
      <c r="G27" s="22">
        <f>E27*F27</f>
        <v>5.2072349999999963</v>
      </c>
      <c r="H27" s="22">
        <f t="shared" si="1"/>
        <v>0</v>
      </c>
      <c r="I27" s="23">
        <f>IF(ISERROR(H27/D27),0,(H27/D27))</f>
        <v>0</v>
      </c>
      <c r="J27" s="23">
        <f t="shared" ref="J27:J46" si="9">G27/$G$46</f>
        <v>3.5775206199203907E-2</v>
      </c>
      <c r="K27" s="108">
        <f t="shared" ref="K27:K41" si="10">G27/$G$51</f>
        <v>3.4985048678200674E-2</v>
      </c>
    </row>
    <row r="28" spans="1:11" s="1" customFormat="1" x14ac:dyDescent="0.2">
      <c r="A28" s="119" t="s">
        <v>74</v>
      </c>
      <c r="B28" s="120">
        <f>B8-B4</f>
        <v>43.034999999999968</v>
      </c>
      <c r="C28" s="121">
        <f>0.65*C15+0.17*C16+0.18*C17</f>
        <v>0.11139</v>
      </c>
      <c r="D28" s="22">
        <f>B28*C28</f>
        <v>4.7936686499999963</v>
      </c>
      <c r="E28" s="73">
        <f>B28</f>
        <v>43.034999999999968</v>
      </c>
      <c r="F28" s="121">
        <f>C28</f>
        <v>0.11139</v>
      </c>
      <c r="G28" s="22">
        <f>E28*F28</f>
        <v>4.7936686499999963</v>
      </c>
      <c r="H28" s="22">
        <f t="shared" si="1"/>
        <v>0</v>
      </c>
      <c r="I28" s="23">
        <f>IF(ISERROR(H28/D28),0,(H28/D28))</f>
        <v>0</v>
      </c>
      <c r="J28" s="23">
        <f t="shared" si="9"/>
        <v>3.2933886103548124E-2</v>
      </c>
      <c r="K28" s="108">
        <f t="shared" si="10"/>
        <v>3.2206484068303912E-2</v>
      </c>
    </row>
    <row r="29" spans="1:11" s="1" customFormat="1" x14ac:dyDescent="0.2">
      <c r="A29" s="110" t="s">
        <v>78</v>
      </c>
      <c r="B29" s="74"/>
      <c r="C29" s="35"/>
      <c r="D29" s="35">
        <f>SUM(D25,D26:D27)</f>
        <v>39.882735000000004</v>
      </c>
      <c r="E29" s="73"/>
      <c r="F29" s="35"/>
      <c r="G29" s="35">
        <f>SUM(G25,G26:G27)</f>
        <v>41.006734999999999</v>
      </c>
      <c r="H29" s="35">
        <f t="shared" si="1"/>
        <v>1.1239999999999952</v>
      </c>
      <c r="I29" s="36">
        <f>IF(ISERROR(H29/D29),0,(H29/D29))</f>
        <v>2.8182620875925261E-2</v>
      </c>
      <c r="J29" s="36">
        <f t="shared" si="9"/>
        <v>0.28172809565558554</v>
      </c>
      <c r="K29" s="111">
        <f t="shared" si="10"/>
        <v>0.27550564169066238</v>
      </c>
    </row>
    <row r="30" spans="1:11" s="1" customFormat="1" x14ac:dyDescent="0.2">
      <c r="A30" s="110" t="s">
        <v>77</v>
      </c>
      <c r="B30" s="74"/>
      <c r="C30" s="35"/>
      <c r="D30" s="35">
        <f>SUM(D25,D26,D28)</f>
        <v>39.46916865</v>
      </c>
      <c r="E30" s="73"/>
      <c r="F30" s="35"/>
      <c r="G30" s="35">
        <f>SUM(G25,G26,G28)</f>
        <v>40.593168649999996</v>
      </c>
      <c r="H30" s="35">
        <f t="shared" si="1"/>
        <v>1.1239999999999952</v>
      </c>
      <c r="I30" s="36">
        <f>IF(ISERROR(H30/D30),0,(H30/D30))</f>
        <v>2.8477924376043202E-2</v>
      </c>
      <c r="J30" s="36">
        <f t="shared" si="9"/>
        <v>0.27888677555992974</v>
      </c>
      <c r="K30" s="111">
        <f t="shared" si="10"/>
        <v>0.2727270770807656</v>
      </c>
    </row>
    <row r="31" spans="1:11" x14ac:dyDescent="0.2">
      <c r="A31" s="107" t="s">
        <v>40</v>
      </c>
      <c r="B31" s="73">
        <f>B8</f>
        <v>798.03499999999997</v>
      </c>
      <c r="C31" s="126">
        <f>VLOOKUP($B$3,'Data for Bill Impacts'!$A$3:$Y$15,15,0)</f>
        <v>7.8279999999999999E-3</v>
      </c>
      <c r="D31" s="22">
        <f>B31*C31</f>
        <v>6.2470179799999999</v>
      </c>
      <c r="E31" s="73">
        <f t="shared" si="6"/>
        <v>798.03499999999997</v>
      </c>
      <c r="F31" s="126">
        <f>VLOOKUP($B$3,'Data for Bill Impacts'!$A$3:$Y$15,24,0)</f>
        <v>7.8279999999999999E-3</v>
      </c>
      <c r="G31" s="22">
        <f>E31*F31</f>
        <v>6.2470179799999999</v>
      </c>
      <c r="H31" s="22">
        <f t="shared" si="1"/>
        <v>0</v>
      </c>
      <c r="I31" s="23">
        <f t="shared" si="2"/>
        <v>0</v>
      </c>
      <c r="J31" s="23">
        <f t="shared" si="9"/>
        <v>4.2918815141746905E-2</v>
      </c>
      <c r="K31" s="108">
        <f t="shared" si="10"/>
        <v>4.1970878618670944E-2</v>
      </c>
    </row>
    <row r="32" spans="1:11" x14ac:dyDescent="0.2">
      <c r="A32" s="107" t="s">
        <v>41</v>
      </c>
      <c r="B32" s="73">
        <f>B8</f>
        <v>798.03499999999997</v>
      </c>
      <c r="C32" s="126">
        <f>VLOOKUP($B$3,'Data for Bill Impacts'!$A$3:$Y$15,16,0)</f>
        <v>6.4380000000000001E-3</v>
      </c>
      <c r="D32" s="22">
        <f>B32*C32</f>
        <v>5.1377493300000001</v>
      </c>
      <c r="E32" s="73">
        <f t="shared" si="6"/>
        <v>798.03499999999997</v>
      </c>
      <c r="F32" s="126">
        <f>VLOOKUP($B$3,'Data for Bill Impacts'!$A$3:$Y$15,25,0)</f>
        <v>6.4380000000000001E-3</v>
      </c>
      <c r="G32" s="22">
        <f>E32*F32</f>
        <v>5.1377493300000001</v>
      </c>
      <c r="H32" s="22">
        <f t="shared" si="1"/>
        <v>0</v>
      </c>
      <c r="I32" s="23">
        <f t="shared" si="2"/>
        <v>0</v>
      </c>
      <c r="J32" s="23">
        <f t="shared" si="9"/>
        <v>3.5297819606868494E-2</v>
      </c>
      <c r="K32" s="108">
        <f t="shared" si="10"/>
        <v>3.451820599731778E-2</v>
      </c>
    </row>
    <row r="33" spans="1:11" s="1" customFormat="1" x14ac:dyDescent="0.2">
      <c r="A33" s="110" t="s">
        <v>76</v>
      </c>
      <c r="B33" s="74"/>
      <c r="C33" s="35"/>
      <c r="D33" s="35">
        <f>SUM(D31:D32)</f>
        <v>11.384767310000001</v>
      </c>
      <c r="E33" s="73"/>
      <c r="F33" s="35"/>
      <c r="G33" s="35">
        <f>SUM(G31:G32)</f>
        <v>11.384767310000001</v>
      </c>
      <c r="H33" s="35">
        <f t="shared" si="1"/>
        <v>0</v>
      </c>
      <c r="I33" s="36">
        <f t="shared" si="2"/>
        <v>0</v>
      </c>
      <c r="J33" s="36">
        <f t="shared" si="9"/>
        <v>7.8216634748615413E-2</v>
      </c>
      <c r="K33" s="111">
        <f t="shared" si="10"/>
        <v>7.6489084615988731E-2</v>
      </c>
    </row>
    <row r="34" spans="1:11" s="1" customFormat="1" x14ac:dyDescent="0.2">
      <c r="A34" s="110" t="s">
        <v>91</v>
      </c>
      <c r="B34" s="74"/>
      <c r="C34" s="35"/>
      <c r="D34" s="35">
        <f>D29+D33</f>
        <v>51.267502310000005</v>
      </c>
      <c r="E34" s="73"/>
      <c r="F34" s="35"/>
      <c r="G34" s="35">
        <f>G29+G33</f>
        <v>52.39150231</v>
      </c>
      <c r="H34" s="35">
        <f t="shared" si="1"/>
        <v>1.1239999999999952</v>
      </c>
      <c r="I34" s="36">
        <f t="shared" si="2"/>
        <v>2.1924220009851211E-2</v>
      </c>
      <c r="J34" s="36">
        <f t="shared" si="9"/>
        <v>0.35994473040420094</v>
      </c>
      <c r="K34" s="111">
        <f t="shared" si="10"/>
        <v>0.35199472630665113</v>
      </c>
    </row>
    <row r="35" spans="1:11" s="1" customFormat="1" x14ac:dyDescent="0.2">
      <c r="A35" s="110" t="s">
        <v>92</v>
      </c>
      <c r="B35" s="74"/>
      <c r="C35" s="35"/>
      <c r="D35" s="35">
        <f>D30+D33</f>
        <v>50.853935960000001</v>
      </c>
      <c r="E35" s="73"/>
      <c r="F35" s="35"/>
      <c r="G35" s="35">
        <f>G30+G33</f>
        <v>51.977935959999996</v>
      </c>
      <c r="H35" s="35">
        <f t="shared" si="1"/>
        <v>1.1239999999999952</v>
      </c>
      <c r="I35" s="36">
        <f t="shared" si="2"/>
        <v>2.2102517313194712E-2</v>
      </c>
      <c r="J35" s="36">
        <f t="shared" si="9"/>
        <v>0.35710341030854514</v>
      </c>
      <c r="K35" s="111">
        <f t="shared" si="10"/>
        <v>0.34921616169675435</v>
      </c>
    </row>
    <row r="36" spans="1:11" x14ac:dyDescent="0.2">
      <c r="A36" s="107" t="s">
        <v>42</v>
      </c>
      <c r="B36" s="73">
        <f>B8</f>
        <v>798.03499999999997</v>
      </c>
      <c r="C36" s="34">
        <v>3.5999999999999999E-3</v>
      </c>
      <c r="D36" s="22">
        <f>B36*C36</f>
        <v>2.8729259999999996</v>
      </c>
      <c r="E36" s="73">
        <f t="shared" si="6"/>
        <v>798.03499999999997</v>
      </c>
      <c r="F36" s="34">
        <v>3.5999999999999999E-3</v>
      </c>
      <c r="G36" s="22">
        <f>E36*F36</f>
        <v>2.8729259999999996</v>
      </c>
      <c r="H36" s="22">
        <f t="shared" si="1"/>
        <v>0</v>
      </c>
      <c r="I36" s="23">
        <f t="shared" si="2"/>
        <v>0</v>
      </c>
      <c r="J36" s="23">
        <f t="shared" si="9"/>
        <v>1.9737830162275018E-2</v>
      </c>
      <c r="K36" s="108">
        <f t="shared" si="10"/>
        <v>1.9301885925806769E-2</v>
      </c>
    </row>
    <row r="37" spans="1:11" x14ac:dyDescent="0.2">
      <c r="A37" s="107" t="s">
        <v>43</v>
      </c>
      <c r="B37" s="73">
        <f>B8</f>
        <v>798.03499999999997</v>
      </c>
      <c r="C37" s="34">
        <v>2.0999999999999999E-3</v>
      </c>
      <c r="D37" s="22">
        <f>B37*C37</f>
        <v>1.6758734999999998</v>
      </c>
      <c r="E37" s="73">
        <f t="shared" si="6"/>
        <v>798.03499999999997</v>
      </c>
      <c r="F37" s="34">
        <v>2.0999999999999999E-3</v>
      </c>
      <c r="G37" s="22">
        <f>E37*F37</f>
        <v>1.6758734999999998</v>
      </c>
      <c r="H37" s="22">
        <f>G37-D37</f>
        <v>0</v>
      </c>
      <c r="I37" s="23">
        <f t="shared" si="2"/>
        <v>0</v>
      </c>
      <c r="J37" s="23">
        <f t="shared" si="9"/>
        <v>1.1513734261327093E-2</v>
      </c>
      <c r="K37" s="108">
        <f t="shared" si="10"/>
        <v>1.1259433456720615E-2</v>
      </c>
    </row>
    <row r="38" spans="1:11" x14ac:dyDescent="0.2">
      <c r="A38" s="107" t="s">
        <v>96</v>
      </c>
      <c r="B38" s="73">
        <f>B8</f>
        <v>798.03499999999997</v>
      </c>
      <c r="C38" s="34">
        <v>1.1000000000000001E-3</v>
      </c>
      <c r="D38" s="22">
        <f>B38*C38</f>
        <v>0.87783849999999997</v>
      </c>
      <c r="E38" s="73">
        <f t="shared" si="6"/>
        <v>798.03499999999997</v>
      </c>
      <c r="F38" s="34">
        <v>1.1000000000000001E-3</v>
      </c>
      <c r="G38" s="22">
        <f>E38*F38</f>
        <v>0.87783849999999997</v>
      </c>
      <c r="H38" s="22">
        <f>G38-D38</f>
        <v>0</v>
      </c>
      <c r="I38" s="23">
        <f t="shared" si="2"/>
        <v>0</v>
      </c>
      <c r="J38" s="23">
        <f t="shared" si="9"/>
        <v>6.0310036606951445E-3</v>
      </c>
      <c r="K38" s="108">
        <f t="shared" si="10"/>
        <v>5.8977984773298468E-3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1.7175720991660611E-3</v>
      </c>
      <c r="K39" s="108">
        <f t="shared" si="10"/>
        <v>1.6796365383068318E-3</v>
      </c>
    </row>
    <row r="40" spans="1:11" s="1" customFormat="1" x14ac:dyDescent="0.2">
      <c r="A40" s="110" t="s">
        <v>45</v>
      </c>
      <c r="B40" s="74"/>
      <c r="C40" s="35"/>
      <c r="D40" s="35">
        <f>SUM(D36:D39)</f>
        <v>5.6766379999999996</v>
      </c>
      <c r="E40" s="73"/>
      <c r="F40" s="35"/>
      <c r="G40" s="35">
        <f>SUM(G36:G39)</f>
        <v>5.6766379999999996</v>
      </c>
      <c r="H40" s="35">
        <f t="shared" si="1"/>
        <v>0</v>
      </c>
      <c r="I40" s="36">
        <f t="shared" si="2"/>
        <v>0</v>
      </c>
      <c r="J40" s="36">
        <f t="shared" si="9"/>
        <v>3.9000140183463317E-2</v>
      </c>
      <c r="K40" s="111">
        <f t="shared" si="10"/>
        <v>3.8138754398164068E-2</v>
      </c>
    </row>
    <row r="41" spans="1:11" s="1" customFormat="1" ht="13.5" thickBot="1" x14ac:dyDescent="0.25">
      <c r="A41" s="112" t="s">
        <v>46</v>
      </c>
      <c r="B41" s="113">
        <f>B4</f>
        <v>755</v>
      </c>
      <c r="C41" s="114">
        <v>0</v>
      </c>
      <c r="D41" s="115">
        <f>B41*C41</f>
        <v>0</v>
      </c>
      <c r="E41" s="116">
        <f t="shared" si="6"/>
        <v>755</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137.49914031</v>
      </c>
      <c r="E42" s="38"/>
      <c r="F42" s="39"/>
      <c r="G42" s="39">
        <f>SUM(G14,G25,G26,G27,G33,G40,G41)</f>
        <v>138.62314031</v>
      </c>
      <c r="H42" s="39">
        <f t="shared" si="1"/>
        <v>1.1239999999999952</v>
      </c>
      <c r="I42" s="40">
        <f>IF(ISERROR(H42/D42),0,(H42/D42))</f>
        <v>8.1745965645012054E-3</v>
      </c>
      <c r="J42" s="40">
        <f t="shared" si="9"/>
        <v>0.95238095238095244</v>
      </c>
      <c r="K42" s="41"/>
    </row>
    <row r="43" spans="1:11" x14ac:dyDescent="0.2">
      <c r="A43" s="155" t="s">
        <v>102</v>
      </c>
      <c r="B43" s="43"/>
      <c r="C43" s="26">
        <v>0.13</v>
      </c>
      <c r="D43" s="26">
        <f>D42*C43</f>
        <v>17.874888240300002</v>
      </c>
      <c r="E43" s="26"/>
      <c r="F43" s="26">
        <f>C43</f>
        <v>0.13</v>
      </c>
      <c r="G43" s="26">
        <f>G42*F43</f>
        <v>18.021008240299999</v>
      </c>
      <c r="H43" s="26">
        <f t="shared" si="1"/>
        <v>0.14611999999999625</v>
      </c>
      <c r="I43" s="44">
        <f t="shared" si="2"/>
        <v>8.1745965645010302E-3</v>
      </c>
      <c r="J43" s="44">
        <f t="shared" si="9"/>
        <v>0.12380952380952381</v>
      </c>
      <c r="K43" s="45"/>
    </row>
    <row r="44" spans="1:11" s="1" customFormat="1" x14ac:dyDescent="0.2">
      <c r="A44" s="46" t="s">
        <v>103</v>
      </c>
      <c r="B44" s="24"/>
      <c r="C44" s="25"/>
      <c r="D44" s="25">
        <f>SUM(D42:D43)</f>
        <v>155.37402855030001</v>
      </c>
      <c r="E44" s="25"/>
      <c r="F44" s="25"/>
      <c r="G44" s="25">
        <f>SUM(G42:G43)</f>
        <v>156.6441485503</v>
      </c>
      <c r="H44" s="25">
        <f t="shared" si="1"/>
        <v>1.2701199999999915</v>
      </c>
      <c r="I44" s="27">
        <f t="shared" si="2"/>
        <v>8.1745965645011846E-3</v>
      </c>
      <c r="J44" s="27">
        <f t="shared" si="9"/>
        <v>1.0761904761904764</v>
      </c>
      <c r="K44" s="47"/>
    </row>
    <row r="45" spans="1:11" x14ac:dyDescent="0.2">
      <c r="A45" s="42" t="s">
        <v>104</v>
      </c>
      <c r="B45" s="43"/>
      <c r="C45" s="26">
        <v>-0.08</v>
      </c>
      <c r="D45" s="26">
        <f>D42*C45</f>
        <v>-10.999931224800001</v>
      </c>
      <c r="E45" s="26"/>
      <c r="F45" s="26">
        <f>C45</f>
        <v>-0.08</v>
      </c>
      <c r="G45" s="26">
        <f>G42*F45</f>
        <v>-11.0898512248</v>
      </c>
      <c r="H45" s="26">
        <f t="shared" si="1"/>
        <v>-8.9919999999999334E-2</v>
      </c>
      <c r="I45" s="44">
        <f t="shared" si="2"/>
        <v>8.1745965645011794E-3</v>
      </c>
      <c r="J45" s="44">
        <f t="shared" si="9"/>
        <v>-7.6190476190476197E-2</v>
      </c>
      <c r="K45" s="45"/>
    </row>
    <row r="46" spans="1:11" s="1" customFormat="1" ht="13.5" thickBot="1" x14ac:dyDescent="0.25">
      <c r="A46" s="48" t="s">
        <v>105</v>
      </c>
      <c r="B46" s="49"/>
      <c r="C46" s="50"/>
      <c r="D46" s="50">
        <f>SUM(D44:D45)</f>
        <v>144.3740973255</v>
      </c>
      <c r="E46" s="50"/>
      <c r="F46" s="50"/>
      <c r="G46" s="50">
        <f>SUM(G44:G45)</f>
        <v>145.55429732549999</v>
      </c>
      <c r="H46" s="50">
        <f t="shared" si="1"/>
        <v>1.180199999999985</v>
      </c>
      <c r="I46" s="51">
        <f t="shared" si="2"/>
        <v>8.1745965645011361E-3</v>
      </c>
      <c r="J46" s="51">
        <f t="shared" si="9"/>
        <v>1</v>
      </c>
      <c r="K46" s="52"/>
    </row>
    <row r="47" spans="1:11" x14ac:dyDescent="0.2">
      <c r="A47" s="53" t="s">
        <v>106</v>
      </c>
      <c r="B47" s="54"/>
      <c r="C47" s="55"/>
      <c r="D47" s="55">
        <f>SUM(D18,D25,D26,D28,D33,D40,D41)</f>
        <v>140.63002396000002</v>
      </c>
      <c r="E47" s="55"/>
      <c r="F47" s="55"/>
      <c r="G47" s="55">
        <f>SUM(G18,G25,G26,G28,G33,G40,G41)</f>
        <v>141.75402396000001</v>
      </c>
      <c r="H47" s="55">
        <f>G47-D47</f>
        <v>1.1239999999999952</v>
      </c>
      <c r="I47" s="56">
        <f>IF(ISERROR(H47/D47),0,(H47/D47))</f>
        <v>7.9926033456390461E-3</v>
      </c>
      <c r="J47" s="56"/>
      <c r="K47" s="57">
        <f>G47/$G$51</f>
        <v>0.95238095238095244</v>
      </c>
    </row>
    <row r="48" spans="1:11" x14ac:dyDescent="0.2">
      <c r="A48" s="156" t="s">
        <v>102</v>
      </c>
      <c r="B48" s="59"/>
      <c r="C48" s="31">
        <v>0.13</v>
      </c>
      <c r="D48" s="31">
        <f>D47*C48</f>
        <v>18.281903114800002</v>
      </c>
      <c r="E48" s="31"/>
      <c r="F48" s="31">
        <f>C48</f>
        <v>0.13</v>
      </c>
      <c r="G48" s="31">
        <f>G47*F48</f>
        <v>18.428023114800002</v>
      </c>
      <c r="H48" s="31">
        <f>G48-D48</f>
        <v>0.14611999999999981</v>
      </c>
      <c r="I48" s="32">
        <f>IF(ISERROR(H48/D48),0,(H48/D48))</f>
        <v>7.9926033456390686E-3</v>
      </c>
      <c r="J48" s="32"/>
      <c r="K48" s="60">
        <f>G48/$G$51</f>
        <v>0.12380952380952381</v>
      </c>
    </row>
    <row r="49" spans="1:11" x14ac:dyDescent="0.2">
      <c r="A49" s="61" t="s">
        <v>107</v>
      </c>
      <c r="B49" s="29"/>
      <c r="C49" s="30"/>
      <c r="D49" s="30">
        <f>SUM(D47:D48)</f>
        <v>158.91192707480002</v>
      </c>
      <c r="E49" s="30"/>
      <c r="F49" s="30"/>
      <c r="G49" s="30">
        <f>SUM(G47:G48)</f>
        <v>160.18204707480001</v>
      </c>
      <c r="H49" s="30">
        <f>G49-D49</f>
        <v>1.2701199999999915</v>
      </c>
      <c r="I49" s="33">
        <f>IF(ISERROR(H49/D49),0,(H49/D49))</f>
        <v>7.9926033456390252E-3</v>
      </c>
      <c r="J49" s="33"/>
      <c r="K49" s="62">
        <f>G49/$G$51</f>
        <v>1.0761904761904761</v>
      </c>
    </row>
    <row r="50" spans="1:11" x14ac:dyDescent="0.2">
      <c r="A50" s="58" t="s">
        <v>104</v>
      </c>
      <c r="B50" s="59"/>
      <c r="C50" s="31">
        <v>-0.08</v>
      </c>
      <c r="D50" s="31">
        <f>D47*C50</f>
        <v>-11.250401916800001</v>
      </c>
      <c r="E50" s="31"/>
      <c r="F50" s="31">
        <f>C50</f>
        <v>-0.08</v>
      </c>
      <c r="G50" s="31">
        <f>G47*F50</f>
        <v>-11.340321916800001</v>
      </c>
      <c r="H50" s="31">
        <f>G50-D50</f>
        <v>-8.9919999999999334E-2</v>
      </c>
      <c r="I50" s="32">
        <f>IF(ISERROR(H50/D50),0,(H50/D50))</f>
        <v>7.99260334563902E-3</v>
      </c>
      <c r="J50" s="32"/>
      <c r="K50" s="60">
        <f>G50/$G$51</f>
        <v>-7.6190476190476197E-2</v>
      </c>
    </row>
    <row r="51" spans="1:11" ht="13.5" thickBot="1" x14ac:dyDescent="0.25">
      <c r="A51" s="63" t="s">
        <v>116</v>
      </c>
      <c r="B51" s="64"/>
      <c r="C51" s="65"/>
      <c r="D51" s="65">
        <f>SUM(D49:D50)</f>
        <v>147.66152515800002</v>
      </c>
      <c r="E51" s="65"/>
      <c r="F51" s="65"/>
      <c r="G51" s="65">
        <f>SUM(G49:G50)</f>
        <v>148.841725158</v>
      </c>
      <c r="H51" s="65">
        <f>G51-D51</f>
        <v>1.180199999999985</v>
      </c>
      <c r="I51" s="66">
        <f>IF(ISERROR(H51/D51),0,(H51/D51))</f>
        <v>7.9926033456389784E-3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1" tint="0.499984740745262"/>
    <pageSetUpPr fitToPage="1"/>
  </sheetPr>
  <dimension ref="A1:K68"/>
  <sheetViews>
    <sheetView tabSelected="1" view="pageBreakPreview" zoomScaleNormal="100" zoomScaleSheetLayoutView="100" workbookViewId="0">
      <selection activeCell="E1" sqref="E1:E1048576"/>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121</v>
      </c>
      <c r="B1" s="188"/>
      <c r="C1" s="188"/>
      <c r="D1" s="188"/>
      <c r="E1" s="188"/>
      <c r="F1" s="188"/>
      <c r="G1" s="188"/>
      <c r="H1" s="188"/>
      <c r="I1" s="188"/>
      <c r="J1" s="188"/>
      <c r="K1" s="189"/>
    </row>
    <row r="3" spans="1:11" ht="12" customHeight="1" x14ac:dyDescent="0.2">
      <c r="A3" s="13" t="s">
        <v>13</v>
      </c>
      <c r="B3" s="13" t="s">
        <v>0</v>
      </c>
    </row>
    <row r="4" spans="1:11" x14ac:dyDescent="0.2">
      <c r="A4" s="15" t="s">
        <v>62</v>
      </c>
      <c r="B4" s="15">
        <v>1400</v>
      </c>
    </row>
    <row r="5" spans="1:11" x14ac:dyDescent="0.2">
      <c r="A5" s="15" t="s">
        <v>16</v>
      </c>
      <c r="B5" s="15">
        <f>VLOOKUP($B$3,'Data for Bill Impacts'!$A$3:$Y$15,5,0)</f>
        <v>0</v>
      </c>
    </row>
    <row r="6" spans="1:11" x14ac:dyDescent="0.2">
      <c r="A6" s="15" t="s">
        <v>20</v>
      </c>
      <c r="B6" s="15">
        <f>VLOOKUP($B$3,'Data for Bill Impacts'!$A$3:$Y$15,2,0)</f>
        <v>1.0569999999999999</v>
      </c>
    </row>
    <row r="7" spans="1:11" x14ac:dyDescent="0.2">
      <c r="A7" s="15" t="s">
        <v>15</v>
      </c>
      <c r="B7" s="15">
        <f>VLOOKUP($B$3,'Data for Bill Impacts'!$A$3:$Y$15,4,0)</f>
        <v>600</v>
      </c>
    </row>
    <row r="8" spans="1:11" x14ac:dyDescent="0.2">
      <c r="A8" s="15" t="s">
        <v>82</v>
      </c>
      <c r="B8" s="169">
        <f>B4*B6</f>
        <v>1479.8</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0.24663645529245679</v>
      </c>
      <c r="K12" s="106"/>
    </row>
    <row r="13" spans="1:11" x14ac:dyDescent="0.2">
      <c r="A13" s="107" t="s">
        <v>32</v>
      </c>
      <c r="B13" s="73">
        <f>IF(B4&gt;B7,(B4)-B7,0)</f>
        <v>800</v>
      </c>
      <c r="C13" s="21">
        <v>0.121</v>
      </c>
      <c r="D13" s="22">
        <f>B13*C13</f>
        <v>96.8</v>
      </c>
      <c r="E13" s="73">
        <f t="shared" ref="E13" si="0">B13</f>
        <v>800</v>
      </c>
      <c r="F13" s="21">
        <f>C13</f>
        <v>0.121</v>
      </c>
      <c r="G13" s="22">
        <f>E13*F13</f>
        <v>96.8</v>
      </c>
      <c r="H13" s="22">
        <f t="shared" ref="H13:H46" si="1">G13-D13</f>
        <v>0</v>
      </c>
      <c r="I13" s="23">
        <f t="shared" ref="I13:I46" si="2">IF(ISERROR(H13/D13),0,(H13/D13))</f>
        <v>0</v>
      </c>
      <c r="J13" s="23">
        <f>G13/$G$46</f>
        <v>0.38631729566844364</v>
      </c>
      <c r="K13" s="108"/>
    </row>
    <row r="14" spans="1:11" s="1" customFormat="1" x14ac:dyDescent="0.2">
      <c r="A14" s="46" t="s">
        <v>33</v>
      </c>
      <c r="B14" s="24"/>
      <c r="C14" s="25"/>
      <c r="D14" s="25">
        <f>SUM(D12:D13)</f>
        <v>158.6</v>
      </c>
      <c r="E14" s="76"/>
      <c r="F14" s="25"/>
      <c r="G14" s="25">
        <f>SUM(G12:G13)</f>
        <v>158.6</v>
      </c>
      <c r="H14" s="25">
        <f t="shared" si="1"/>
        <v>0</v>
      </c>
      <c r="I14" s="27">
        <f t="shared" si="2"/>
        <v>0</v>
      </c>
      <c r="J14" s="27">
        <f>G14/$G$46</f>
        <v>0.63295375096090045</v>
      </c>
      <c r="K14" s="108"/>
    </row>
    <row r="15" spans="1:11" s="1" customFormat="1" x14ac:dyDescent="0.2">
      <c r="A15" s="109" t="s">
        <v>34</v>
      </c>
      <c r="B15" s="75">
        <f>B4*0.65</f>
        <v>910</v>
      </c>
      <c r="C15" s="28">
        <v>8.6999999999999994E-2</v>
      </c>
      <c r="D15" s="22">
        <f>B15*C15</f>
        <v>79.169999999999987</v>
      </c>
      <c r="E15" s="73">
        <f t="shared" ref="E15:F17" si="3">B15</f>
        <v>910</v>
      </c>
      <c r="F15" s="28">
        <f t="shared" si="3"/>
        <v>8.6999999999999994E-2</v>
      </c>
      <c r="G15" s="22">
        <f>E15*F15</f>
        <v>79.169999999999987</v>
      </c>
      <c r="H15" s="22">
        <f t="shared" si="1"/>
        <v>0</v>
      </c>
      <c r="I15" s="23">
        <f t="shared" si="2"/>
        <v>0</v>
      </c>
      <c r="J15" s="23"/>
      <c r="K15" s="108">
        <f t="shared" ref="K15:K26" si="4">G15/$G$51</f>
        <v>0.32055316926820138</v>
      </c>
    </row>
    <row r="16" spans="1:11" s="1" customFormat="1" x14ac:dyDescent="0.2">
      <c r="A16" s="109" t="s">
        <v>35</v>
      </c>
      <c r="B16" s="75">
        <f>B4*0.17</f>
        <v>238.00000000000003</v>
      </c>
      <c r="C16" s="28">
        <v>0.13200000000000001</v>
      </c>
      <c r="D16" s="22">
        <f>B16*C16</f>
        <v>31.416000000000004</v>
      </c>
      <c r="E16" s="73">
        <f t="shared" si="3"/>
        <v>238.00000000000003</v>
      </c>
      <c r="F16" s="28">
        <f t="shared" si="3"/>
        <v>0.13200000000000001</v>
      </c>
      <c r="G16" s="22">
        <f>E16*F16</f>
        <v>31.416000000000004</v>
      </c>
      <c r="H16" s="22">
        <f t="shared" si="1"/>
        <v>0</v>
      </c>
      <c r="I16" s="23">
        <f t="shared" si="2"/>
        <v>0</v>
      </c>
      <c r="J16" s="23"/>
      <c r="K16" s="108">
        <f t="shared" si="4"/>
        <v>0.12720093931703697</v>
      </c>
    </row>
    <row r="17" spans="1:11" s="1" customFormat="1" x14ac:dyDescent="0.2">
      <c r="A17" s="109" t="s">
        <v>36</v>
      </c>
      <c r="B17" s="75">
        <f>B4*0.18</f>
        <v>252</v>
      </c>
      <c r="C17" s="28">
        <v>0.18</v>
      </c>
      <c r="D17" s="22">
        <f>B17*C17</f>
        <v>45.36</v>
      </c>
      <c r="E17" s="73">
        <f t="shared" si="3"/>
        <v>252</v>
      </c>
      <c r="F17" s="28">
        <f t="shared" si="3"/>
        <v>0.18</v>
      </c>
      <c r="G17" s="22">
        <f>E17*F17</f>
        <v>45.36</v>
      </c>
      <c r="H17" s="22">
        <f t="shared" si="1"/>
        <v>0</v>
      </c>
      <c r="I17" s="23">
        <f t="shared" si="2"/>
        <v>0</v>
      </c>
      <c r="J17" s="23"/>
      <c r="K17" s="108">
        <f t="shared" si="4"/>
        <v>0.18365911024385015</v>
      </c>
    </row>
    <row r="18" spans="1:11" s="1" customFormat="1" x14ac:dyDescent="0.2">
      <c r="A18" s="61" t="s">
        <v>37</v>
      </c>
      <c r="B18" s="29"/>
      <c r="C18" s="30"/>
      <c r="D18" s="30">
        <f>SUM(D15:D17)</f>
        <v>155.94599999999997</v>
      </c>
      <c r="E18" s="77"/>
      <c r="F18" s="30"/>
      <c r="G18" s="30">
        <f>SUM(G15:G17)</f>
        <v>155.94599999999997</v>
      </c>
      <c r="H18" s="31">
        <f t="shared" si="1"/>
        <v>0</v>
      </c>
      <c r="I18" s="32">
        <f t="shared" si="2"/>
        <v>0</v>
      </c>
      <c r="J18" s="33">
        <f t="shared" ref="J18:J26" si="5">G18/$G$46</f>
        <v>0.62236195237924696</v>
      </c>
      <c r="K18" s="62">
        <f t="shared" si="4"/>
        <v>0.63141321882908841</v>
      </c>
    </row>
    <row r="19" spans="1:11" x14ac:dyDescent="0.2">
      <c r="A19" s="107" t="s">
        <v>38</v>
      </c>
      <c r="B19" s="73">
        <v>1</v>
      </c>
      <c r="C19" s="78">
        <f>VLOOKUP($B$3,'Data for Bill Impacts'!$A$3:$Y$15,7,0)</f>
        <v>27.76</v>
      </c>
      <c r="D19" s="22">
        <f>B19*C19</f>
        <v>27.76</v>
      </c>
      <c r="E19" s="73">
        <f t="shared" ref="E19:E41" si="6">B19</f>
        <v>1</v>
      </c>
      <c r="F19" s="78">
        <f>VLOOKUP($B$3,'Data for Bill Impacts'!$A$3:$Y$15,17,0)</f>
        <v>31.3</v>
      </c>
      <c r="G19" s="22">
        <f>E19*F19</f>
        <v>31.3</v>
      </c>
      <c r="H19" s="22">
        <f t="shared" si="1"/>
        <v>3.5399999999999991</v>
      </c>
      <c r="I19" s="23">
        <f t="shared" si="2"/>
        <v>0.12752161383285299</v>
      </c>
      <c r="J19" s="23">
        <f t="shared" si="5"/>
        <v>0.12491458010766825</v>
      </c>
      <c r="K19" s="108">
        <f t="shared" si="4"/>
        <v>0.12673126434375021</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0.01</v>
      </c>
      <c r="D22" s="22">
        <f t="shared" si="8"/>
        <v>0.01</v>
      </c>
      <c r="E22" s="73">
        <f t="shared" si="6"/>
        <v>1</v>
      </c>
      <c r="F22" s="122">
        <f>VLOOKUP($B$3,'Data for Bill Impacts'!$A$3:$Y$15,22,0)</f>
        <v>0.01</v>
      </c>
      <c r="G22" s="22">
        <f t="shared" si="7"/>
        <v>0.01</v>
      </c>
      <c r="H22" s="22">
        <f t="shared" si="1"/>
        <v>0</v>
      </c>
      <c r="I22" s="23">
        <f t="shared" si="2"/>
        <v>0</v>
      </c>
      <c r="J22" s="23">
        <f>G22/$G$46</f>
        <v>3.9908811535996245E-5</v>
      </c>
      <c r="K22" s="108">
        <f t="shared" si="4"/>
        <v>4.0489221835063968E-5</v>
      </c>
    </row>
    <row r="23" spans="1:11" x14ac:dyDescent="0.2">
      <c r="A23" s="107" t="s">
        <v>39</v>
      </c>
      <c r="B23" s="73">
        <f>IF($B$9="kWh",$B$4,$B$5)</f>
        <v>1400</v>
      </c>
      <c r="C23" s="78">
        <f>VLOOKUP($B$3,'Data for Bill Impacts'!$A$3:$Y$15,10,0)</f>
        <v>7.9000000000000008E-3</v>
      </c>
      <c r="D23" s="22">
        <f>B23*C23</f>
        <v>11.06</v>
      </c>
      <c r="E23" s="73">
        <f t="shared" si="6"/>
        <v>1400</v>
      </c>
      <c r="F23" s="78">
        <f>VLOOKUP($B$3,'Data for Bill Impacts'!$A$3:$Y$15,19,0)</f>
        <v>4.7000000000000002E-3</v>
      </c>
      <c r="G23" s="22">
        <f>E23*F23</f>
        <v>6.58</v>
      </c>
      <c r="H23" s="22">
        <f t="shared" si="1"/>
        <v>-4.4800000000000004</v>
      </c>
      <c r="I23" s="23">
        <f t="shared" si="2"/>
        <v>-0.4050632911392405</v>
      </c>
      <c r="J23" s="23">
        <f t="shared" si="5"/>
        <v>2.625999799068553E-2</v>
      </c>
      <c r="K23" s="108">
        <f t="shared" si="4"/>
        <v>2.6641907967472088E-2</v>
      </c>
    </row>
    <row r="24" spans="1:11" x14ac:dyDescent="0.2">
      <c r="A24" s="107" t="s">
        <v>122</v>
      </c>
      <c r="B24" s="73">
        <f>IF($B$9="kWh",$B$4,$B$5)</f>
        <v>1400</v>
      </c>
      <c r="C24" s="126">
        <f>VLOOKUP($B$3,'Data for Bill Impacts'!$A$3:$Y$15,14,0)</f>
        <v>2.0000000000000001E-4</v>
      </c>
      <c r="D24" s="22">
        <f>B24*C24</f>
        <v>0.28000000000000003</v>
      </c>
      <c r="E24" s="73">
        <f>B24</f>
        <v>1400</v>
      </c>
      <c r="F24" s="126">
        <f>VLOOKUP($B$3,'Data for Bill Impacts'!$A$3:$Y$15,23,0)</f>
        <v>2.0000000000000001E-4</v>
      </c>
      <c r="G24" s="22">
        <f>E24*F24</f>
        <v>0.28000000000000003</v>
      </c>
      <c r="H24" s="22">
        <f>G24-D24</f>
        <v>0</v>
      </c>
      <c r="I24" s="23">
        <f>IF(ISERROR(H24/D24),0,(H24/D24))</f>
        <v>0</v>
      </c>
      <c r="J24" s="23">
        <f t="shared" si="5"/>
        <v>1.1174467230078949E-3</v>
      </c>
      <c r="K24" s="108">
        <f t="shared" si="4"/>
        <v>1.133698211381791E-3</v>
      </c>
    </row>
    <row r="25" spans="1:11" s="1" customFormat="1" x14ac:dyDescent="0.2">
      <c r="A25" s="110" t="s">
        <v>72</v>
      </c>
      <c r="B25" s="74"/>
      <c r="C25" s="35"/>
      <c r="D25" s="35">
        <f>SUM(D19:D24)</f>
        <v>39.110000000000007</v>
      </c>
      <c r="E25" s="73"/>
      <c r="F25" s="35"/>
      <c r="G25" s="35">
        <f>SUM(G19:G24)</f>
        <v>38.17</v>
      </c>
      <c r="H25" s="35">
        <f t="shared" si="1"/>
        <v>-0.94000000000000483</v>
      </c>
      <c r="I25" s="36">
        <f t="shared" si="2"/>
        <v>-2.4034773715162484E-2</v>
      </c>
      <c r="J25" s="36">
        <f t="shared" si="5"/>
        <v>0.15233193363289768</v>
      </c>
      <c r="K25" s="111">
        <f t="shared" si="4"/>
        <v>0.15454735974443917</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3.1527961113437036E-3</v>
      </c>
      <c r="K26" s="108">
        <f t="shared" si="4"/>
        <v>3.1986485249700532E-3</v>
      </c>
    </row>
    <row r="27" spans="1:11" s="1" customFormat="1" x14ac:dyDescent="0.2">
      <c r="A27" s="119" t="s">
        <v>75</v>
      </c>
      <c r="B27" s="120">
        <f>B8-B4</f>
        <v>79.799999999999955</v>
      </c>
      <c r="C27" s="121">
        <f>IF(B4&gt;B7,C13,C12)</f>
        <v>0.121</v>
      </c>
      <c r="D27" s="22">
        <f>B27*C27</f>
        <v>9.6557999999999939</v>
      </c>
      <c r="E27" s="73">
        <f>B27</f>
        <v>79.799999999999955</v>
      </c>
      <c r="F27" s="121">
        <f>C27</f>
        <v>0.121</v>
      </c>
      <c r="G27" s="22">
        <f>E27*F27</f>
        <v>9.6557999999999939</v>
      </c>
      <c r="H27" s="22">
        <f t="shared" si="1"/>
        <v>0</v>
      </c>
      <c r="I27" s="23">
        <f>IF(ISERROR(H27/D27),0,(H27/D27))</f>
        <v>0</v>
      </c>
      <c r="J27" s="23">
        <f t="shared" ref="J27:J46" si="9">G27/$G$46</f>
        <v>3.8535150242927231E-2</v>
      </c>
      <c r="K27" s="108">
        <f t="shared" ref="K27:K41" si="10">G27/$G$51</f>
        <v>3.909558281950104E-2</v>
      </c>
    </row>
    <row r="28" spans="1:11" s="1" customFormat="1" x14ac:dyDescent="0.2">
      <c r="A28" s="119" t="s">
        <v>74</v>
      </c>
      <c r="B28" s="120">
        <f>B8-B4</f>
        <v>79.799999999999955</v>
      </c>
      <c r="C28" s="121">
        <f>0.65*C15+0.17*C16+0.18*C17</f>
        <v>0.11139</v>
      </c>
      <c r="D28" s="22">
        <f>B28*C28</f>
        <v>8.8889219999999955</v>
      </c>
      <c r="E28" s="73">
        <f>B28</f>
        <v>79.799999999999955</v>
      </c>
      <c r="F28" s="121">
        <f>C28</f>
        <v>0.11139</v>
      </c>
      <c r="G28" s="22">
        <f>E28*F28</f>
        <v>8.8889219999999955</v>
      </c>
      <c r="H28" s="22">
        <f t="shared" si="1"/>
        <v>0</v>
      </c>
      <c r="I28" s="23">
        <f>IF(ISERROR(H28/D28),0,(H28/D28))</f>
        <v>0</v>
      </c>
      <c r="J28" s="23">
        <f t="shared" si="9"/>
        <v>3.5474631285617064E-2</v>
      </c>
      <c r="K28" s="108">
        <f t="shared" si="10"/>
        <v>3.5990553473258025E-2</v>
      </c>
    </row>
    <row r="29" spans="1:11" s="1" customFormat="1" x14ac:dyDescent="0.2">
      <c r="A29" s="110" t="s">
        <v>78</v>
      </c>
      <c r="B29" s="74"/>
      <c r="C29" s="35"/>
      <c r="D29" s="35">
        <f>SUM(D25,D26:D27)</f>
        <v>49.555799999999998</v>
      </c>
      <c r="E29" s="73"/>
      <c r="F29" s="35"/>
      <c r="G29" s="35">
        <f>SUM(G25,G26:G27)</f>
        <v>48.615799999999993</v>
      </c>
      <c r="H29" s="35">
        <f t="shared" si="1"/>
        <v>-0.94000000000000483</v>
      </c>
      <c r="I29" s="36">
        <f>IF(ISERROR(H29/D29),0,(H29/D29))</f>
        <v>-1.8968516298798626E-2</v>
      </c>
      <c r="J29" s="36">
        <f t="shared" si="9"/>
        <v>0.1940198799871686</v>
      </c>
      <c r="K29" s="111">
        <f t="shared" si="10"/>
        <v>0.19684159108891025</v>
      </c>
    </row>
    <row r="30" spans="1:11" s="1" customFormat="1" x14ac:dyDescent="0.2">
      <c r="A30" s="110" t="s">
        <v>77</v>
      </c>
      <c r="B30" s="74"/>
      <c r="C30" s="35"/>
      <c r="D30" s="35">
        <f>SUM(D25,D26,D28)</f>
        <v>48.788921999999999</v>
      </c>
      <c r="E30" s="73"/>
      <c r="F30" s="35"/>
      <c r="G30" s="35">
        <f>SUM(G25,G26,G28)</f>
        <v>47.848921999999995</v>
      </c>
      <c r="H30" s="35">
        <f t="shared" si="1"/>
        <v>-0.94000000000000483</v>
      </c>
      <c r="I30" s="36">
        <f>IF(ISERROR(H30/D30),0,(H30/D30))</f>
        <v>-1.9266668773702457E-2</v>
      </c>
      <c r="J30" s="36">
        <f t="shared" si="9"/>
        <v>0.19095936102985842</v>
      </c>
      <c r="K30" s="111">
        <f t="shared" si="10"/>
        <v>0.19373656174266723</v>
      </c>
    </row>
    <row r="31" spans="1:11" x14ac:dyDescent="0.2">
      <c r="A31" s="107" t="s">
        <v>40</v>
      </c>
      <c r="B31" s="73">
        <f>B8</f>
        <v>1479.8</v>
      </c>
      <c r="C31" s="126">
        <f>VLOOKUP($B$3,'Data for Bill Impacts'!$A$3:$Y$15,15,0)</f>
        <v>7.8279999999999999E-3</v>
      </c>
      <c r="D31" s="22">
        <f>B31*C31</f>
        <v>11.583874399999999</v>
      </c>
      <c r="E31" s="73">
        <f t="shared" si="6"/>
        <v>1479.8</v>
      </c>
      <c r="F31" s="126">
        <f>VLOOKUP($B$3,'Data for Bill Impacts'!$A$3:$Y$15,24,0)</f>
        <v>7.8279999999999999E-3</v>
      </c>
      <c r="G31" s="22">
        <f>E31*F31</f>
        <v>11.583874399999999</v>
      </c>
      <c r="H31" s="22">
        <f t="shared" si="1"/>
        <v>0</v>
      </c>
      <c r="I31" s="23">
        <f t="shared" si="2"/>
        <v>0</v>
      </c>
      <c r="J31" s="23">
        <f t="shared" si="9"/>
        <v>4.6229866028625152E-2</v>
      </c>
      <c r="K31" s="108">
        <f t="shared" si="10"/>
        <v>4.6902206029111847E-2</v>
      </c>
    </row>
    <row r="32" spans="1:11" x14ac:dyDescent="0.2">
      <c r="A32" s="107" t="s">
        <v>41</v>
      </c>
      <c r="B32" s="73">
        <f>B8</f>
        <v>1479.8</v>
      </c>
      <c r="C32" s="126">
        <f>VLOOKUP($B$3,'Data for Bill Impacts'!$A$3:$Y$15,16,0)</f>
        <v>6.4380000000000001E-3</v>
      </c>
      <c r="D32" s="22">
        <f>B32*C32</f>
        <v>9.5269524000000008</v>
      </c>
      <c r="E32" s="73">
        <f t="shared" si="6"/>
        <v>1479.8</v>
      </c>
      <c r="F32" s="126">
        <f>VLOOKUP($B$3,'Data for Bill Impacts'!$A$3:$Y$15,25,0)</f>
        <v>6.4380000000000001E-3</v>
      </c>
      <c r="G32" s="22">
        <f>E32*F32</f>
        <v>9.5269524000000008</v>
      </c>
      <c r="H32" s="22">
        <f t="shared" si="1"/>
        <v>0</v>
      </c>
      <c r="I32" s="23">
        <f t="shared" si="2"/>
        <v>0</v>
      </c>
      <c r="J32" s="23">
        <f t="shared" si="9"/>
        <v>3.802093478440071E-2</v>
      </c>
      <c r="K32" s="108">
        <f t="shared" si="10"/>
        <v>3.8573888913569505E-2</v>
      </c>
    </row>
    <row r="33" spans="1:11" s="1" customFormat="1" x14ac:dyDescent="0.2">
      <c r="A33" s="110" t="s">
        <v>76</v>
      </c>
      <c r="B33" s="74"/>
      <c r="C33" s="35"/>
      <c r="D33" s="35">
        <f>SUM(D31:D32)</f>
        <v>21.110826799999998</v>
      </c>
      <c r="E33" s="73"/>
      <c r="F33" s="35"/>
      <c r="G33" s="35">
        <f>SUM(G31:G32)</f>
        <v>21.110826799999998</v>
      </c>
      <c r="H33" s="35">
        <f t="shared" si="1"/>
        <v>0</v>
      </c>
      <c r="I33" s="36">
        <f t="shared" si="2"/>
        <v>0</v>
      </c>
      <c r="J33" s="36">
        <f t="shared" si="9"/>
        <v>8.4250800813025856E-2</v>
      </c>
      <c r="K33" s="111">
        <f t="shared" si="10"/>
        <v>8.5476094942681338E-2</v>
      </c>
    </row>
    <row r="34" spans="1:11" s="1" customFormat="1" x14ac:dyDescent="0.2">
      <c r="A34" s="110" t="s">
        <v>91</v>
      </c>
      <c r="B34" s="74"/>
      <c r="C34" s="35"/>
      <c r="D34" s="35">
        <f>D29+D33</f>
        <v>70.666626799999989</v>
      </c>
      <c r="E34" s="73"/>
      <c r="F34" s="35"/>
      <c r="G34" s="35">
        <f>G29+G33</f>
        <v>69.726626799999991</v>
      </c>
      <c r="H34" s="35">
        <f t="shared" si="1"/>
        <v>-0.93999999999999773</v>
      </c>
      <c r="I34" s="36">
        <f t="shared" si="2"/>
        <v>-1.3301894296729016E-2</v>
      </c>
      <c r="J34" s="36">
        <f t="shared" si="9"/>
        <v>0.27827068080019446</v>
      </c>
      <c r="K34" s="111">
        <f t="shared" si="10"/>
        <v>0.28231768603159157</v>
      </c>
    </row>
    <row r="35" spans="1:11" s="1" customFormat="1" x14ac:dyDescent="0.2">
      <c r="A35" s="110" t="s">
        <v>92</v>
      </c>
      <c r="B35" s="74"/>
      <c r="C35" s="35"/>
      <c r="D35" s="35">
        <f>D30+D33</f>
        <v>69.899748799999998</v>
      </c>
      <c r="E35" s="73"/>
      <c r="F35" s="35"/>
      <c r="G35" s="35">
        <f>G30+G33</f>
        <v>68.9597488</v>
      </c>
      <c r="H35" s="35">
        <f t="shared" si="1"/>
        <v>-0.93999999999999773</v>
      </c>
      <c r="I35" s="36">
        <f t="shared" si="2"/>
        <v>-1.3447830874035956E-2</v>
      </c>
      <c r="J35" s="36">
        <f t="shared" si="9"/>
        <v>0.27521016184288433</v>
      </c>
      <c r="K35" s="111">
        <f t="shared" si="10"/>
        <v>0.27921265668534861</v>
      </c>
    </row>
    <row r="36" spans="1:11" x14ac:dyDescent="0.2">
      <c r="A36" s="107" t="s">
        <v>42</v>
      </c>
      <c r="B36" s="73">
        <f>B8</f>
        <v>1479.8</v>
      </c>
      <c r="C36" s="34">
        <v>3.5999999999999999E-3</v>
      </c>
      <c r="D36" s="22">
        <f>B36*C36</f>
        <v>5.32728</v>
      </c>
      <c r="E36" s="73">
        <f t="shared" si="6"/>
        <v>1479.8</v>
      </c>
      <c r="F36" s="34">
        <v>3.5999999999999999E-3</v>
      </c>
      <c r="G36" s="22">
        <f>E36*F36</f>
        <v>5.32728</v>
      </c>
      <c r="H36" s="22">
        <f t="shared" si="1"/>
        <v>0</v>
      </c>
      <c r="I36" s="23">
        <f t="shared" si="2"/>
        <v>0</v>
      </c>
      <c r="J36" s="23">
        <f t="shared" si="9"/>
        <v>2.1260541351948208E-2</v>
      </c>
      <c r="K36" s="108">
        <f t="shared" si="10"/>
        <v>2.1569742169749957E-2</v>
      </c>
    </row>
    <row r="37" spans="1:11" x14ac:dyDescent="0.2">
      <c r="A37" s="107" t="s">
        <v>43</v>
      </c>
      <c r="B37" s="73">
        <f>B8</f>
        <v>1479.8</v>
      </c>
      <c r="C37" s="34">
        <v>2.0999999999999999E-3</v>
      </c>
      <c r="D37" s="22">
        <f>B37*C37</f>
        <v>3.1075799999999996</v>
      </c>
      <c r="E37" s="73">
        <f t="shared" si="6"/>
        <v>1479.8</v>
      </c>
      <c r="F37" s="34">
        <v>2.0999999999999999E-3</v>
      </c>
      <c r="G37" s="22">
        <f>E37*F37</f>
        <v>3.1075799999999996</v>
      </c>
      <c r="H37" s="22">
        <f>G37-D37</f>
        <v>0</v>
      </c>
      <c r="I37" s="23">
        <f t="shared" si="2"/>
        <v>0</v>
      </c>
      <c r="J37" s="23">
        <f t="shared" si="9"/>
        <v>1.2401982455303119E-2</v>
      </c>
      <c r="K37" s="108">
        <f t="shared" si="10"/>
        <v>1.2582349599020807E-2</v>
      </c>
    </row>
    <row r="38" spans="1:11" x14ac:dyDescent="0.2">
      <c r="A38" s="107" t="s">
        <v>96</v>
      </c>
      <c r="B38" s="73">
        <f>B8</f>
        <v>1479.8</v>
      </c>
      <c r="C38" s="34">
        <v>1.1000000000000001E-3</v>
      </c>
      <c r="D38" s="22">
        <f>B38*C38</f>
        <v>1.62778</v>
      </c>
      <c r="E38" s="73">
        <f t="shared" si="6"/>
        <v>1479.8</v>
      </c>
      <c r="F38" s="34">
        <v>1.1000000000000001E-3</v>
      </c>
      <c r="G38" s="22">
        <f>E38*F38</f>
        <v>1.62778</v>
      </c>
      <c r="H38" s="22">
        <f>G38-D38</f>
        <v>0</v>
      </c>
      <c r="I38" s="23">
        <f t="shared" ref="I38" si="11">IF(ISERROR(H38/D38),0,(H38/D38))</f>
        <v>0</v>
      </c>
      <c r="J38" s="23">
        <f t="shared" ref="J38" si="12">G38/$G$46</f>
        <v>6.4962765242063967E-3</v>
      </c>
      <c r="K38" s="108">
        <f t="shared" ref="K38" si="13">G38/$G$51</f>
        <v>6.5907545518680425E-3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9.9772028839990607E-4</v>
      </c>
      <c r="K39" s="108">
        <f t="shared" si="10"/>
        <v>1.0122305458765992E-3</v>
      </c>
    </row>
    <row r="40" spans="1:11" s="1" customFormat="1" x14ac:dyDescent="0.2">
      <c r="A40" s="110" t="s">
        <v>45</v>
      </c>
      <c r="B40" s="74"/>
      <c r="C40" s="35"/>
      <c r="D40" s="35">
        <f>SUM(D36:D39)</f>
        <v>10.31264</v>
      </c>
      <c r="E40" s="73"/>
      <c r="F40" s="35"/>
      <c r="G40" s="35">
        <f>SUM(G36:G39)</f>
        <v>10.31264</v>
      </c>
      <c r="H40" s="35">
        <f t="shared" si="1"/>
        <v>0</v>
      </c>
      <c r="I40" s="36">
        <f t="shared" si="2"/>
        <v>0</v>
      </c>
      <c r="J40" s="36">
        <f t="shared" si="9"/>
        <v>4.1156520619857632E-2</v>
      </c>
      <c r="K40" s="111">
        <f t="shared" si="10"/>
        <v>4.1755076866515403E-2</v>
      </c>
    </row>
    <row r="41" spans="1:11" s="1" customFormat="1" ht="13.5" thickBot="1" x14ac:dyDescent="0.25">
      <c r="A41" s="112" t="s">
        <v>46</v>
      </c>
      <c r="B41" s="113">
        <f>B4</f>
        <v>1400</v>
      </c>
      <c r="C41" s="114">
        <v>0</v>
      </c>
      <c r="D41" s="115">
        <f>B41*C41</f>
        <v>0</v>
      </c>
      <c r="E41" s="116">
        <f t="shared" si="6"/>
        <v>1400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239.57926679999997</v>
      </c>
      <c r="E42" s="38"/>
      <c r="F42" s="39"/>
      <c r="G42" s="39">
        <f>SUM(G14,G25,G26,G27,G33,G40,G41)</f>
        <v>238.63926679999997</v>
      </c>
      <c r="H42" s="39">
        <f t="shared" si="1"/>
        <v>-0.93999999999999773</v>
      </c>
      <c r="I42" s="40">
        <f>IF(ISERROR(H42/D42),0,(H42/D42))</f>
        <v>-3.9235448565952359E-3</v>
      </c>
      <c r="J42" s="40">
        <f t="shared" si="9"/>
        <v>0.95238095238095244</v>
      </c>
      <c r="K42" s="41"/>
    </row>
    <row r="43" spans="1:11" x14ac:dyDescent="0.2">
      <c r="A43" s="155" t="s">
        <v>102</v>
      </c>
      <c r="B43" s="43"/>
      <c r="C43" s="26">
        <v>0.13</v>
      </c>
      <c r="D43" s="26">
        <f>D42*C43</f>
        <v>31.145304683999996</v>
      </c>
      <c r="E43" s="26"/>
      <c r="F43" s="26">
        <f>C43</f>
        <v>0.13</v>
      </c>
      <c r="G43" s="26">
        <f>G42*F43</f>
        <v>31.023104683999996</v>
      </c>
      <c r="H43" s="26">
        <f t="shared" si="1"/>
        <v>-0.12219999999999942</v>
      </c>
      <c r="I43" s="44">
        <f t="shared" si="2"/>
        <v>-3.9235448565952272E-3</v>
      </c>
      <c r="J43" s="44">
        <f t="shared" si="9"/>
        <v>0.12380952380952381</v>
      </c>
      <c r="K43" s="45"/>
    </row>
    <row r="44" spans="1:11" s="1" customFormat="1" x14ac:dyDescent="0.2">
      <c r="A44" s="46" t="s">
        <v>103</v>
      </c>
      <c r="B44" s="24"/>
      <c r="C44" s="25"/>
      <c r="D44" s="25">
        <f>SUM(D42:D43)</f>
        <v>270.72457148399997</v>
      </c>
      <c r="E44" s="25"/>
      <c r="F44" s="25"/>
      <c r="G44" s="25">
        <f>SUM(G42:G43)</f>
        <v>269.66237148399995</v>
      </c>
      <c r="H44" s="25">
        <f t="shared" si="1"/>
        <v>-1.0622000000000185</v>
      </c>
      <c r="I44" s="27">
        <f t="shared" si="2"/>
        <v>-3.9235448565953139E-3</v>
      </c>
      <c r="J44" s="27">
        <f t="shared" si="9"/>
        <v>1.0761904761904761</v>
      </c>
      <c r="K44" s="47"/>
    </row>
    <row r="45" spans="1:11" x14ac:dyDescent="0.2">
      <c r="A45" s="42" t="s">
        <v>104</v>
      </c>
      <c r="B45" s="43"/>
      <c r="C45" s="26">
        <v>-0.08</v>
      </c>
      <c r="D45" s="26">
        <f>D42*C45</f>
        <v>-19.166341343999999</v>
      </c>
      <c r="E45" s="26"/>
      <c r="F45" s="26">
        <f>C45</f>
        <v>-0.08</v>
      </c>
      <c r="G45" s="26">
        <f>G42*F45</f>
        <v>-19.091141343999997</v>
      </c>
      <c r="H45" s="26">
        <f t="shared" si="1"/>
        <v>7.5200000000002376E-2</v>
      </c>
      <c r="I45" s="44">
        <f t="shared" si="2"/>
        <v>-3.9235448565953695E-3</v>
      </c>
      <c r="J45" s="44">
        <f t="shared" si="9"/>
        <v>-7.6190476190476197E-2</v>
      </c>
      <c r="K45" s="45"/>
    </row>
    <row r="46" spans="1:11" s="1" customFormat="1" ht="13.5" thickBot="1" x14ac:dyDescent="0.25">
      <c r="A46" s="48" t="s">
        <v>105</v>
      </c>
      <c r="B46" s="49"/>
      <c r="C46" s="50"/>
      <c r="D46" s="50">
        <f>SUM(D44:D45)</f>
        <v>251.55823013999998</v>
      </c>
      <c r="E46" s="50"/>
      <c r="F46" s="50"/>
      <c r="G46" s="50">
        <f>SUM(G44:G45)</f>
        <v>250.57123013999995</v>
      </c>
      <c r="H46" s="50">
        <f t="shared" si="1"/>
        <v>-0.98700000000002319</v>
      </c>
      <c r="I46" s="51">
        <f t="shared" si="2"/>
        <v>-3.9235448565953374E-3</v>
      </c>
      <c r="J46" s="51">
        <f t="shared" si="9"/>
        <v>1</v>
      </c>
      <c r="K46" s="52"/>
    </row>
    <row r="47" spans="1:11" x14ac:dyDescent="0.2">
      <c r="A47" s="53" t="s">
        <v>106</v>
      </c>
      <c r="B47" s="54"/>
      <c r="C47" s="55"/>
      <c r="D47" s="55">
        <f>SUM(D18,D25,D26,D28,D33,D40,D41)</f>
        <v>236.15838879999995</v>
      </c>
      <c r="E47" s="55"/>
      <c r="F47" s="55"/>
      <c r="G47" s="55">
        <f>SUM(G18,G25,G26,G28,G33,G40,G41)</f>
        <v>235.21838879999996</v>
      </c>
      <c r="H47" s="55">
        <f>G47-D47</f>
        <v>-0.93999999999999773</v>
      </c>
      <c r="I47" s="56">
        <f>IF(ISERROR(H47/D47),0,(H47/D47))</f>
        <v>-3.9803794596349222E-3</v>
      </c>
      <c r="J47" s="56"/>
      <c r="K47" s="57">
        <f>G47/$G$51</f>
        <v>0.95238095238095233</v>
      </c>
    </row>
    <row r="48" spans="1:11" x14ac:dyDescent="0.2">
      <c r="A48" s="58" t="s">
        <v>102</v>
      </c>
      <c r="B48" s="59"/>
      <c r="C48" s="31">
        <v>0.13</v>
      </c>
      <c r="D48" s="31">
        <f>D47*C48</f>
        <v>30.700590543999994</v>
      </c>
      <c r="E48" s="31"/>
      <c r="F48" s="31">
        <f>C48</f>
        <v>0.13</v>
      </c>
      <c r="G48" s="31">
        <f>G47*F48</f>
        <v>30.578390543999994</v>
      </c>
      <c r="H48" s="31">
        <f>G48-D48</f>
        <v>-0.12219999999999942</v>
      </c>
      <c r="I48" s="32">
        <f>IF(ISERROR(H48/D48),0,(H48/D48))</f>
        <v>-3.9803794596349135E-3</v>
      </c>
      <c r="J48" s="32"/>
      <c r="K48" s="60">
        <f>G48/$G$51</f>
        <v>0.1238095238095238</v>
      </c>
    </row>
    <row r="49" spans="1:11" x14ac:dyDescent="0.2">
      <c r="A49" s="61" t="s">
        <v>107</v>
      </c>
      <c r="B49" s="29"/>
      <c r="C49" s="30"/>
      <c r="D49" s="30">
        <f>SUM(D47:D48)</f>
        <v>266.85897934399998</v>
      </c>
      <c r="E49" s="30"/>
      <c r="F49" s="30"/>
      <c r="G49" s="30">
        <f>SUM(G47:G48)</f>
        <v>265.79677934399996</v>
      </c>
      <c r="H49" s="30">
        <f>G49-D49</f>
        <v>-1.0622000000000185</v>
      </c>
      <c r="I49" s="33">
        <f>IF(ISERROR(H49/D49),0,(H49/D49))</f>
        <v>-3.9803794596350011E-3</v>
      </c>
      <c r="J49" s="33"/>
      <c r="K49" s="62">
        <f>G49/$G$51</f>
        <v>1.0761904761904761</v>
      </c>
    </row>
    <row r="50" spans="1:11" x14ac:dyDescent="0.2">
      <c r="A50" s="58" t="s">
        <v>104</v>
      </c>
      <c r="B50" s="59"/>
      <c r="C50" s="31">
        <v>-0.08</v>
      </c>
      <c r="D50" s="31">
        <f>D47*C50</f>
        <v>-18.892671103999998</v>
      </c>
      <c r="E50" s="31"/>
      <c r="F50" s="31">
        <f>C50</f>
        <v>-0.08</v>
      </c>
      <c r="G50" s="31">
        <f>G47*F50</f>
        <v>-18.817471103999996</v>
      </c>
      <c r="H50" s="31">
        <f>G50-D50</f>
        <v>7.5200000000002376E-2</v>
      </c>
      <c r="I50" s="32">
        <f>IF(ISERROR(H50/D50),0,(H50/D50))</f>
        <v>-3.9803794596350575E-3</v>
      </c>
      <c r="J50" s="32"/>
      <c r="K50" s="60">
        <f>G50/$G$51</f>
        <v>-7.6190476190476183E-2</v>
      </c>
    </row>
    <row r="51" spans="1:11" ht="13.5" thickBot="1" x14ac:dyDescent="0.25">
      <c r="A51" s="63" t="s">
        <v>116</v>
      </c>
      <c r="B51" s="64"/>
      <c r="C51" s="65"/>
      <c r="D51" s="65">
        <f>SUM(D49:D50)</f>
        <v>247.96630823999999</v>
      </c>
      <c r="E51" s="65"/>
      <c r="F51" s="65"/>
      <c r="G51" s="65">
        <f>SUM(G49:G50)</f>
        <v>246.97930823999997</v>
      </c>
      <c r="H51" s="65">
        <f>G51-D51</f>
        <v>-0.98700000000002319</v>
      </c>
      <c r="I51" s="66">
        <f>IF(ISERROR(H51/D51),0,(H51/D51))</f>
        <v>-3.9803794596350245E-3</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1" tint="0.499984740745262"/>
    <pageSetUpPr fitToPage="1"/>
  </sheetPr>
  <dimension ref="A1:K68"/>
  <sheetViews>
    <sheetView tabSelected="1" view="pageBreakPreview" topLeftCell="A7" zoomScaleNormal="100" zoomScaleSheetLayoutView="100" workbookViewId="0">
      <selection activeCell="E1" sqref="E1:E1048576"/>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118</v>
      </c>
      <c r="B1" s="188"/>
      <c r="C1" s="188"/>
      <c r="D1" s="188"/>
      <c r="E1" s="188"/>
      <c r="F1" s="188"/>
      <c r="G1" s="188"/>
      <c r="H1" s="188"/>
      <c r="I1" s="188"/>
      <c r="J1" s="188"/>
      <c r="K1" s="189"/>
    </row>
    <row r="3" spans="1:11" x14ac:dyDescent="0.2">
      <c r="A3" s="13" t="s">
        <v>13</v>
      </c>
      <c r="B3" s="13" t="s">
        <v>1</v>
      </c>
    </row>
    <row r="4" spans="1:11" x14ac:dyDescent="0.2">
      <c r="A4" s="15" t="s">
        <v>62</v>
      </c>
      <c r="B4" s="15">
        <v>400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69">
        <f>B4*B6</f>
        <v>430.40000000000003</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400</v>
      </c>
      <c r="C12" s="103">
        <v>0.10299999999999999</v>
      </c>
      <c r="D12" s="104">
        <f>B12*C12</f>
        <v>41.199999999999996</v>
      </c>
      <c r="E12" s="102">
        <f>B12</f>
        <v>400</v>
      </c>
      <c r="F12" s="103">
        <f>C12</f>
        <v>0.10299999999999999</v>
      </c>
      <c r="G12" s="104">
        <f>E12*F12</f>
        <v>41.199999999999996</v>
      </c>
      <c r="H12" s="104">
        <f>G12-D12</f>
        <v>0</v>
      </c>
      <c r="I12" s="105">
        <f>IF(ISERROR(H12/D12),0,(H12/D12))</f>
        <v>0</v>
      </c>
      <c r="J12" s="105">
        <f>G12/$G$46</f>
        <v>0.37697769792838692</v>
      </c>
      <c r="K12" s="106"/>
    </row>
    <row r="13" spans="1:11" x14ac:dyDescent="0.2">
      <c r="A13" s="107" t="s">
        <v>32</v>
      </c>
      <c r="B13" s="73">
        <f>IF(B4&gt;B7,(B4)-B7,0)</f>
        <v>0</v>
      </c>
      <c r="C13" s="21">
        <v>0.121</v>
      </c>
      <c r="D13" s="22">
        <f>B13*C13</f>
        <v>0</v>
      </c>
      <c r="E13" s="73">
        <f t="shared" ref="E13" si="0">B13</f>
        <v>0</v>
      </c>
      <c r="F13" s="21">
        <f>C13</f>
        <v>0.121</v>
      </c>
      <c r="G13" s="22">
        <f>E13*F13</f>
        <v>0</v>
      </c>
      <c r="H13" s="22">
        <f t="shared" ref="H13:H46" si="1">G13-D13</f>
        <v>0</v>
      </c>
      <c r="I13" s="23">
        <f t="shared" ref="I13:I46" si="2">IF(ISERROR(H13/D13),0,(H13/D13))</f>
        <v>0</v>
      </c>
      <c r="J13" s="23">
        <f>G13/$G$46</f>
        <v>0</v>
      </c>
      <c r="K13" s="108"/>
    </row>
    <row r="14" spans="1:11" s="1" customFormat="1" x14ac:dyDescent="0.2">
      <c r="A14" s="46" t="s">
        <v>33</v>
      </c>
      <c r="B14" s="24"/>
      <c r="C14" s="25"/>
      <c r="D14" s="25">
        <f>SUM(D12:D13)</f>
        <v>41.199999999999996</v>
      </c>
      <c r="E14" s="76"/>
      <c r="F14" s="25"/>
      <c r="G14" s="25">
        <f>SUM(G12:G13)</f>
        <v>41.199999999999996</v>
      </c>
      <c r="H14" s="25">
        <f t="shared" si="1"/>
        <v>0</v>
      </c>
      <c r="I14" s="27">
        <f t="shared" si="2"/>
        <v>0</v>
      </c>
      <c r="J14" s="27">
        <f>G14/$G$46</f>
        <v>0.37697769792838692</v>
      </c>
      <c r="K14" s="108"/>
    </row>
    <row r="15" spans="1:11" s="1" customFormat="1" x14ac:dyDescent="0.2">
      <c r="A15" s="109" t="s">
        <v>34</v>
      </c>
      <c r="B15" s="75">
        <f>B4*0.65</f>
        <v>260</v>
      </c>
      <c r="C15" s="28">
        <v>8.6999999999999994E-2</v>
      </c>
      <c r="D15" s="22">
        <f>B15*C15</f>
        <v>22.619999999999997</v>
      </c>
      <c r="E15" s="73">
        <f t="shared" ref="E15:F17" si="3">B15</f>
        <v>260</v>
      </c>
      <c r="F15" s="28">
        <f t="shared" si="3"/>
        <v>8.6999999999999994E-2</v>
      </c>
      <c r="G15" s="22">
        <f>E15*F15</f>
        <v>22.619999999999997</v>
      </c>
      <c r="H15" s="22">
        <f t="shared" si="1"/>
        <v>0</v>
      </c>
      <c r="I15" s="23">
        <f t="shared" si="2"/>
        <v>0</v>
      </c>
      <c r="J15" s="23"/>
      <c r="K15" s="108">
        <f t="shared" ref="K15:K26" si="4">G15/$G$51</f>
        <v>0.20003202337599904</v>
      </c>
    </row>
    <row r="16" spans="1:11" s="1" customFormat="1" x14ac:dyDescent="0.2">
      <c r="A16" s="109" t="s">
        <v>35</v>
      </c>
      <c r="B16" s="75">
        <f>B4*0.17</f>
        <v>68</v>
      </c>
      <c r="C16" s="28">
        <v>0.13200000000000001</v>
      </c>
      <c r="D16" s="22">
        <f>B16*C16</f>
        <v>8.9760000000000009</v>
      </c>
      <c r="E16" s="73">
        <f t="shared" si="3"/>
        <v>68</v>
      </c>
      <c r="F16" s="28">
        <f t="shared" si="3"/>
        <v>0.13200000000000001</v>
      </c>
      <c r="G16" s="22">
        <f>E16*F16</f>
        <v>8.9760000000000009</v>
      </c>
      <c r="H16" s="22">
        <f t="shared" si="1"/>
        <v>0</v>
      </c>
      <c r="I16" s="23">
        <f t="shared" si="2"/>
        <v>0</v>
      </c>
      <c r="J16" s="23"/>
      <c r="K16" s="108">
        <f t="shared" si="4"/>
        <v>7.9376102644693539E-2</v>
      </c>
    </row>
    <row r="17" spans="1:11" s="1" customFormat="1" x14ac:dyDescent="0.2">
      <c r="A17" s="109" t="s">
        <v>36</v>
      </c>
      <c r="B17" s="75">
        <f>B4*0.18</f>
        <v>72</v>
      </c>
      <c r="C17" s="28">
        <v>0.18</v>
      </c>
      <c r="D17" s="22">
        <f>B17*C17</f>
        <v>12.959999999999999</v>
      </c>
      <c r="E17" s="73">
        <f t="shared" si="3"/>
        <v>72</v>
      </c>
      <c r="F17" s="28">
        <f t="shared" si="3"/>
        <v>0.18</v>
      </c>
      <c r="G17" s="22">
        <f>E17*F17</f>
        <v>12.959999999999999</v>
      </c>
      <c r="H17" s="22">
        <f t="shared" si="1"/>
        <v>0</v>
      </c>
      <c r="I17" s="23">
        <f t="shared" si="2"/>
        <v>0</v>
      </c>
      <c r="J17" s="23"/>
      <c r="K17" s="108">
        <f t="shared" si="4"/>
        <v>0.1146072070270976</v>
      </c>
    </row>
    <row r="18" spans="1:11" s="1" customFormat="1" x14ac:dyDescent="0.2">
      <c r="A18" s="61" t="s">
        <v>37</v>
      </c>
      <c r="B18" s="29"/>
      <c r="C18" s="30"/>
      <c r="D18" s="30">
        <f>SUM(D15:D17)</f>
        <v>44.555999999999997</v>
      </c>
      <c r="E18" s="77"/>
      <c r="F18" s="30"/>
      <c r="G18" s="30">
        <f>SUM(G15:G17)</f>
        <v>44.555999999999997</v>
      </c>
      <c r="H18" s="31">
        <f t="shared" si="1"/>
        <v>0</v>
      </c>
      <c r="I18" s="32">
        <f t="shared" si="2"/>
        <v>0</v>
      </c>
      <c r="J18" s="33">
        <f t="shared" ref="J18:J26" si="5">G18/$G$46</f>
        <v>0.40768491041012644</v>
      </c>
      <c r="K18" s="62">
        <f t="shared" si="4"/>
        <v>0.39401533304779018</v>
      </c>
    </row>
    <row r="19" spans="1:11" x14ac:dyDescent="0.2">
      <c r="A19" s="107" t="s">
        <v>38</v>
      </c>
      <c r="B19" s="73">
        <v>1</v>
      </c>
      <c r="C19" s="78">
        <f>VLOOKUP($B$3,'Data for Bill Impacts'!$A$3:$Y$15,7,0)</f>
        <v>37.83</v>
      </c>
      <c r="D19" s="22">
        <f>B19*C19</f>
        <v>37.83</v>
      </c>
      <c r="E19" s="73">
        <f t="shared" ref="E19:E41" si="6">B19</f>
        <v>1</v>
      </c>
      <c r="F19" s="78">
        <f>VLOOKUP($B$3,'Data for Bill Impacts'!$A$3:$Y$15,17,0)</f>
        <v>42.25</v>
      </c>
      <c r="G19" s="22">
        <f>E19*F19</f>
        <v>42.25</v>
      </c>
      <c r="H19" s="22">
        <f t="shared" si="1"/>
        <v>4.4200000000000017</v>
      </c>
      <c r="I19" s="23">
        <f t="shared" si="2"/>
        <v>0.11683848797250865</v>
      </c>
      <c r="J19" s="23">
        <f t="shared" si="5"/>
        <v>0.38658513925908616</v>
      </c>
      <c r="K19" s="108">
        <f t="shared" si="4"/>
        <v>0.37362303216781434</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400</v>
      </c>
      <c r="C23" s="78">
        <f>VLOOKUP($B$3,'Data for Bill Impacts'!$A$3:$Y$15,10,0)</f>
        <v>2.1999999999999999E-2</v>
      </c>
      <c r="D23" s="22">
        <f>B23*C23</f>
        <v>8.7999999999999989</v>
      </c>
      <c r="E23" s="73">
        <f t="shared" si="6"/>
        <v>400</v>
      </c>
      <c r="F23" s="78">
        <f>VLOOKUP($B$3,'Data for Bill Impacts'!$A$3:$Y$15,19,0)</f>
        <v>1.9400000000000001E-2</v>
      </c>
      <c r="G23" s="22">
        <f>E23*F23</f>
        <v>7.76</v>
      </c>
      <c r="H23" s="22">
        <f t="shared" si="1"/>
        <v>-1.0399999999999991</v>
      </c>
      <c r="I23" s="23">
        <f t="shared" si="2"/>
        <v>-0.1181818181818181</v>
      </c>
      <c r="J23" s="23">
        <f t="shared" si="5"/>
        <v>7.1003566405929197E-2</v>
      </c>
      <c r="K23" s="108">
        <f t="shared" si="4"/>
        <v>6.8622833837212766E-2</v>
      </c>
    </row>
    <row r="24" spans="1:11" x14ac:dyDescent="0.2">
      <c r="A24" s="107" t="s">
        <v>122</v>
      </c>
      <c r="B24" s="73">
        <f>IF($B$9="kWh",$B$4,$B$5)</f>
        <v>400</v>
      </c>
      <c r="C24" s="126">
        <f>VLOOKUP($B$3,'Data for Bill Impacts'!$A$3:$Y$15,14,0)</f>
        <v>2.0000000000000001E-4</v>
      </c>
      <c r="D24" s="22">
        <f>B24*C24</f>
        <v>0.08</v>
      </c>
      <c r="E24" s="73">
        <f>B24</f>
        <v>400</v>
      </c>
      <c r="F24" s="126">
        <f>VLOOKUP($B$3,'Data for Bill Impacts'!$A$3:$Y$15,23,0)</f>
        <v>2.0000000000000001E-4</v>
      </c>
      <c r="G24" s="22">
        <f>E24*F24</f>
        <v>0.08</v>
      </c>
      <c r="H24" s="22">
        <f>G24-D24</f>
        <v>0</v>
      </c>
      <c r="I24" s="23">
        <f>IF(ISERROR(H24/D24),0,(H24/D24))</f>
        <v>0</v>
      </c>
      <c r="J24" s="23">
        <f t="shared" si="5"/>
        <v>7.3199552995803301E-4</v>
      </c>
      <c r="K24" s="108">
        <f t="shared" si="4"/>
        <v>7.074518952289976E-4</v>
      </c>
    </row>
    <row r="25" spans="1:11" s="1" customFormat="1" x14ac:dyDescent="0.2">
      <c r="A25" s="110" t="s">
        <v>72</v>
      </c>
      <c r="B25" s="74"/>
      <c r="C25" s="35"/>
      <c r="D25" s="35">
        <f>SUM(D19:D24)</f>
        <v>46.709999999999994</v>
      </c>
      <c r="E25" s="73"/>
      <c r="F25" s="35"/>
      <c r="G25" s="35">
        <f>SUM(G19:G24)</f>
        <v>50.089999999999996</v>
      </c>
      <c r="H25" s="35">
        <f t="shared" si="1"/>
        <v>3.3800000000000026</v>
      </c>
      <c r="I25" s="36">
        <f t="shared" si="2"/>
        <v>7.2361378719760283E-2</v>
      </c>
      <c r="J25" s="36">
        <f t="shared" si="5"/>
        <v>0.45832070119497337</v>
      </c>
      <c r="K25" s="111">
        <f t="shared" si="4"/>
        <v>0.4429533179002561</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7.2284558583355762E-3</v>
      </c>
      <c r="K26" s="108">
        <f t="shared" si="4"/>
        <v>6.9860874653863512E-3</v>
      </c>
    </row>
    <row r="27" spans="1:11" s="1" customFormat="1" x14ac:dyDescent="0.2">
      <c r="A27" s="119" t="s">
        <v>75</v>
      </c>
      <c r="B27" s="120">
        <f>B8-B4</f>
        <v>30.400000000000034</v>
      </c>
      <c r="C27" s="121">
        <f>IF(B4&gt;B7,C13,C12)</f>
        <v>0.10299999999999999</v>
      </c>
      <c r="D27" s="22">
        <f>B27*C27</f>
        <v>3.1312000000000033</v>
      </c>
      <c r="E27" s="73">
        <f>B27</f>
        <v>30.400000000000034</v>
      </c>
      <c r="F27" s="121">
        <f>C27</f>
        <v>0.10299999999999999</v>
      </c>
      <c r="G27" s="22">
        <f>E27*F27</f>
        <v>3.1312000000000033</v>
      </c>
      <c r="H27" s="22">
        <f t="shared" si="1"/>
        <v>0</v>
      </c>
      <c r="I27" s="23">
        <f>IF(ISERROR(H27/D27),0,(H27/D27))</f>
        <v>0</v>
      </c>
      <c r="J27" s="23">
        <f t="shared" ref="J27:J46" si="9">G27/$G$46</f>
        <v>2.8650305042557441E-2</v>
      </c>
      <c r="K27" s="108">
        <f t="shared" ref="K27:K41" si="10">G27/$G$51</f>
        <v>2.7689667179262994E-2</v>
      </c>
    </row>
    <row r="28" spans="1:11" s="1" customFormat="1" x14ac:dyDescent="0.2">
      <c r="A28" s="119" t="s">
        <v>74</v>
      </c>
      <c r="B28" s="120">
        <f>B8-B4</f>
        <v>30.400000000000034</v>
      </c>
      <c r="C28" s="121">
        <f>0.65*C15+0.17*C16+0.18*C17</f>
        <v>0.11139</v>
      </c>
      <c r="D28" s="22">
        <f>B28*C28</f>
        <v>3.3862560000000039</v>
      </c>
      <c r="E28" s="73">
        <f>B28</f>
        <v>30.400000000000034</v>
      </c>
      <c r="F28" s="121">
        <f>C28</f>
        <v>0.11139</v>
      </c>
      <c r="G28" s="22">
        <f>E28*F28</f>
        <v>3.3862560000000039</v>
      </c>
      <c r="H28" s="22">
        <f t="shared" si="1"/>
        <v>0</v>
      </c>
      <c r="I28" s="23">
        <f>IF(ISERROR(H28/D28),0,(H28/D28))</f>
        <v>0</v>
      </c>
      <c r="J28" s="23">
        <f t="shared" si="9"/>
        <v>3.0984053191169647E-2</v>
      </c>
      <c r="K28" s="108">
        <f t="shared" si="10"/>
        <v>2.9945165311632091E-2</v>
      </c>
    </row>
    <row r="29" spans="1:11" s="1" customFormat="1" x14ac:dyDescent="0.2">
      <c r="A29" s="110" t="s">
        <v>78</v>
      </c>
      <c r="B29" s="74"/>
      <c r="C29" s="35"/>
      <c r="D29" s="35">
        <f>SUM(D25,D26:D27)</f>
        <v>50.631199999999993</v>
      </c>
      <c r="E29" s="73"/>
      <c r="F29" s="35"/>
      <c r="G29" s="35">
        <f>SUM(G25,G26:G27)</f>
        <v>54.011200000000002</v>
      </c>
      <c r="H29" s="35">
        <f t="shared" si="1"/>
        <v>3.3800000000000097</v>
      </c>
      <c r="I29" s="36">
        <f>IF(ISERROR(H29/D29),0,(H29/D29))</f>
        <v>6.6757256395266362E-2</v>
      </c>
      <c r="J29" s="36">
        <f t="shared" si="9"/>
        <v>0.4941994620958664</v>
      </c>
      <c r="K29" s="111">
        <f t="shared" si="10"/>
        <v>0.47762907254490544</v>
      </c>
    </row>
    <row r="30" spans="1:11" s="1" customFormat="1" x14ac:dyDescent="0.2">
      <c r="A30" s="110" t="s">
        <v>77</v>
      </c>
      <c r="B30" s="74"/>
      <c r="C30" s="35"/>
      <c r="D30" s="35">
        <f>SUM(D25,D26,D28)</f>
        <v>50.886255999999996</v>
      </c>
      <c r="E30" s="73"/>
      <c r="F30" s="35"/>
      <c r="G30" s="35">
        <f>SUM(G25,G26,G28)</f>
        <v>54.266255999999998</v>
      </c>
      <c r="H30" s="35">
        <f t="shared" si="1"/>
        <v>3.3800000000000026</v>
      </c>
      <c r="I30" s="36">
        <f>IF(ISERROR(H30/D30),0,(H30/D30))</f>
        <v>6.6422650548313145E-2</v>
      </c>
      <c r="J30" s="36">
        <f t="shared" si="9"/>
        <v>0.49653321024447855</v>
      </c>
      <c r="K30" s="111">
        <f t="shared" si="10"/>
        <v>0.47988457067727452</v>
      </c>
    </row>
    <row r="31" spans="1:11" x14ac:dyDescent="0.2">
      <c r="A31" s="107" t="s">
        <v>40</v>
      </c>
      <c r="B31" s="73">
        <f>B8</f>
        <v>430.40000000000003</v>
      </c>
      <c r="C31" s="126">
        <f>VLOOKUP($B$3,'Data for Bill Impacts'!$A$3:$Y$15,15,0)</f>
        <v>7.2069999999999999E-3</v>
      </c>
      <c r="D31" s="22">
        <f>B31*C31</f>
        <v>3.1018928000000003</v>
      </c>
      <c r="E31" s="73">
        <f t="shared" si="6"/>
        <v>430.40000000000003</v>
      </c>
      <c r="F31" s="126">
        <f>VLOOKUP($B$3,'Data for Bill Impacts'!$A$3:$Y$15,24,0)</f>
        <v>7.2069999999999999E-3</v>
      </c>
      <c r="G31" s="22">
        <f>E31*F31</f>
        <v>3.1018928000000003</v>
      </c>
      <c r="H31" s="22">
        <f t="shared" si="1"/>
        <v>0</v>
      </c>
      <c r="I31" s="23">
        <f t="shared" si="2"/>
        <v>0</v>
      </c>
      <c r="J31" s="23">
        <f t="shared" si="9"/>
        <v>2.8382145800112588E-2</v>
      </c>
      <c r="K31" s="108">
        <f t="shared" si="10"/>
        <v>2.7430499251964779E-2</v>
      </c>
    </row>
    <row r="32" spans="1:11" x14ac:dyDescent="0.2">
      <c r="A32" s="107" t="s">
        <v>41</v>
      </c>
      <c r="B32" s="73">
        <f>B8</f>
        <v>430.40000000000003</v>
      </c>
      <c r="C32" s="126">
        <f>VLOOKUP($B$3,'Data for Bill Impacts'!$A$3:$Y$15,16,0)</f>
        <v>6.0319999999999992E-3</v>
      </c>
      <c r="D32" s="22">
        <f>B32*C32</f>
        <v>2.5961727999999997</v>
      </c>
      <c r="E32" s="73">
        <f t="shared" si="6"/>
        <v>430.40000000000003</v>
      </c>
      <c r="F32" s="126">
        <f>VLOOKUP($B$3,'Data for Bill Impacts'!$A$3:$Y$15,25,0)</f>
        <v>6.0319999999999992E-3</v>
      </c>
      <c r="G32" s="22">
        <f>E32*F32</f>
        <v>2.5961727999999997</v>
      </c>
      <c r="H32" s="22">
        <f t="shared" si="1"/>
        <v>0</v>
      </c>
      <c r="I32" s="23">
        <f t="shared" si="2"/>
        <v>0</v>
      </c>
      <c r="J32" s="23">
        <f t="shared" si="9"/>
        <v>2.3754836057482877E-2</v>
      </c>
      <c r="K32" s="108">
        <f t="shared" si="10"/>
        <v>2.2958342096274665E-2</v>
      </c>
    </row>
    <row r="33" spans="1:11" s="1" customFormat="1" x14ac:dyDescent="0.2">
      <c r="A33" s="110" t="s">
        <v>76</v>
      </c>
      <c r="B33" s="74"/>
      <c r="C33" s="35"/>
      <c r="D33" s="35">
        <f>SUM(D31:D32)</f>
        <v>5.6980655999999996</v>
      </c>
      <c r="E33" s="73"/>
      <c r="F33" s="35"/>
      <c r="G33" s="35">
        <f>SUM(G31:G32)</f>
        <v>5.6980655999999996</v>
      </c>
      <c r="H33" s="35">
        <f t="shared" si="1"/>
        <v>0</v>
      </c>
      <c r="I33" s="36">
        <f t="shared" si="2"/>
        <v>0</v>
      </c>
      <c r="J33" s="36">
        <f t="shared" si="9"/>
        <v>5.2136981857595459E-2</v>
      </c>
      <c r="K33" s="111">
        <f t="shared" si="10"/>
        <v>5.0388841348239441E-2</v>
      </c>
    </row>
    <row r="34" spans="1:11" s="1" customFormat="1" x14ac:dyDescent="0.2">
      <c r="A34" s="110" t="s">
        <v>91</v>
      </c>
      <c r="B34" s="74"/>
      <c r="C34" s="35"/>
      <c r="D34" s="35">
        <f>D29+D33</f>
        <v>56.329265599999992</v>
      </c>
      <c r="E34" s="73"/>
      <c r="F34" s="35"/>
      <c r="G34" s="35">
        <f>G29+G33</f>
        <v>59.709265600000002</v>
      </c>
      <c r="H34" s="35">
        <f t="shared" si="1"/>
        <v>3.3800000000000097</v>
      </c>
      <c r="I34" s="36">
        <f t="shared" si="2"/>
        <v>6.0004332809906372E-2</v>
      </c>
      <c r="J34" s="36">
        <f t="shared" si="9"/>
        <v>0.54633644395346181</v>
      </c>
      <c r="K34" s="111">
        <f t="shared" si="10"/>
        <v>0.5280179138931449</v>
      </c>
    </row>
    <row r="35" spans="1:11" s="1" customFormat="1" x14ac:dyDescent="0.2">
      <c r="A35" s="110" t="s">
        <v>92</v>
      </c>
      <c r="B35" s="74"/>
      <c r="C35" s="35"/>
      <c r="D35" s="35">
        <f>D30+D33</f>
        <v>56.584321599999996</v>
      </c>
      <c r="E35" s="73"/>
      <c r="F35" s="35"/>
      <c r="G35" s="35">
        <f>G30+G33</f>
        <v>59.964321599999998</v>
      </c>
      <c r="H35" s="35">
        <f t="shared" si="1"/>
        <v>3.3800000000000026</v>
      </c>
      <c r="I35" s="36">
        <f t="shared" si="2"/>
        <v>5.9733860978197231E-2</v>
      </c>
      <c r="J35" s="36">
        <f t="shared" si="9"/>
        <v>0.54867019210207402</v>
      </c>
      <c r="K35" s="111">
        <f t="shared" si="10"/>
        <v>0.53027341202551392</v>
      </c>
    </row>
    <row r="36" spans="1:11" x14ac:dyDescent="0.2">
      <c r="A36" s="107" t="s">
        <v>42</v>
      </c>
      <c r="B36" s="73">
        <f>B8</f>
        <v>430.40000000000003</v>
      </c>
      <c r="C36" s="34">
        <v>3.5999999999999999E-3</v>
      </c>
      <c r="D36" s="22">
        <f>B36*C36</f>
        <v>1.5494400000000002</v>
      </c>
      <c r="E36" s="73">
        <f t="shared" si="6"/>
        <v>430.40000000000003</v>
      </c>
      <c r="F36" s="34">
        <v>3.5999999999999999E-3</v>
      </c>
      <c r="G36" s="22">
        <f>E36*F36</f>
        <v>1.5494400000000002</v>
      </c>
      <c r="H36" s="22">
        <f t="shared" si="1"/>
        <v>0</v>
      </c>
      <c r="I36" s="23">
        <f t="shared" si="2"/>
        <v>0</v>
      </c>
      <c r="J36" s="23">
        <f t="shared" si="9"/>
        <v>1.4177289424227184E-2</v>
      </c>
      <c r="K36" s="108">
        <f t="shared" si="10"/>
        <v>1.3701928306795227E-2</v>
      </c>
    </row>
    <row r="37" spans="1:11" x14ac:dyDescent="0.2">
      <c r="A37" s="107" t="s">
        <v>43</v>
      </c>
      <c r="B37" s="73">
        <f>B8</f>
        <v>430.40000000000003</v>
      </c>
      <c r="C37" s="34">
        <v>2.0999999999999999E-3</v>
      </c>
      <c r="D37" s="22">
        <f>B37*C37</f>
        <v>0.90383999999999998</v>
      </c>
      <c r="E37" s="73">
        <f t="shared" si="6"/>
        <v>430.40000000000003</v>
      </c>
      <c r="F37" s="34">
        <v>2.0999999999999999E-3</v>
      </c>
      <c r="G37" s="22">
        <f>E37*F37</f>
        <v>0.90383999999999998</v>
      </c>
      <c r="H37" s="22">
        <f>G37-D37</f>
        <v>0</v>
      </c>
      <c r="I37" s="23">
        <f t="shared" si="2"/>
        <v>0</v>
      </c>
      <c r="J37" s="23">
        <f t="shared" si="9"/>
        <v>8.2700854974658566E-3</v>
      </c>
      <c r="K37" s="108">
        <f t="shared" si="10"/>
        <v>7.9927915122972142E-3</v>
      </c>
    </row>
    <row r="38" spans="1:11" x14ac:dyDescent="0.2">
      <c r="A38" s="107" t="s">
        <v>96</v>
      </c>
      <c r="B38" s="73">
        <f>B8</f>
        <v>430.40000000000003</v>
      </c>
      <c r="C38" s="34">
        <v>1.1000000000000001E-3</v>
      </c>
      <c r="D38" s="22">
        <f>B38*C38</f>
        <v>0.47344000000000008</v>
      </c>
      <c r="E38" s="73">
        <f t="shared" si="6"/>
        <v>430.40000000000003</v>
      </c>
      <c r="F38" s="34">
        <v>1.1000000000000001E-3</v>
      </c>
      <c r="G38" s="22">
        <f>E38*F38</f>
        <v>0.47344000000000008</v>
      </c>
      <c r="H38" s="22">
        <f>G38-D38</f>
        <v>0</v>
      </c>
      <c r="I38" s="23">
        <f t="shared" ref="I38" si="11">IF(ISERROR(H38/D38),0,(H38/D38))</f>
        <v>0</v>
      </c>
      <c r="J38" s="23">
        <f t="shared" ref="J38" si="12">G38/$G$46</f>
        <v>4.3319495462916403E-3</v>
      </c>
      <c r="K38" s="108">
        <f t="shared" ref="K38" si="13">G38/$G$51</f>
        <v>4.1867003159652087E-3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2.2874860311188532E-3</v>
      </c>
      <c r="K39" s="108">
        <f t="shared" si="10"/>
        <v>2.2107871725906177E-3</v>
      </c>
    </row>
    <row r="40" spans="1:11" s="1" customFormat="1" x14ac:dyDescent="0.2">
      <c r="A40" s="110" t="s">
        <v>45</v>
      </c>
      <c r="B40" s="74"/>
      <c r="C40" s="35"/>
      <c r="D40" s="35">
        <f>SUM(D36:D39)</f>
        <v>3.1767200000000004</v>
      </c>
      <c r="E40" s="73"/>
      <c r="F40" s="35"/>
      <c r="G40" s="35">
        <f>SUM(G36:G39)</f>
        <v>3.1767200000000004</v>
      </c>
      <c r="H40" s="35">
        <f t="shared" si="1"/>
        <v>0</v>
      </c>
      <c r="I40" s="36">
        <f t="shared" si="2"/>
        <v>0</v>
      </c>
      <c r="J40" s="36">
        <f t="shared" si="9"/>
        <v>2.9066810499103535E-2</v>
      </c>
      <c r="K40" s="111">
        <f t="shared" si="10"/>
        <v>2.8092207307648269E-2</v>
      </c>
    </row>
    <row r="41" spans="1:11" s="1" customFormat="1" ht="13.5" thickBot="1" x14ac:dyDescent="0.25">
      <c r="A41" s="112" t="s">
        <v>46</v>
      </c>
      <c r="B41" s="113">
        <f>B4</f>
        <v>400</v>
      </c>
      <c r="C41" s="114">
        <v>0</v>
      </c>
      <c r="D41" s="115">
        <f>B41*C41</f>
        <v>0</v>
      </c>
      <c r="E41" s="116">
        <f t="shared" si="6"/>
        <v>400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100.70598560000001</v>
      </c>
      <c r="E42" s="38"/>
      <c r="F42" s="39"/>
      <c r="G42" s="39">
        <f>SUM(G14,G25,G26,G27,G33,G40,G41)</f>
        <v>104.0859856</v>
      </c>
      <c r="H42" s="39">
        <f t="shared" si="1"/>
        <v>3.3799999999999955</v>
      </c>
      <c r="I42" s="40">
        <f>IF(ISERROR(H42/D42),0,(H42/D42))</f>
        <v>3.3563049702181706E-2</v>
      </c>
      <c r="J42" s="40">
        <f t="shared" si="9"/>
        <v>0.95238095238095233</v>
      </c>
      <c r="K42" s="41"/>
    </row>
    <row r="43" spans="1:11" x14ac:dyDescent="0.2">
      <c r="A43" s="155" t="s">
        <v>102</v>
      </c>
      <c r="B43" s="43"/>
      <c r="C43" s="26">
        <v>0.13</v>
      </c>
      <c r="D43" s="26">
        <f>D42*C43</f>
        <v>13.091778128000001</v>
      </c>
      <c r="E43" s="26"/>
      <c r="F43" s="26">
        <f>C43</f>
        <v>0.13</v>
      </c>
      <c r="G43" s="26">
        <f>G42*F43</f>
        <v>13.531178128000001</v>
      </c>
      <c r="H43" s="26">
        <f t="shared" si="1"/>
        <v>0.43939999999999912</v>
      </c>
      <c r="I43" s="44">
        <f t="shared" si="2"/>
        <v>3.3563049702181685E-2</v>
      </c>
      <c r="J43" s="44">
        <f t="shared" si="9"/>
        <v>0.12380952380952381</v>
      </c>
      <c r="K43" s="45"/>
    </row>
    <row r="44" spans="1:11" s="1" customFormat="1" x14ac:dyDescent="0.2">
      <c r="A44" s="46" t="s">
        <v>103</v>
      </c>
      <c r="B44" s="24"/>
      <c r="C44" s="25"/>
      <c r="D44" s="25">
        <f>SUM(D42:D43)</f>
        <v>113.79776372800001</v>
      </c>
      <c r="E44" s="25"/>
      <c r="F44" s="25"/>
      <c r="G44" s="25">
        <f>SUM(G42:G43)</f>
        <v>117.61716372800001</v>
      </c>
      <c r="H44" s="25">
        <f t="shared" si="1"/>
        <v>3.8194000000000017</v>
      </c>
      <c r="I44" s="27">
        <f t="shared" si="2"/>
        <v>3.3563049702181769E-2</v>
      </c>
      <c r="J44" s="27">
        <f t="shared" si="9"/>
        <v>1.0761904761904761</v>
      </c>
      <c r="K44" s="47"/>
    </row>
    <row r="45" spans="1:11" x14ac:dyDescent="0.2">
      <c r="A45" s="42" t="s">
        <v>104</v>
      </c>
      <c r="B45" s="43"/>
      <c r="C45" s="26">
        <v>-0.08</v>
      </c>
      <c r="D45" s="26">
        <f>D42*C45</f>
        <v>-8.0564788480000011</v>
      </c>
      <c r="E45" s="26"/>
      <c r="F45" s="26">
        <f>C45</f>
        <v>-0.08</v>
      </c>
      <c r="G45" s="26">
        <f>G42*F45</f>
        <v>-8.3268788479999998</v>
      </c>
      <c r="H45" s="26">
        <f t="shared" si="1"/>
        <v>-0.27039999999999864</v>
      </c>
      <c r="I45" s="44">
        <f t="shared" si="2"/>
        <v>3.3563049702181581E-2</v>
      </c>
      <c r="J45" s="44">
        <f t="shared" si="9"/>
        <v>-7.6190476190476183E-2</v>
      </c>
      <c r="K45" s="45"/>
    </row>
    <row r="46" spans="1:11" s="1" customFormat="1" ht="13.5" thickBot="1" x14ac:dyDescent="0.25">
      <c r="A46" s="48" t="s">
        <v>105</v>
      </c>
      <c r="B46" s="49"/>
      <c r="C46" s="50"/>
      <c r="D46" s="50">
        <f>SUM(D44:D45)</f>
        <v>105.74128488000001</v>
      </c>
      <c r="E46" s="50"/>
      <c r="F46" s="50"/>
      <c r="G46" s="50">
        <f>SUM(G44:G45)</f>
        <v>109.29028488</v>
      </c>
      <c r="H46" s="50">
        <f t="shared" si="1"/>
        <v>3.5489999999999924</v>
      </c>
      <c r="I46" s="51">
        <f t="shared" si="2"/>
        <v>3.3563049702181678E-2</v>
      </c>
      <c r="J46" s="51">
        <f t="shared" si="9"/>
        <v>1</v>
      </c>
      <c r="K46" s="52"/>
    </row>
    <row r="47" spans="1:11" x14ac:dyDescent="0.2">
      <c r="A47" s="53" t="s">
        <v>106</v>
      </c>
      <c r="B47" s="54"/>
      <c r="C47" s="55"/>
      <c r="D47" s="55">
        <f>SUM(D18,D25,D26,D28,D33,D40,D41)</f>
        <v>104.3170416</v>
      </c>
      <c r="E47" s="55"/>
      <c r="F47" s="55"/>
      <c r="G47" s="55">
        <f>SUM(G18,G25,G26,G28,G33,G40,G41)</f>
        <v>107.69704159999999</v>
      </c>
      <c r="H47" s="55">
        <f>G47-D47</f>
        <v>3.3799999999999955</v>
      </c>
      <c r="I47" s="56">
        <f>IF(ISERROR(H47/D47),0,(H47/D47))</f>
        <v>3.2401225611444061E-2</v>
      </c>
      <c r="J47" s="56"/>
      <c r="K47" s="57">
        <f>G47/$G$51</f>
        <v>0.95238095238095233</v>
      </c>
    </row>
    <row r="48" spans="1:11" x14ac:dyDescent="0.2">
      <c r="A48" s="156" t="s">
        <v>102</v>
      </c>
      <c r="B48" s="59"/>
      <c r="C48" s="31">
        <v>0.13</v>
      </c>
      <c r="D48" s="31">
        <f>D47*C48</f>
        <v>13.561215408000001</v>
      </c>
      <c r="E48" s="31"/>
      <c r="F48" s="31">
        <f>C48</f>
        <v>0.13</v>
      </c>
      <c r="G48" s="31">
        <f>G47*F48</f>
        <v>14.000615408</v>
      </c>
      <c r="H48" s="31">
        <f>G48-D48</f>
        <v>0.43939999999999912</v>
      </c>
      <c r="I48" s="32">
        <f>IF(ISERROR(H48/D48),0,(H48/D48))</f>
        <v>3.240122561144404E-2</v>
      </c>
      <c r="J48" s="32"/>
      <c r="K48" s="60">
        <f>G48/$G$51</f>
        <v>0.12380952380952381</v>
      </c>
    </row>
    <row r="49" spans="1:11" x14ac:dyDescent="0.2">
      <c r="A49" s="61" t="s">
        <v>107</v>
      </c>
      <c r="B49" s="29"/>
      <c r="C49" s="30"/>
      <c r="D49" s="30">
        <f>SUM(D47:D48)</f>
        <v>117.87825700799999</v>
      </c>
      <c r="E49" s="30"/>
      <c r="F49" s="30"/>
      <c r="G49" s="30">
        <f>SUM(G47:G48)</f>
        <v>121.69765700799999</v>
      </c>
      <c r="H49" s="30">
        <f>G49-D49</f>
        <v>3.8194000000000017</v>
      </c>
      <c r="I49" s="33">
        <f>IF(ISERROR(H49/D49),0,(H49/D49))</f>
        <v>3.2401225611444123E-2</v>
      </c>
      <c r="J49" s="33"/>
      <c r="K49" s="62">
        <f>G49/$G$51</f>
        <v>1.0761904761904761</v>
      </c>
    </row>
    <row r="50" spans="1:11" x14ac:dyDescent="0.2">
      <c r="A50" s="58" t="s">
        <v>104</v>
      </c>
      <c r="B50" s="59"/>
      <c r="C50" s="31">
        <v>-0.08</v>
      </c>
      <c r="D50" s="31">
        <f>D47*C50</f>
        <v>-8.3453633279999995</v>
      </c>
      <c r="E50" s="31"/>
      <c r="F50" s="31">
        <f>C50</f>
        <v>-0.08</v>
      </c>
      <c r="G50" s="31">
        <f>G47*F50</f>
        <v>-8.6157633279999999</v>
      </c>
      <c r="H50" s="31">
        <f>G50-D50</f>
        <v>-0.27040000000000042</v>
      </c>
      <c r="I50" s="32">
        <f>IF(ISERROR(H50/D50),0,(H50/D50))</f>
        <v>3.2401225611444158E-2</v>
      </c>
      <c r="J50" s="32"/>
      <c r="K50" s="60">
        <f>G50/$G$51</f>
        <v>-7.6190476190476197E-2</v>
      </c>
    </row>
    <row r="51" spans="1:11" ht="13.5" thickBot="1" x14ac:dyDescent="0.25">
      <c r="A51" s="63" t="s">
        <v>116</v>
      </c>
      <c r="B51" s="64"/>
      <c r="C51" s="65"/>
      <c r="D51" s="65">
        <f>SUM(D49:D50)</f>
        <v>109.53289367999999</v>
      </c>
      <c r="E51" s="65"/>
      <c r="F51" s="65"/>
      <c r="G51" s="65">
        <f>SUM(G49:G50)</f>
        <v>113.08189367999999</v>
      </c>
      <c r="H51" s="65">
        <f>G51-D51</f>
        <v>3.5490000000000066</v>
      </c>
      <c r="I51" s="66">
        <f>IF(ISERROR(H51/D51),0,(H51/D51))</f>
        <v>3.2401225611444165E-2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1" tint="0.499984740745262"/>
    <pageSetUpPr fitToPage="1"/>
  </sheetPr>
  <dimension ref="A1:K68"/>
  <sheetViews>
    <sheetView tabSelected="1" view="pageBreakPreview" topLeftCell="A19" zoomScaleNormal="100" zoomScaleSheetLayoutView="100" workbookViewId="0">
      <selection activeCell="E1" sqref="E1:E1048576"/>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9.14062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119</v>
      </c>
      <c r="B1" s="188"/>
      <c r="C1" s="188"/>
      <c r="D1" s="188"/>
      <c r="E1" s="188"/>
      <c r="F1" s="188"/>
      <c r="G1" s="188"/>
      <c r="H1" s="188"/>
      <c r="I1" s="188"/>
      <c r="J1" s="188"/>
      <c r="K1" s="189"/>
    </row>
    <row r="3" spans="1:11" x14ac:dyDescent="0.2">
      <c r="A3" s="13" t="s">
        <v>13</v>
      </c>
      <c r="B3" s="13" t="s">
        <v>1</v>
      </c>
    </row>
    <row r="4" spans="1:11" x14ac:dyDescent="0.2">
      <c r="A4" s="15" t="s">
        <v>62</v>
      </c>
      <c r="B4" s="15">
        <v>750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69">
        <f>B4*B6</f>
        <v>807</v>
      </c>
    </row>
    <row r="9" spans="1:11" x14ac:dyDescent="0.2">
      <c r="A9" s="15" t="s">
        <v>21</v>
      </c>
      <c r="B9" s="16" t="str">
        <f>VLOOKUP($B$3,'Data for Bill Impacts'!$A$3:$Y$15,6,0)</f>
        <v>kWh</v>
      </c>
    </row>
    <row r="10" spans="1:11" ht="13.5" thickBot="1" x14ac:dyDescent="0.25"/>
    <row r="11" spans="1:11" s="20" customFormat="1" ht="39"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0.36555307780071222</v>
      </c>
      <c r="K12" s="106"/>
    </row>
    <row r="13" spans="1:11" x14ac:dyDescent="0.2">
      <c r="A13" s="107" t="s">
        <v>32</v>
      </c>
      <c r="B13" s="73">
        <f>IF(B4&gt;B7,(B4)-B7,0)</f>
        <v>150</v>
      </c>
      <c r="C13" s="21">
        <v>0.121</v>
      </c>
      <c r="D13" s="22">
        <f>B13*C13</f>
        <v>18.149999999999999</v>
      </c>
      <c r="E13" s="73">
        <f t="shared" ref="E13" si="0">B13</f>
        <v>150</v>
      </c>
      <c r="F13" s="21">
        <f>C13</f>
        <v>0.121</v>
      </c>
      <c r="G13" s="22">
        <f>E13*F13</f>
        <v>18.149999999999999</v>
      </c>
      <c r="H13" s="22">
        <f t="shared" ref="H13:H46" si="1">G13-D13</f>
        <v>0</v>
      </c>
      <c r="I13" s="23">
        <f t="shared" ref="I13:I46" si="2">IF(ISERROR(H13/D13),0,(H13/D13))</f>
        <v>0</v>
      </c>
      <c r="J13" s="23">
        <f>G13/$G$46</f>
        <v>0.10735903498516063</v>
      </c>
      <c r="K13" s="108"/>
    </row>
    <row r="14" spans="1:11" s="1" customFormat="1" x14ac:dyDescent="0.2">
      <c r="A14" s="46" t="s">
        <v>33</v>
      </c>
      <c r="B14" s="24"/>
      <c r="C14" s="25"/>
      <c r="D14" s="25">
        <f>SUM(D12:D13)</f>
        <v>79.949999999999989</v>
      </c>
      <c r="E14" s="76"/>
      <c r="F14" s="25"/>
      <c r="G14" s="25">
        <f>SUM(G12:G13)</f>
        <v>79.949999999999989</v>
      </c>
      <c r="H14" s="25">
        <f t="shared" si="1"/>
        <v>0</v>
      </c>
      <c r="I14" s="27">
        <f t="shared" si="2"/>
        <v>0</v>
      </c>
      <c r="J14" s="27">
        <f>G14/$G$46</f>
        <v>0.47291211278587281</v>
      </c>
      <c r="K14" s="108"/>
    </row>
    <row r="15" spans="1:11" s="1" customFormat="1" x14ac:dyDescent="0.2">
      <c r="A15" s="109" t="s">
        <v>34</v>
      </c>
      <c r="B15" s="75">
        <f>B4*0.65</f>
        <v>487.5</v>
      </c>
      <c r="C15" s="28">
        <v>8.6999999999999994E-2</v>
      </c>
      <c r="D15" s="22">
        <f>B15*C15</f>
        <v>42.412499999999994</v>
      </c>
      <c r="E15" s="73">
        <f t="shared" ref="E15:F17" si="3">B15</f>
        <v>487.5</v>
      </c>
      <c r="F15" s="28">
        <f t="shared" si="3"/>
        <v>8.6999999999999994E-2</v>
      </c>
      <c r="G15" s="22">
        <f>E15*F15</f>
        <v>42.412499999999994</v>
      </c>
      <c r="H15" s="22">
        <f t="shared" si="1"/>
        <v>0</v>
      </c>
      <c r="I15" s="23">
        <f t="shared" si="2"/>
        <v>0</v>
      </c>
      <c r="J15" s="23"/>
      <c r="K15" s="108">
        <f t="shared" ref="K15:K26" si="4">G15/$G$51</f>
        <v>0.24621803417551769</v>
      </c>
    </row>
    <row r="16" spans="1:11" s="1" customFormat="1" x14ac:dyDescent="0.2">
      <c r="A16" s="109" t="s">
        <v>35</v>
      </c>
      <c r="B16" s="75">
        <f>B4*0.17</f>
        <v>127.50000000000001</v>
      </c>
      <c r="C16" s="28">
        <v>0.13200000000000001</v>
      </c>
      <c r="D16" s="22">
        <f>B16*C16</f>
        <v>16.830000000000002</v>
      </c>
      <c r="E16" s="73">
        <f t="shared" si="3"/>
        <v>127.50000000000001</v>
      </c>
      <c r="F16" s="28">
        <f t="shared" si="3"/>
        <v>0.13200000000000001</v>
      </c>
      <c r="G16" s="22">
        <f>E16*F16</f>
        <v>16.830000000000002</v>
      </c>
      <c r="H16" s="22">
        <f t="shared" si="1"/>
        <v>0</v>
      </c>
      <c r="I16" s="23">
        <f t="shared" si="2"/>
        <v>0</v>
      </c>
      <c r="J16" s="23"/>
      <c r="K16" s="108">
        <f t="shared" si="4"/>
        <v>9.7703495789542322E-2</v>
      </c>
    </row>
    <row r="17" spans="1:11" s="1" customFormat="1" x14ac:dyDescent="0.2">
      <c r="A17" s="109" t="s">
        <v>36</v>
      </c>
      <c r="B17" s="75">
        <f>B4*0.18</f>
        <v>135</v>
      </c>
      <c r="C17" s="28">
        <v>0.18</v>
      </c>
      <c r="D17" s="22">
        <f>B17*C17</f>
        <v>24.3</v>
      </c>
      <c r="E17" s="73">
        <f t="shared" si="3"/>
        <v>135</v>
      </c>
      <c r="F17" s="28">
        <f t="shared" si="3"/>
        <v>0.18</v>
      </c>
      <c r="G17" s="22">
        <f>E17*F17</f>
        <v>24.3</v>
      </c>
      <c r="H17" s="22">
        <f t="shared" si="1"/>
        <v>0</v>
      </c>
      <c r="I17" s="23">
        <f t="shared" si="2"/>
        <v>0</v>
      </c>
      <c r="J17" s="23"/>
      <c r="K17" s="108">
        <f t="shared" si="4"/>
        <v>0.14106921851966003</v>
      </c>
    </row>
    <row r="18" spans="1:11" s="1" customFormat="1" x14ac:dyDescent="0.2">
      <c r="A18" s="61" t="s">
        <v>37</v>
      </c>
      <c r="B18" s="29"/>
      <c r="C18" s="30"/>
      <c r="D18" s="30">
        <f>SUM(D15:D17)</f>
        <v>83.54249999999999</v>
      </c>
      <c r="E18" s="77"/>
      <c r="F18" s="30"/>
      <c r="G18" s="30">
        <f>SUM(G15:G17)</f>
        <v>83.54249999999999</v>
      </c>
      <c r="H18" s="31">
        <f t="shared" si="1"/>
        <v>0</v>
      </c>
      <c r="I18" s="32">
        <f t="shared" si="2"/>
        <v>0</v>
      </c>
      <c r="J18" s="33">
        <f t="shared" ref="J18:J26" si="5">G18/$G$46</f>
        <v>0.49416210359491908</v>
      </c>
      <c r="K18" s="62">
        <f t="shared" si="4"/>
        <v>0.48499074848472001</v>
      </c>
    </row>
    <row r="19" spans="1:11" x14ac:dyDescent="0.2">
      <c r="A19" s="107" t="s">
        <v>38</v>
      </c>
      <c r="B19" s="73">
        <v>1</v>
      </c>
      <c r="C19" s="78">
        <f>VLOOKUP($B$3,'Data for Bill Impacts'!$A$3:$Y$15,7,0)</f>
        <v>37.83</v>
      </c>
      <c r="D19" s="22">
        <f>B19*C19</f>
        <v>37.83</v>
      </c>
      <c r="E19" s="73">
        <f t="shared" ref="E19:E41" si="6">B19</f>
        <v>1</v>
      </c>
      <c r="F19" s="78">
        <f>VLOOKUP($B$3,'Data for Bill Impacts'!$A$3:$Y$15,17,0)</f>
        <v>42.25</v>
      </c>
      <c r="G19" s="22">
        <f>E19*F19</f>
        <v>42.25</v>
      </c>
      <c r="H19" s="22">
        <f t="shared" si="1"/>
        <v>4.4200000000000017</v>
      </c>
      <c r="I19" s="23">
        <f t="shared" si="2"/>
        <v>0.11683848797250865</v>
      </c>
      <c r="J19" s="23">
        <f t="shared" si="5"/>
        <v>0.24991290513074582</v>
      </c>
      <c r="K19" s="108">
        <f t="shared" si="4"/>
        <v>0.24527467005990272</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750</v>
      </c>
      <c r="C23" s="78">
        <f>VLOOKUP($B$3,'Data for Bill Impacts'!$A$3:$Y$15,10,0)</f>
        <v>2.1999999999999999E-2</v>
      </c>
      <c r="D23" s="22">
        <f>B23*C23</f>
        <v>16.5</v>
      </c>
      <c r="E23" s="73">
        <f t="shared" si="6"/>
        <v>750</v>
      </c>
      <c r="F23" s="78">
        <f>VLOOKUP($B$3,'Data for Bill Impacts'!$A$3:$Y$15,19,0)</f>
        <v>1.9400000000000001E-2</v>
      </c>
      <c r="G23" s="22">
        <f>E23*F23</f>
        <v>14.55</v>
      </c>
      <c r="H23" s="22">
        <f t="shared" si="1"/>
        <v>-1.9499999999999993</v>
      </c>
      <c r="I23" s="23">
        <f t="shared" si="2"/>
        <v>-0.11818181818181814</v>
      </c>
      <c r="J23" s="23">
        <f t="shared" si="5"/>
        <v>8.6064680938517199E-2</v>
      </c>
      <c r="K23" s="108">
        <f t="shared" si="4"/>
        <v>8.4467371582759396E-2</v>
      </c>
    </row>
    <row r="24" spans="1:11" x14ac:dyDescent="0.2">
      <c r="A24" s="107" t="s">
        <v>122</v>
      </c>
      <c r="B24" s="73">
        <f>IF($B$9="kWh",$B$4,$B$5)</f>
        <v>750</v>
      </c>
      <c r="C24" s="126">
        <f>VLOOKUP($B$3,'Data for Bill Impacts'!$A$3:$Y$15,14,0)</f>
        <v>2.0000000000000001E-4</v>
      </c>
      <c r="D24" s="22">
        <f>B24*C24</f>
        <v>0.15</v>
      </c>
      <c r="E24" s="73">
        <f>B24</f>
        <v>750</v>
      </c>
      <c r="F24" s="126">
        <f>VLOOKUP($B$3,'Data for Bill Impacts'!$A$3:$Y$15,23,0)</f>
        <v>2.0000000000000001E-4</v>
      </c>
      <c r="G24" s="22">
        <f>E24*F24</f>
        <v>0.15</v>
      </c>
      <c r="H24" s="22">
        <f>G24-D24</f>
        <v>0</v>
      </c>
      <c r="I24" s="23">
        <f>IF(ISERROR(H24/D24),0,(H24/D24))</f>
        <v>0</v>
      </c>
      <c r="J24" s="23">
        <f t="shared" si="5"/>
        <v>8.8726475194347626E-4</v>
      </c>
      <c r="K24" s="108">
        <f t="shared" si="4"/>
        <v>8.7079764518308651E-4</v>
      </c>
    </row>
    <row r="25" spans="1:11" s="1" customFormat="1" x14ac:dyDescent="0.2">
      <c r="A25" s="110" t="s">
        <v>72</v>
      </c>
      <c r="B25" s="74"/>
      <c r="C25" s="35"/>
      <c r="D25" s="35">
        <f>SUM(D19:D24)</f>
        <v>54.48</v>
      </c>
      <c r="E25" s="73"/>
      <c r="F25" s="35"/>
      <c r="G25" s="35">
        <f>SUM(G19:G24)</f>
        <v>56.949999999999996</v>
      </c>
      <c r="H25" s="35">
        <f t="shared" si="1"/>
        <v>2.4699999999999989</v>
      </c>
      <c r="I25" s="36">
        <f t="shared" si="2"/>
        <v>4.533773861967693E-2</v>
      </c>
      <c r="J25" s="36">
        <f t="shared" si="5"/>
        <v>0.33686485082120649</v>
      </c>
      <c r="K25" s="111">
        <f t="shared" si="4"/>
        <v>0.33061283928784518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4.6729276935689752E-3</v>
      </c>
      <c r="K26" s="108">
        <f t="shared" si="4"/>
        <v>4.5862009312975897E-3</v>
      </c>
    </row>
    <row r="27" spans="1:11" s="1" customFormat="1" x14ac:dyDescent="0.2">
      <c r="A27" s="119" t="s">
        <v>75</v>
      </c>
      <c r="B27" s="120">
        <f>B8-B4</f>
        <v>57</v>
      </c>
      <c r="C27" s="121">
        <f>IF(B4&gt;B7,C13,C12)</f>
        <v>0.121</v>
      </c>
      <c r="D27" s="22">
        <f>B27*C27</f>
        <v>6.8970000000000002</v>
      </c>
      <c r="E27" s="73">
        <f>B27</f>
        <v>57</v>
      </c>
      <c r="F27" s="121">
        <f>C27</f>
        <v>0.121</v>
      </c>
      <c r="G27" s="22">
        <f>E27*F27</f>
        <v>6.8970000000000002</v>
      </c>
      <c r="H27" s="22">
        <f t="shared" si="1"/>
        <v>0</v>
      </c>
      <c r="I27" s="23">
        <f>IF(ISERROR(H27/D27),0,(H27/D27))</f>
        <v>0</v>
      </c>
      <c r="J27" s="23">
        <f t="shared" ref="J27:J46" si="9">G27/$G$46</f>
        <v>4.0796433294361042E-2</v>
      </c>
      <c r="K27" s="108">
        <f t="shared" ref="K27:K41" si="10">G27/$G$51</f>
        <v>4.0039275725518318E-2</v>
      </c>
    </row>
    <row r="28" spans="1:11" s="1" customFormat="1" x14ac:dyDescent="0.2">
      <c r="A28" s="119" t="s">
        <v>74</v>
      </c>
      <c r="B28" s="120">
        <f>B8-B4</f>
        <v>57</v>
      </c>
      <c r="C28" s="121">
        <f>0.65*C15+0.17*C16+0.18*C17</f>
        <v>0.11139</v>
      </c>
      <c r="D28" s="22">
        <f>B28*C28</f>
        <v>6.3492300000000004</v>
      </c>
      <c r="E28" s="73">
        <f>B28</f>
        <v>57</v>
      </c>
      <c r="F28" s="121">
        <f>C28</f>
        <v>0.11139</v>
      </c>
      <c r="G28" s="22">
        <f>E28*F28</f>
        <v>6.3492300000000004</v>
      </c>
      <c r="H28" s="22">
        <f t="shared" si="1"/>
        <v>0</v>
      </c>
      <c r="I28" s="23">
        <f>IF(ISERROR(H28/D28),0,(H28/D28))</f>
        <v>0</v>
      </c>
      <c r="J28" s="23">
        <f t="shared" si="9"/>
        <v>3.7556319873213853E-2</v>
      </c>
      <c r="K28" s="108">
        <f t="shared" si="10"/>
        <v>3.685929688483873E-2</v>
      </c>
    </row>
    <row r="29" spans="1:11" s="1" customFormat="1" x14ac:dyDescent="0.2">
      <c r="A29" s="110" t="s">
        <v>78</v>
      </c>
      <c r="B29" s="74"/>
      <c r="C29" s="35"/>
      <c r="D29" s="35">
        <f>SUM(D25,D26:D27)</f>
        <v>62.166999999999994</v>
      </c>
      <c r="E29" s="73"/>
      <c r="F29" s="35"/>
      <c r="G29" s="35">
        <f>SUM(G25,G26:G27)</f>
        <v>64.637</v>
      </c>
      <c r="H29" s="35">
        <f t="shared" si="1"/>
        <v>2.470000000000006</v>
      </c>
      <c r="I29" s="36">
        <f>IF(ISERROR(H29/D29),0,(H29/D29))</f>
        <v>3.9731690446700114E-2</v>
      </c>
      <c r="J29" s="36">
        <f t="shared" si="9"/>
        <v>0.38233421180913651</v>
      </c>
      <c r="K29" s="111">
        <f t="shared" si="10"/>
        <v>0.37523831594466112</v>
      </c>
    </row>
    <row r="30" spans="1:11" s="1" customFormat="1" x14ac:dyDescent="0.2">
      <c r="A30" s="110" t="s">
        <v>77</v>
      </c>
      <c r="B30" s="74"/>
      <c r="C30" s="35"/>
      <c r="D30" s="35">
        <f>SUM(D25,D26,D28)</f>
        <v>61.619229999999995</v>
      </c>
      <c r="E30" s="73"/>
      <c r="F30" s="35"/>
      <c r="G30" s="35">
        <f>SUM(G25,G26,G28)</f>
        <v>64.089230000000001</v>
      </c>
      <c r="H30" s="35">
        <f t="shared" si="1"/>
        <v>2.470000000000006</v>
      </c>
      <c r="I30" s="36">
        <f>IF(ISERROR(H30/D30),0,(H30/D30))</f>
        <v>4.0084889084138285E-2</v>
      </c>
      <c r="J30" s="36">
        <f t="shared" si="9"/>
        <v>0.3790940983879893</v>
      </c>
      <c r="K30" s="111">
        <f t="shared" si="10"/>
        <v>0.37205833710398151</v>
      </c>
    </row>
    <row r="31" spans="1:11" x14ac:dyDescent="0.2">
      <c r="A31" s="107" t="s">
        <v>40</v>
      </c>
      <c r="B31" s="73">
        <f>B8</f>
        <v>807</v>
      </c>
      <c r="C31" s="126">
        <f>VLOOKUP($B$3,'Data for Bill Impacts'!$A$3:$Y$15,15,0)</f>
        <v>7.2069999999999999E-3</v>
      </c>
      <c r="D31" s="22">
        <f>B31*C31</f>
        <v>5.8160489999999996</v>
      </c>
      <c r="E31" s="73">
        <f t="shared" si="6"/>
        <v>807</v>
      </c>
      <c r="F31" s="126">
        <f>VLOOKUP($B$3,'Data for Bill Impacts'!$A$3:$Y$15,24,0)</f>
        <v>7.2069999999999999E-3</v>
      </c>
      <c r="G31" s="22">
        <f>E31*F31</f>
        <v>5.8160489999999996</v>
      </c>
      <c r="H31" s="22">
        <f t="shared" si="1"/>
        <v>0</v>
      </c>
      <c r="I31" s="23">
        <f t="shared" si="2"/>
        <v>0</v>
      </c>
      <c r="J31" s="23">
        <f t="shared" si="9"/>
        <v>3.4402501821840688E-2</v>
      </c>
      <c r="K31" s="108">
        <f t="shared" si="10"/>
        <v>3.376401182312963E-2</v>
      </c>
    </row>
    <row r="32" spans="1:11" x14ac:dyDescent="0.2">
      <c r="A32" s="107" t="s">
        <v>41</v>
      </c>
      <c r="B32" s="73">
        <f>B8</f>
        <v>807</v>
      </c>
      <c r="C32" s="126">
        <f>VLOOKUP($B$3,'Data for Bill Impacts'!$A$3:$Y$15,16,0)</f>
        <v>6.0319999999999992E-3</v>
      </c>
      <c r="D32" s="22">
        <f>B32*C32</f>
        <v>4.8678239999999997</v>
      </c>
      <c r="E32" s="73">
        <f t="shared" si="6"/>
        <v>807</v>
      </c>
      <c r="F32" s="126">
        <f>VLOOKUP($B$3,'Data for Bill Impacts'!$A$3:$Y$15,25,0)</f>
        <v>6.0319999999999992E-3</v>
      </c>
      <c r="G32" s="22">
        <f>E32*F32</f>
        <v>4.8678239999999997</v>
      </c>
      <c r="H32" s="22">
        <f t="shared" si="1"/>
        <v>0</v>
      </c>
      <c r="I32" s="23">
        <f t="shared" si="2"/>
        <v>0</v>
      </c>
      <c r="J32" s="23">
        <f t="shared" si="9"/>
        <v>2.8793657692430003E-2</v>
      </c>
      <c r="K32" s="108">
        <f t="shared" si="10"/>
        <v>2.8259264509104754E-2</v>
      </c>
    </row>
    <row r="33" spans="1:11" s="1" customFormat="1" x14ac:dyDescent="0.2">
      <c r="A33" s="110" t="s">
        <v>76</v>
      </c>
      <c r="B33" s="74"/>
      <c r="C33" s="35"/>
      <c r="D33" s="35">
        <f>SUM(D31:D32)</f>
        <v>10.683872999999998</v>
      </c>
      <c r="E33" s="73"/>
      <c r="F33" s="35"/>
      <c r="G33" s="35">
        <f>SUM(G31:G32)</f>
        <v>10.683872999999998</v>
      </c>
      <c r="H33" s="35">
        <f t="shared" si="1"/>
        <v>0</v>
      </c>
      <c r="I33" s="36">
        <f t="shared" si="2"/>
        <v>0</v>
      </c>
      <c r="J33" s="36">
        <f t="shared" si="9"/>
        <v>6.3196159514270683E-2</v>
      </c>
      <c r="K33" s="111">
        <f t="shared" si="10"/>
        <v>6.2023276332234381E-2</v>
      </c>
    </row>
    <row r="34" spans="1:11" s="1" customFormat="1" x14ac:dyDescent="0.2">
      <c r="A34" s="110" t="s">
        <v>91</v>
      </c>
      <c r="B34" s="74"/>
      <c r="C34" s="35"/>
      <c r="D34" s="35">
        <f>D29+D33</f>
        <v>72.850872999999993</v>
      </c>
      <c r="E34" s="73"/>
      <c r="F34" s="35"/>
      <c r="G34" s="35">
        <f>G29+G33</f>
        <v>75.320873000000006</v>
      </c>
      <c r="H34" s="35">
        <f t="shared" si="1"/>
        <v>2.4700000000000131</v>
      </c>
      <c r="I34" s="36">
        <f t="shared" si="2"/>
        <v>3.390487853179211E-2</v>
      </c>
      <c r="J34" s="36">
        <f t="shared" si="9"/>
        <v>0.44553037132340723</v>
      </c>
      <c r="K34" s="111">
        <f t="shared" si="10"/>
        <v>0.43726159227689554</v>
      </c>
    </row>
    <row r="35" spans="1:11" s="1" customFormat="1" x14ac:dyDescent="0.2">
      <c r="A35" s="110" t="s">
        <v>92</v>
      </c>
      <c r="B35" s="74"/>
      <c r="C35" s="35"/>
      <c r="D35" s="35">
        <f>D30+D33</f>
        <v>72.303102999999993</v>
      </c>
      <c r="E35" s="73"/>
      <c r="F35" s="35"/>
      <c r="G35" s="35">
        <f>G30+G33</f>
        <v>74.773102999999992</v>
      </c>
      <c r="H35" s="35">
        <f t="shared" si="1"/>
        <v>2.4699999999999989</v>
      </c>
      <c r="I35" s="36">
        <f t="shared" si="2"/>
        <v>3.4161742684819474E-2</v>
      </c>
      <c r="J35" s="36">
        <f t="shared" si="9"/>
        <v>0.44229025790225995</v>
      </c>
      <c r="K35" s="111">
        <f t="shared" si="10"/>
        <v>0.43408161343621587</v>
      </c>
    </row>
    <row r="36" spans="1:11" x14ac:dyDescent="0.2">
      <c r="A36" s="107" t="s">
        <v>42</v>
      </c>
      <c r="B36" s="73">
        <f>B8</f>
        <v>807</v>
      </c>
      <c r="C36" s="34">
        <v>3.5999999999999999E-3</v>
      </c>
      <c r="D36" s="22">
        <f>B36*C36</f>
        <v>2.9051999999999998</v>
      </c>
      <c r="E36" s="73">
        <f t="shared" si="6"/>
        <v>807</v>
      </c>
      <c r="F36" s="34">
        <v>3.5999999999999999E-3</v>
      </c>
      <c r="G36" s="22">
        <f>E36*F36</f>
        <v>2.9051999999999998</v>
      </c>
      <c r="H36" s="22">
        <f t="shared" si="1"/>
        <v>0</v>
      </c>
      <c r="I36" s="23">
        <f t="shared" si="2"/>
        <v>0</v>
      </c>
      <c r="J36" s="23">
        <f t="shared" si="9"/>
        <v>1.7184543715641248E-2</v>
      </c>
      <c r="K36" s="108">
        <f t="shared" si="10"/>
        <v>1.6865608791906021E-2</v>
      </c>
    </row>
    <row r="37" spans="1:11" x14ac:dyDescent="0.2">
      <c r="A37" s="107" t="s">
        <v>43</v>
      </c>
      <c r="B37" s="73">
        <f>B8</f>
        <v>807</v>
      </c>
      <c r="C37" s="34">
        <v>2.0999999999999999E-3</v>
      </c>
      <c r="D37" s="22">
        <f>B37*C37</f>
        <v>1.6946999999999999</v>
      </c>
      <c r="E37" s="73">
        <f t="shared" si="6"/>
        <v>807</v>
      </c>
      <c r="F37" s="34">
        <v>2.0999999999999999E-3</v>
      </c>
      <c r="G37" s="22">
        <f>E37*F37</f>
        <v>1.6946999999999999</v>
      </c>
      <c r="H37" s="22">
        <f>G37-D37</f>
        <v>0</v>
      </c>
      <c r="I37" s="23">
        <f t="shared" si="2"/>
        <v>0</v>
      </c>
      <c r="J37" s="23">
        <f t="shared" si="9"/>
        <v>1.0024317167457395E-2</v>
      </c>
      <c r="K37" s="108">
        <f t="shared" si="10"/>
        <v>9.8382717952785106E-3</v>
      </c>
    </row>
    <row r="38" spans="1:11" x14ac:dyDescent="0.2">
      <c r="A38" s="107" t="s">
        <v>96</v>
      </c>
      <c r="B38" s="73">
        <f>B8</f>
        <v>807</v>
      </c>
      <c r="C38" s="34">
        <v>1.1000000000000001E-3</v>
      </c>
      <c r="D38" s="22">
        <f>B38*C38</f>
        <v>0.88770000000000004</v>
      </c>
      <c r="E38" s="73">
        <f t="shared" si="6"/>
        <v>807</v>
      </c>
      <c r="F38" s="34">
        <v>1.1000000000000001E-3</v>
      </c>
      <c r="G38" s="22">
        <f>E38*F38</f>
        <v>0.88770000000000004</v>
      </c>
      <c r="H38" s="22">
        <f>G38-D38</f>
        <v>0</v>
      </c>
      <c r="I38" s="23">
        <f t="shared" ref="I38" si="11">IF(ISERROR(H38/D38),0,(H38/D38))</f>
        <v>0</v>
      </c>
      <c r="J38" s="23">
        <f t="shared" ref="J38" si="12">G38/$G$46</f>
        <v>5.2508328020014925E-3</v>
      </c>
      <c r="K38" s="108">
        <f t="shared" ref="K38" si="13">G38/$G$51</f>
        <v>5.1533804641935065E-3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1.4787745865724605E-3</v>
      </c>
      <c r="K39" s="108">
        <f t="shared" si="10"/>
        <v>1.4513294086384776E-3</v>
      </c>
    </row>
    <row r="40" spans="1:11" s="1" customFormat="1" x14ac:dyDescent="0.2">
      <c r="A40" s="110" t="s">
        <v>45</v>
      </c>
      <c r="B40" s="74"/>
      <c r="C40" s="35"/>
      <c r="D40" s="35">
        <f>SUM(D36:D39)</f>
        <v>5.7375999999999996</v>
      </c>
      <c r="E40" s="73"/>
      <c r="F40" s="35"/>
      <c r="G40" s="35">
        <f>SUM(G36:G39)</f>
        <v>5.7375999999999996</v>
      </c>
      <c r="H40" s="35">
        <f t="shared" si="1"/>
        <v>0</v>
      </c>
      <c r="I40" s="36">
        <f t="shared" si="2"/>
        <v>0</v>
      </c>
      <c r="J40" s="36">
        <f t="shared" si="9"/>
        <v>3.3938468271672594E-2</v>
      </c>
      <c r="K40" s="111">
        <f t="shared" si="10"/>
        <v>3.3308590460016517E-2</v>
      </c>
    </row>
    <row r="41" spans="1:11" s="1" customFormat="1" ht="13.5" thickBot="1" x14ac:dyDescent="0.25">
      <c r="A41" s="112" t="s">
        <v>46</v>
      </c>
      <c r="B41" s="113">
        <f>B4</f>
        <v>750</v>
      </c>
      <c r="C41" s="114">
        <v>0</v>
      </c>
      <c r="D41" s="115">
        <f>B41*C41</f>
        <v>0</v>
      </c>
      <c r="E41" s="116">
        <f t="shared" si="6"/>
        <v>750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158.53847299999995</v>
      </c>
      <c r="E42" s="38"/>
      <c r="F42" s="39"/>
      <c r="G42" s="39">
        <f>SUM(G14,G25,G26,G27,G33,G40,G41)</f>
        <v>161.00847299999995</v>
      </c>
      <c r="H42" s="39">
        <f t="shared" si="1"/>
        <v>2.4699999999999989</v>
      </c>
      <c r="I42" s="40">
        <f>IF(ISERROR(H42/D42),0,(H42/D42))</f>
        <v>1.5579814497141017E-2</v>
      </c>
      <c r="J42" s="40">
        <f t="shared" si="9"/>
        <v>0.95238095238095233</v>
      </c>
      <c r="K42" s="41"/>
    </row>
    <row r="43" spans="1:11" x14ac:dyDescent="0.2">
      <c r="A43" s="155" t="s">
        <v>102</v>
      </c>
      <c r="B43" s="43"/>
      <c r="C43" s="26">
        <v>0.13</v>
      </c>
      <c r="D43" s="26">
        <f>D42*C43</f>
        <v>20.610001489999995</v>
      </c>
      <c r="E43" s="26"/>
      <c r="F43" s="26">
        <f>C43</f>
        <v>0.13</v>
      </c>
      <c r="G43" s="26">
        <f>G42*F43</f>
        <v>20.931101489999996</v>
      </c>
      <c r="H43" s="26">
        <f t="shared" si="1"/>
        <v>0.32110000000000127</v>
      </c>
      <c r="I43" s="44">
        <f t="shared" si="2"/>
        <v>1.5579814497141084E-2</v>
      </c>
      <c r="J43" s="44">
        <f t="shared" si="9"/>
        <v>0.12380952380952383</v>
      </c>
      <c r="K43" s="45"/>
    </row>
    <row r="44" spans="1:11" s="1" customFormat="1" x14ac:dyDescent="0.2">
      <c r="A44" s="46" t="s">
        <v>103</v>
      </c>
      <c r="B44" s="24"/>
      <c r="C44" s="25"/>
      <c r="D44" s="25">
        <f>SUM(D42:D43)</f>
        <v>179.14847448999996</v>
      </c>
      <c r="E44" s="25"/>
      <c r="F44" s="25"/>
      <c r="G44" s="25">
        <f>SUM(G42:G43)</f>
        <v>181.93957448999996</v>
      </c>
      <c r="H44" s="25">
        <f t="shared" si="1"/>
        <v>2.7911000000000001</v>
      </c>
      <c r="I44" s="27">
        <f t="shared" si="2"/>
        <v>1.5579814497141024E-2</v>
      </c>
      <c r="J44" s="27">
        <f t="shared" si="9"/>
        <v>1.0761904761904761</v>
      </c>
      <c r="K44" s="47"/>
    </row>
    <row r="45" spans="1:11" x14ac:dyDescent="0.2">
      <c r="A45" s="42" t="s">
        <v>104</v>
      </c>
      <c r="B45" s="43"/>
      <c r="C45" s="26">
        <v>-0.08</v>
      </c>
      <c r="D45" s="26">
        <f>D42*C45</f>
        <v>-12.683077839999996</v>
      </c>
      <c r="E45" s="26"/>
      <c r="F45" s="26">
        <f>C45</f>
        <v>-0.08</v>
      </c>
      <c r="G45" s="26">
        <f>G42*F45</f>
        <v>-12.880677839999997</v>
      </c>
      <c r="H45" s="26">
        <f t="shared" si="1"/>
        <v>-0.19760000000000133</v>
      </c>
      <c r="I45" s="44">
        <f t="shared" si="2"/>
        <v>1.5579814497141129E-2</v>
      </c>
      <c r="J45" s="44">
        <f t="shared" si="9"/>
        <v>-7.6190476190476197E-2</v>
      </c>
      <c r="K45" s="45"/>
    </row>
    <row r="46" spans="1:11" s="1" customFormat="1" ht="13.5" thickBot="1" x14ac:dyDescent="0.25">
      <c r="A46" s="48" t="s">
        <v>105</v>
      </c>
      <c r="B46" s="49"/>
      <c r="C46" s="50"/>
      <c r="D46" s="50">
        <f>SUM(D44:D45)</f>
        <v>166.46539664999995</v>
      </c>
      <c r="E46" s="50"/>
      <c r="F46" s="50"/>
      <c r="G46" s="50">
        <f>SUM(G44:G45)</f>
        <v>169.05889664999995</v>
      </c>
      <c r="H46" s="50">
        <f t="shared" si="1"/>
        <v>2.5935000000000059</v>
      </c>
      <c r="I46" s="51">
        <f t="shared" si="2"/>
        <v>1.557981449714106E-2</v>
      </c>
      <c r="J46" s="51">
        <f t="shared" si="9"/>
        <v>1</v>
      </c>
      <c r="K46" s="52"/>
    </row>
    <row r="47" spans="1:11" x14ac:dyDescent="0.2">
      <c r="A47" s="53" t="s">
        <v>106</v>
      </c>
      <c r="B47" s="54"/>
      <c r="C47" s="55"/>
      <c r="D47" s="55">
        <f>SUM(D18,D25,D26,D28,D33,D40,D41)</f>
        <v>161.58320299999997</v>
      </c>
      <c r="E47" s="55"/>
      <c r="F47" s="55"/>
      <c r="G47" s="55">
        <f>SUM(G18,G25,G26,G28,G33,G40,G41)</f>
        <v>164.05320299999997</v>
      </c>
      <c r="H47" s="55">
        <f>G47-D47</f>
        <v>2.4699999999999989</v>
      </c>
      <c r="I47" s="56">
        <f>IF(ISERROR(H47/D47),0,(H47/D47))</f>
        <v>1.5286242345375461E-2</v>
      </c>
      <c r="J47" s="56"/>
      <c r="K47" s="57">
        <f>G47/$G$51</f>
        <v>0.95238095238095233</v>
      </c>
    </row>
    <row r="48" spans="1:11" x14ac:dyDescent="0.2">
      <c r="A48" s="58" t="s">
        <v>102</v>
      </c>
      <c r="B48" s="59"/>
      <c r="C48" s="31">
        <v>0.13</v>
      </c>
      <c r="D48" s="31">
        <f>D47*C48</f>
        <v>21.005816389999996</v>
      </c>
      <c r="E48" s="31"/>
      <c r="F48" s="31">
        <f>C48</f>
        <v>0.13</v>
      </c>
      <c r="G48" s="31">
        <f>G47*F48</f>
        <v>21.326916389999997</v>
      </c>
      <c r="H48" s="31">
        <f>G48-D48</f>
        <v>0.32110000000000127</v>
      </c>
      <c r="I48" s="32">
        <f>IF(ISERROR(H48/D48),0,(H48/D48))</f>
        <v>1.5286242345375529E-2</v>
      </c>
      <c r="J48" s="32"/>
      <c r="K48" s="60">
        <f>G48/$G$51</f>
        <v>0.12380952380952381</v>
      </c>
    </row>
    <row r="49" spans="1:11" x14ac:dyDescent="0.2">
      <c r="A49" s="61" t="s">
        <v>107</v>
      </c>
      <c r="B49" s="29"/>
      <c r="C49" s="30"/>
      <c r="D49" s="30">
        <f>SUM(D47:D48)</f>
        <v>182.58901938999998</v>
      </c>
      <c r="E49" s="30"/>
      <c r="F49" s="30"/>
      <c r="G49" s="30">
        <f>SUM(G47:G48)</f>
        <v>185.38011938999998</v>
      </c>
      <c r="H49" s="30">
        <f>G49-D49</f>
        <v>2.7911000000000001</v>
      </c>
      <c r="I49" s="33">
        <f>IF(ISERROR(H49/D49),0,(H49/D49))</f>
        <v>1.5286242345375468E-2</v>
      </c>
      <c r="J49" s="33"/>
      <c r="K49" s="62">
        <f>G49/$G$51</f>
        <v>1.0761904761904761</v>
      </c>
    </row>
    <row r="50" spans="1:11" x14ac:dyDescent="0.2">
      <c r="A50" s="58" t="s">
        <v>104</v>
      </c>
      <c r="B50" s="59"/>
      <c r="C50" s="31">
        <v>-0.08</v>
      </c>
      <c r="D50" s="31">
        <f>D47*C50</f>
        <v>-12.926656239999998</v>
      </c>
      <c r="E50" s="31"/>
      <c r="F50" s="31">
        <f>C50</f>
        <v>-0.08</v>
      </c>
      <c r="G50" s="31">
        <f>G47*F50</f>
        <v>-13.124256239999998</v>
      </c>
      <c r="H50" s="31">
        <f>G50-D50</f>
        <v>-0.19759999999999955</v>
      </c>
      <c r="I50" s="32">
        <f>IF(ISERROR(H50/D50),0,(H50/D50))</f>
        <v>1.5286242345375433E-2</v>
      </c>
      <c r="J50" s="32"/>
      <c r="K50" s="60">
        <f>G50/$G$51</f>
        <v>-7.6190476190476183E-2</v>
      </c>
    </row>
    <row r="51" spans="1:11" ht="13.5" thickBot="1" x14ac:dyDescent="0.25">
      <c r="A51" s="63" t="s">
        <v>116</v>
      </c>
      <c r="B51" s="64"/>
      <c r="C51" s="65"/>
      <c r="D51" s="65">
        <f>SUM(D49:D50)</f>
        <v>169.66236314999998</v>
      </c>
      <c r="E51" s="65"/>
      <c r="F51" s="65"/>
      <c r="G51" s="65">
        <f>SUM(G49:G50)</f>
        <v>172.25586314999998</v>
      </c>
      <c r="H51" s="65">
        <f>G51-D51</f>
        <v>2.5935000000000059</v>
      </c>
      <c r="I51" s="66">
        <f>IF(ISERROR(H51/D51),0,(H51/D51))</f>
        <v>1.5286242345375503E-2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1" tint="0.499984740745262"/>
    <pageSetUpPr fitToPage="1"/>
  </sheetPr>
  <dimension ref="A1:K68"/>
  <sheetViews>
    <sheetView tabSelected="1" view="pageBreakPreview" zoomScaleNormal="100" zoomScaleSheetLayoutView="100" workbookViewId="0">
      <selection activeCell="E1" sqref="E1:E1048576"/>
    </sheetView>
  </sheetViews>
  <sheetFormatPr defaultRowHeight="12.75" x14ac:dyDescent="0.2"/>
  <cols>
    <col min="1" max="1" width="64.7109375" bestFit="1" customWidth="1"/>
    <col min="2" max="2" width="15.5703125" bestFit="1" customWidth="1"/>
    <col min="3" max="3" width="10.5703125" customWidth="1"/>
    <col min="4" max="4" width="10.5703125" bestFit="1" customWidth="1"/>
    <col min="5" max="5" width="10.42578125" customWidth="1"/>
    <col min="6" max="6" width="10.140625" customWidth="1"/>
    <col min="7" max="7" width="12.28515625" customWidth="1"/>
    <col min="8" max="8" width="10.85546875" bestFit="1" customWidth="1"/>
    <col min="9" max="9" width="11.140625" bestFit="1" customWidth="1"/>
    <col min="10" max="10" width="10.42578125" customWidth="1"/>
    <col min="11" max="11" width="8.85546875" style="14"/>
    <col min="257" max="257" width="53.28515625" customWidth="1"/>
    <col min="258" max="258" width="15.5703125" bestFit="1" customWidth="1"/>
    <col min="259" max="259" width="10.5703125" customWidth="1"/>
    <col min="260" max="260" width="10.5703125" bestFit="1" customWidth="1"/>
    <col min="262" max="262" width="10.140625" customWidth="1"/>
    <col min="263" max="263" width="12.28515625" customWidth="1"/>
    <col min="264" max="264" width="10.85546875" bestFit="1" customWidth="1"/>
    <col min="265" max="265" width="11.140625" bestFit="1" customWidth="1"/>
    <col min="266" max="266" width="10.42578125" customWidth="1"/>
    <col min="513" max="513" width="53.28515625" customWidth="1"/>
    <col min="514" max="514" width="15.5703125" bestFit="1" customWidth="1"/>
    <col min="515" max="515" width="10.5703125" customWidth="1"/>
    <col min="516" max="516" width="10.5703125" bestFit="1" customWidth="1"/>
    <col min="518" max="518" width="10.140625" customWidth="1"/>
    <col min="519" max="519" width="12.28515625" customWidth="1"/>
    <col min="520" max="520" width="10.85546875" bestFit="1" customWidth="1"/>
    <col min="521" max="521" width="11.140625" bestFit="1" customWidth="1"/>
    <col min="522" max="522" width="10.42578125" customWidth="1"/>
    <col min="769" max="769" width="53.28515625" customWidth="1"/>
    <col min="770" max="770" width="15.5703125" bestFit="1" customWidth="1"/>
    <col min="771" max="771" width="10.5703125" customWidth="1"/>
    <col min="772" max="772" width="10.5703125" bestFit="1" customWidth="1"/>
    <col min="774" max="774" width="10.140625" customWidth="1"/>
    <col min="775" max="775" width="12.28515625" customWidth="1"/>
    <col min="776" max="776" width="10.85546875" bestFit="1" customWidth="1"/>
    <col min="777" max="777" width="11.140625" bestFit="1" customWidth="1"/>
    <col min="778" max="778" width="10.42578125" customWidth="1"/>
    <col min="1025" max="1025" width="53.28515625" customWidth="1"/>
    <col min="1026" max="1026" width="15.5703125" bestFit="1" customWidth="1"/>
    <col min="1027" max="1027" width="10.5703125" customWidth="1"/>
    <col min="1028" max="1028" width="10.5703125" bestFit="1" customWidth="1"/>
    <col min="1030" max="1030" width="10.140625" customWidth="1"/>
    <col min="1031" max="1031" width="12.28515625" customWidth="1"/>
    <col min="1032" max="1032" width="10.85546875" bestFit="1" customWidth="1"/>
    <col min="1033" max="1033" width="11.140625" bestFit="1" customWidth="1"/>
    <col min="1034" max="1034" width="10.42578125" customWidth="1"/>
    <col min="1281" max="1281" width="53.28515625" customWidth="1"/>
    <col min="1282" max="1282" width="15.5703125" bestFit="1" customWidth="1"/>
    <col min="1283" max="1283" width="10.5703125" customWidth="1"/>
    <col min="1284" max="1284" width="10.5703125" bestFit="1" customWidth="1"/>
    <col min="1286" max="1286" width="10.140625" customWidth="1"/>
    <col min="1287" max="1287" width="12.28515625" customWidth="1"/>
    <col min="1288" max="1288" width="10.85546875" bestFit="1" customWidth="1"/>
    <col min="1289" max="1289" width="11.140625" bestFit="1" customWidth="1"/>
    <col min="1290" max="1290" width="10.42578125" customWidth="1"/>
    <col min="1537" max="1537" width="53.28515625" customWidth="1"/>
    <col min="1538" max="1538" width="15.5703125" bestFit="1" customWidth="1"/>
    <col min="1539" max="1539" width="10.5703125" customWidth="1"/>
    <col min="1540" max="1540" width="10.5703125" bestFit="1" customWidth="1"/>
    <col min="1542" max="1542" width="10.140625" customWidth="1"/>
    <col min="1543" max="1543" width="12.28515625" customWidth="1"/>
    <col min="1544" max="1544" width="10.85546875" bestFit="1" customWidth="1"/>
    <col min="1545" max="1545" width="11.140625" bestFit="1" customWidth="1"/>
    <col min="1546" max="1546" width="10.42578125" customWidth="1"/>
    <col min="1793" max="1793" width="53.28515625" customWidth="1"/>
    <col min="1794" max="1794" width="15.5703125" bestFit="1" customWidth="1"/>
    <col min="1795" max="1795" width="10.5703125" customWidth="1"/>
    <col min="1796" max="1796" width="10.5703125" bestFit="1" customWidth="1"/>
    <col min="1798" max="1798" width="10.140625" customWidth="1"/>
    <col min="1799" max="1799" width="12.28515625" customWidth="1"/>
    <col min="1800" max="1800" width="10.85546875" bestFit="1" customWidth="1"/>
    <col min="1801" max="1801" width="11.140625" bestFit="1" customWidth="1"/>
    <col min="1802" max="1802" width="10.42578125" customWidth="1"/>
    <col min="2049" max="2049" width="53.28515625" customWidth="1"/>
    <col min="2050" max="2050" width="15.5703125" bestFit="1" customWidth="1"/>
    <col min="2051" max="2051" width="10.5703125" customWidth="1"/>
    <col min="2052" max="2052" width="10.5703125" bestFit="1" customWidth="1"/>
    <col min="2054" max="2054" width="10.140625" customWidth="1"/>
    <col min="2055" max="2055" width="12.28515625" customWidth="1"/>
    <col min="2056" max="2056" width="10.85546875" bestFit="1" customWidth="1"/>
    <col min="2057" max="2057" width="11.140625" bestFit="1" customWidth="1"/>
    <col min="2058" max="2058" width="10.42578125" customWidth="1"/>
    <col min="2305" max="2305" width="53.28515625" customWidth="1"/>
    <col min="2306" max="2306" width="15.5703125" bestFit="1" customWidth="1"/>
    <col min="2307" max="2307" width="10.5703125" customWidth="1"/>
    <col min="2308" max="2308" width="10.5703125" bestFit="1" customWidth="1"/>
    <col min="2310" max="2310" width="10.140625" customWidth="1"/>
    <col min="2311" max="2311" width="12.28515625" customWidth="1"/>
    <col min="2312" max="2312" width="10.85546875" bestFit="1" customWidth="1"/>
    <col min="2313" max="2313" width="11.140625" bestFit="1" customWidth="1"/>
    <col min="2314" max="2314" width="10.42578125" customWidth="1"/>
    <col min="2561" max="2561" width="53.28515625" customWidth="1"/>
    <col min="2562" max="2562" width="15.5703125" bestFit="1" customWidth="1"/>
    <col min="2563" max="2563" width="10.5703125" customWidth="1"/>
    <col min="2564" max="2564" width="10.5703125" bestFit="1" customWidth="1"/>
    <col min="2566" max="2566" width="10.140625" customWidth="1"/>
    <col min="2567" max="2567" width="12.28515625" customWidth="1"/>
    <col min="2568" max="2568" width="10.85546875" bestFit="1" customWidth="1"/>
    <col min="2569" max="2569" width="11.140625" bestFit="1" customWidth="1"/>
    <col min="2570" max="2570" width="10.42578125" customWidth="1"/>
    <col min="2817" max="2817" width="53.28515625" customWidth="1"/>
    <col min="2818" max="2818" width="15.5703125" bestFit="1" customWidth="1"/>
    <col min="2819" max="2819" width="10.5703125" customWidth="1"/>
    <col min="2820" max="2820" width="10.5703125" bestFit="1" customWidth="1"/>
    <col min="2822" max="2822" width="10.140625" customWidth="1"/>
    <col min="2823" max="2823" width="12.28515625" customWidth="1"/>
    <col min="2824" max="2824" width="10.85546875" bestFit="1" customWidth="1"/>
    <col min="2825" max="2825" width="11.140625" bestFit="1" customWidth="1"/>
    <col min="2826" max="2826" width="10.42578125" customWidth="1"/>
    <col min="3073" max="3073" width="53.28515625" customWidth="1"/>
    <col min="3074" max="3074" width="15.5703125" bestFit="1" customWidth="1"/>
    <col min="3075" max="3075" width="10.5703125" customWidth="1"/>
    <col min="3076" max="3076" width="10.5703125" bestFit="1" customWidth="1"/>
    <col min="3078" max="3078" width="10.140625" customWidth="1"/>
    <col min="3079" max="3079" width="12.28515625" customWidth="1"/>
    <col min="3080" max="3080" width="10.85546875" bestFit="1" customWidth="1"/>
    <col min="3081" max="3081" width="11.140625" bestFit="1" customWidth="1"/>
    <col min="3082" max="3082" width="10.42578125" customWidth="1"/>
    <col min="3329" max="3329" width="53.28515625" customWidth="1"/>
    <col min="3330" max="3330" width="15.5703125" bestFit="1" customWidth="1"/>
    <col min="3331" max="3331" width="10.5703125" customWidth="1"/>
    <col min="3332" max="3332" width="10.5703125" bestFit="1" customWidth="1"/>
    <col min="3334" max="3334" width="10.140625" customWidth="1"/>
    <col min="3335" max="3335" width="12.28515625" customWidth="1"/>
    <col min="3336" max="3336" width="10.85546875" bestFit="1" customWidth="1"/>
    <col min="3337" max="3337" width="11.140625" bestFit="1" customWidth="1"/>
    <col min="3338" max="3338" width="10.42578125" customWidth="1"/>
    <col min="3585" max="3585" width="53.28515625" customWidth="1"/>
    <col min="3586" max="3586" width="15.5703125" bestFit="1" customWidth="1"/>
    <col min="3587" max="3587" width="10.5703125" customWidth="1"/>
    <col min="3588" max="3588" width="10.5703125" bestFit="1" customWidth="1"/>
    <col min="3590" max="3590" width="10.140625" customWidth="1"/>
    <col min="3591" max="3591" width="12.28515625" customWidth="1"/>
    <col min="3592" max="3592" width="10.85546875" bestFit="1" customWidth="1"/>
    <col min="3593" max="3593" width="11.140625" bestFit="1" customWidth="1"/>
    <col min="3594" max="3594" width="10.42578125" customWidth="1"/>
    <col min="3841" max="3841" width="53.28515625" customWidth="1"/>
    <col min="3842" max="3842" width="15.5703125" bestFit="1" customWidth="1"/>
    <col min="3843" max="3843" width="10.5703125" customWidth="1"/>
    <col min="3844" max="3844" width="10.5703125" bestFit="1" customWidth="1"/>
    <col min="3846" max="3846" width="10.140625" customWidth="1"/>
    <col min="3847" max="3847" width="12.28515625" customWidth="1"/>
    <col min="3848" max="3848" width="10.85546875" bestFit="1" customWidth="1"/>
    <col min="3849" max="3849" width="11.140625" bestFit="1" customWidth="1"/>
    <col min="3850" max="3850" width="10.42578125" customWidth="1"/>
    <col min="4097" max="4097" width="53.28515625" customWidth="1"/>
    <col min="4098" max="4098" width="15.5703125" bestFit="1" customWidth="1"/>
    <col min="4099" max="4099" width="10.5703125" customWidth="1"/>
    <col min="4100" max="4100" width="10.5703125" bestFit="1" customWidth="1"/>
    <col min="4102" max="4102" width="10.140625" customWidth="1"/>
    <col min="4103" max="4103" width="12.28515625" customWidth="1"/>
    <col min="4104" max="4104" width="10.85546875" bestFit="1" customWidth="1"/>
    <col min="4105" max="4105" width="11.140625" bestFit="1" customWidth="1"/>
    <col min="4106" max="4106" width="10.42578125" customWidth="1"/>
    <col min="4353" max="4353" width="53.28515625" customWidth="1"/>
    <col min="4354" max="4354" width="15.5703125" bestFit="1" customWidth="1"/>
    <col min="4355" max="4355" width="10.5703125" customWidth="1"/>
    <col min="4356" max="4356" width="10.5703125" bestFit="1" customWidth="1"/>
    <col min="4358" max="4358" width="10.140625" customWidth="1"/>
    <col min="4359" max="4359" width="12.28515625" customWidth="1"/>
    <col min="4360" max="4360" width="10.85546875" bestFit="1" customWidth="1"/>
    <col min="4361" max="4361" width="11.140625" bestFit="1" customWidth="1"/>
    <col min="4362" max="4362" width="10.42578125" customWidth="1"/>
    <col min="4609" max="4609" width="53.28515625" customWidth="1"/>
    <col min="4610" max="4610" width="15.5703125" bestFit="1" customWidth="1"/>
    <col min="4611" max="4611" width="10.5703125" customWidth="1"/>
    <col min="4612" max="4612" width="10.5703125" bestFit="1" customWidth="1"/>
    <col min="4614" max="4614" width="10.140625" customWidth="1"/>
    <col min="4615" max="4615" width="12.28515625" customWidth="1"/>
    <col min="4616" max="4616" width="10.85546875" bestFit="1" customWidth="1"/>
    <col min="4617" max="4617" width="11.140625" bestFit="1" customWidth="1"/>
    <col min="4618" max="4618" width="10.42578125" customWidth="1"/>
    <col min="4865" max="4865" width="53.28515625" customWidth="1"/>
    <col min="4866" max="4866" width="15.5703125" bestFit="1" customWidth="1"/>
    <col min="4867" max="4867" width="10.5703125" customWidth="1"/>
    <col min="4868" max="4868" width="10.5703125" bestFit="1" customWidth="1"/>
    <col min="4870" max="4870" width="10.140625" customWidth="1"/>
    <col min="4871" max="4871" width="12.28515625" customWidth="1"/>
    <col min="4872" max="4872" width="10.85546875" bestFit="1" customWidth="1"/>
    <col min="4873" max="4873" width="11.140625" bestFit="1" customWidth="1"/>
    <col min="4874" max="4874" width="10.42578125" customWidth="1"/>
    <col min="5121" max="5121" width="53.28515625" customWidth="1"/>
    <col min="5122" max="5122" width="15.5703125" bestFit="1" customWidth="1"/>
    <col min="5123" max="5123" width="10.5703125" customWidth="1"/>
    <col min="5124" max="5124" width="10.5703125" bestFit="1" customWidth="1"/>
    <col min="5126" max="5126" width="10.140625" customWidth="1"/>
    <col min="5127" max="5127" width="12.28515625" customWidth="1"/>
    <col min="5128" max="5128" width="10.85546875" bestFit="1" customWidth="1"/>
    <col min="5129" max="5129" width="11.140625" bestFit="1" customWidth="1"/>
    <col min="5130" max="5130" width="10.42578125" customWidth="1"/>
    <col min="5377" max="5377" width="53.28515625" customWidth="1"/>
    <col min="5378" max="5378" width="15.5703125" bestFit="1" customWidth="1"/>
    <col min="5379" max="5379" width="10.5703125" customWidth="1"/>
    <col min="5380" max="5380" width="10.5703125" bestFit="1" customWidth="1"/>
    <col min="5382" max="5382" width="10.140625" customWidth="1"/>
    <col min="5383" max="5383" width="12.28515625" customWidth="1"/>
    <col min="5384" max="5384" width="10.85546875" bestFit="1" customWidth="1"/>
    <col min="5385" max="5385" width="11.140625" bestFit="1" customWidth="1"/>
    <col min="5386" max="5386" width="10.42578125" customWidth="1"/>
    <col min="5633" max="5633" width="53.28515625" customWidth="1"/>
    <col min="5634" max="5634" width="15.5703125" bestFit="1" customWidth="1"/>
    <col min="5635" max="5635" width="10.5703125" customWidth="1"/>
    <col min="5636" max="5636" width="10.5703125" bestFit="1" customWidth="1"/>
    <col min="5638" max="5638" width="10.140625" customWidth="1"/>
    <col min="5639" max="5639" width="12.28515625" customWidth="1"/>
    <col min="5640" max="5640" width="10.85546875" bestFit="1" customWidth="1"/>
    <col min="5641" max="5641" width="11.140625" bestFit="1" customWidth="1"/>
    <col min="5642" max="5642" width="10.42578125" customWidth="1"/>
    <col min="5889" max="5889" width="53.28515625" customWidth="1"/>
    <col min="5890" max="5890" width="15.5703125" bestFit="1" customWidth="1"/>
    <col min="5891" max="5891" width="10.5703125" customWidth="1"/>
    <col min="5892" max="5892" width="10.5703125" bestFit="1" customWidth="1"/>
    <col min="5894" max="5894" width="10.140625" customWidth="1"/>
    <col min="5895" max="5895" width="12.28515625" customWidth="1"/>
    <col min="5896" max="5896" width="10.85546875" bestFit="1" customWidth="1"/>
    <col min="5897" max="5897" width="11.140625" bestFit="1" customWidth="1"/>
    <col min="5898" max="5898" width="10.42578125" customWidth="1"/>
    <col min="6145" max="6145" width="53.28515625" customWidth="1"/>
    <col min="6146" max="6146" width="15.5703125" bestFit="1" customWidth="1"/>
    <col min="6147" max="6147" width="10.5703125" customWidth="1"/>
    <col min="6148" max="6148" width="10.5703125" bestFit="1" customWidth="1"/>
    <col min="6150" max="6150" width="10.140625" customWidth="1"/>
    <col min="6151" max="6151" width="12.28515625" customWidth="1"/>
    <col min="6152" max="6152" width="10.85546875" bestFit="1" customWidth="1"/>
    <col min="6153" max="6153" width="11.140625" bestFit="1" customWidth="1"/>
    <col min="6154" max="6154" width="10.42578125" customWidth="1"/>
    <col min="6401" max="6401" width="53.28515625" customWidth="1"/>
    <col min="6402" max="6402" width="15.5703125" bestFit="1" customWidth="1"/>
    <col min="6403" max="6403" width="10.5703125" customWidth="1"/>
    <col min="6404" max="6404" width="10.5703125" bestFit="1" customWidth="1"/>
    <col min="6406" max="6406" width="10.140625" customWidth="1"/>
    <col min="6407" max="6407" width="12.28515625" customWidth="1"/>
    <col min="6408" max="6408" width="10.85546875" bestFit="1" customWidth="1"/>
    <col min="6409" max="6409" width="11.140625" bestFit="1" customWidth="1"/>
    <col min="6410" max="6410" width="10.42578125" customWidth="1"/>
    <col min="6657" max="6657" width="53.28515625" customWidth="1"/>
    <col min="6658" max="6658" width="15.5703125" bestFit="1" customWidth="1"/>
    <col min="6659" max="6659" width="10.5703125" customWidth="1"/>
    <col min="6660" max="6660" width="10.5703125" bestFit="1" customWidth="1"/>
    <col min="6662" max="6662" width="10.140625" customWidth="1"/>
    <col min="6663" max="6663" width="12.28515625" customWidth="1"/>
    <col min="6664" max="6664" width="10.85546875" bestFit="1" customWidth="1"/>
    <col min="6665" max="6665" width="11.140625" bestFit="1" customWidth="1"/>
    <col min="6666" max="6666" width="10.42578125" customWidth="1"/>
    <col min="6913" max="6913" width="53.28515625" customWidth="1"/>
    <col min="6914" max="6914" width="15.5703125" bestFit="1" customWidth="1"/>
    <col min="6915" max="6915" width="10.5703125" customWidth="1"/>
    <col min="6916" max="6916" width="10.5703125" bestFit="1" customWidth="1"/>
    <col min="6918" max="6918" width="10.140625" customWidth="1"/>
    <col min="6919" max="6919" width="12.28515625" customWidth="1"/>
    <col min="6920" max="6920" width="10.85546875" bestFit="1" customWidth="1"/>
    <col min="6921" max="6921" width="11.140625" bestFit="1" customWidth="1"/>
    <col min="6922" max="6922" width="10.42578125" customWidth="1"/>
    <col min="7169" max="7169" width="53.28515625" customWidth="1"/>
    <col min="7170" max="7170" width="15.5703125" bestFit="1" customWidth="1"/>
    <col min="7171" max="7171" width="10.5703125" customWidth="1"/>
    <col min="7172" max="7172" width="10.5703125" bestFit="1" customWidth="1"/>
    <col min="7174" max="7174" width="10.140625" customWidth="1"/>
    <col min="7175" max="7175" width="12.28515625" customWidth="1"/>
    <col min="7176" max="7176" width="10.85546875" bestFit="1" customWidth="1"/>
    <col min="7177" max="7177" width="11.140625" bestFit="1" customWidth="1"/>
    <col min="7178" max="7178" width="10.42578125" customWidth="1"/>
    <col min="7425" max="7425" width="53.28515625" customWidth="1"/>
    <col min="7426" max="7426" width="15.5703125" bestFit="1" customWidth="1"/>
    <col min="7427" max="7427" width="10.5703125" customWidth="1"/>
    <col min="7428" max="7428" width="10.5703125" bestFit="1" customWidth="1"/>
    <col min="7430" max="7430" width="10.140625" customWidth="1"/>
    <col min="7431" max="7431" width="12.28515625" customWidth="1"/>
    <col min="7432" max="7432" width="10.85546875" bestFit="1" customWidth="1"/>
    <col min="7433" max="7433" width="11.140625" bestFit="1" customWidth="1"/>
    <col min="7434" max="7434" width="10.42578125" customWidth="1"/>
    <col min="7681" max="7681" width="53.28515625" customWidth="1"/>
    <col min="7682" max="7682" width="15.5703125" bestFit="1" customWidth="1"/>
    <col min="7683" max="7683" width="10.5703125" customWidth="1"/>
    <col min="7684" max="7684" width="10.5703125" bestFit="1" customWidth="1"/>
    <col min="7686" max="7686" width="10.140625" customWidth="1"/>
    <col min="7687" max="7687" width="12.28515625" customWidth="1"/>
    <col min="7688" max="7688" width="10.85546875" bestFit="1" customWidth="1"/>
    <col min="7689" max="7689" width="11.140625" bestFit="1" customWidth="1"/>
    <col min="7690" max="7690" width="10.42578125" customWidth="1"/>
    <col min="7937" max="7937" width="53.28515625" customWidth="1"/>
    <col min="7938" max="7938" width="15.5703125" bestFit="1" customWidth="1"/>
    <col min="7939" max="7939" width="10.5703125" customWidth="1"/>
    <col min="7940" max="7940" width="10.5703125" bestFit="1" customWidth="1"/>
    <col min="7942" max="7942" width="10.140625" customWidth="1"/>
    <col min="7943" max="7943" width="12.28515625" customWidth="1"/>
    <col min="7944" max="7944" width="10.85546875" bestFit="1" customWidth="1"/>
    <col min="7945" max="7945" width="11.140625" bestFit="1" customWidth="1"/>
    <col min="7946" max="7946" width="10.42578125" customWidth="1"/>
    <col min="8193" max="8193" width="53.28515625" customWidth="1"/>
    <col min="8194" max="8194" width="15.5703125" bestFit="1" customWidth="1"/>
    <col min="8195" max="8195" width="10.5703125" customWidth="1"/>
    <col min="8196" max="8196" width="10.5703125" bestFit="1" customWidth="1"/>
    <col min="8198" max="8198" width="10.140625" customWidth="1"/>
    <col min="8199" max="8199" width="12.28515625" customWidth="1"/>
    <col min="8200" max="8200" width="10.85546875" bestFit="1" customWidth="1"/>
    <col min="8201" max="8201" width="11.140625" bestFit="1" customWidth="1"/>
    <col min="8202" max="8202" width="10.42578125" customWidth="1"/>
    <col min="8449" max="8449" width="53.28515625" customWidth="1"/>
    <col min="8450" max="8450" width="15.5703125" bestFit="1" customWidth="1"/>
    <col min="8451" max="8451" width="10.5703125" customWidth="1"/>
    <col min="8452" max="8452" width="10.5703125" bestFit="1" customWidth="1"/>
    <col min="8454" max="8454" width="10.140625" customWidth="1"/>
    <col min="8455" max="8455" width="12.28515625" customWidth="1"/>
    <col min="8456" max="8456" width="10.85546875" bestFit="1" customWidth="1"/>
    <col min="8457" max="8457" width="11.140625" bestFit="1" customWidth="1"/>
    <col min="8458" max="8458" width="10.42578125" customWidth="1"/>
    <col min="8705" max="8705" width="53.28515625" customWidth="1"/>
    <col min="8706" max="8706" width="15.5703125" bestFit="1" customWidth="1"/>
    <col min="8707" max="8707" width="10.5703125" customWidth="1"/>
    <col min="8708" max="8708" width="10.5703125" bestFit="1" customWidth="1"/>
    <col min="8710" max="8710" width="10.140625" customWidth="1"/>
    <col min="8711" max="8711" width="12.28515625" customWidth="1"/>
    <col min="8712" max="8712" width="10.85546875" bestFit="1" customWidth="1"/>
    <col min="8713" max="8713" width="11.140625" bestFit="1" customWidth="1"/>
    <col min="8714" max="8714" width="10.42578125" customWidth="1"/>
    <col min="8961" max="8961" width="53.28515625" customWidth="1"/>
    <col min="8962" max="8962" width="15.5703125" bestFit="1" customWidth="1"/>
    <col min="8963" max="8963" width="10.5703125" customWidth="1"/>
    <col min="8964" max="8964" width="10.5703125" bestFit="1" customWidth="1"/>
    <col min="8966" max="8966" width="10.140625" customWidth="1"/>
    <col min="8967" max="8967" width="12.28515625" customWidth="1"/>
    <col min="8968" max="8968" width="10.85546875" bestFit="1" customWidth="1"/>
    <col min="8969" max="8969" width="11.140625" bestFit="1" customWidth="1"/>
    <col min="8970" max="8970" width="10.42578125" customWidth="1"/>
    <col min="9217" max="9217" width="53.28515625" customWidth="1"/>
    <col min="9218" max="9218" width="15.5703125" bestFit="1" customWidth="1"/>
    <col min="9219" max="9219" width="10.5703125" customWidth="1"/>
    <col min="9220" max="9220" width="10.5703125" bestFit="1" customWidth="1"/>
    <col min="9222" max="9222" width="10.140625" customWidth="1"/>
    <col min="9223" max="9223" width="12.28515625" customWidth="1"/>
    <col min="9224" max="9224" width="10.85546875" bestFit="1" customWidth="1"/>
    <col min="9225" max="9225" width="11.140625" bestFit="1" customWidth="1"/>
    <col min="9226" max="9226" width="10.42578125" customWidth="1"/>
    <col min="9473" max="9473" width="53.28515625" customWidth="1"/>
    <col min="9474" max="9474" width="15.5703125" bestFit="1" customWidth="1"/>
    <col min="9475" max="9475" width="10.5703125" customWidth="1"/>
    <col min="9476" max="9476" width="10.5703125" bestFit="1" customWidth="1"/>
    <col min="9478" max="9478" width="10.140625" customWidth="1"/>
    <col min="9479" max="9479" width="12.28515625" customWidth="1"/>
    <col min="9480" max="9480" width="10.85546875" bestFit="1" customWidth="1"/>
    <col min="9481" max="9481" width="11.140625" bestFit="1" customWidth="1"/>
    <col min="9482" max="9482" width="10.42578125" customWidth="1"/>
    <col min="9729" max="9729" width="53.28515625" customWidth="1"/>
    <col min="9730" max="9730" width="15.5703125" bestFit="1" customWidth="1"/>
    <col min="9731" max="9731" width="10.5703125" customWidth="1"/>
    <col min="9732" max="9732" width="10.5703125" bestFit="1" customWidth="1"/>
    <col min="9734" max="9734" width="10.140625" customWidth="1"/>
    <col min="9735" max="9735" width="12.28515625" customWidth="1"/>
    <col min="9736" max="9736" width="10.85546875" bestFit="1" customWidth="1"/>
    <col min="9737" max="9737" width="11.140625" bestFit="1" customWidth="1"/>
    <col min="9738" max="9738" width="10.42578125" customWidth="1"/>
    <col min="9985" max="9985" width="53.28515625" customWidth="1"/>
    <col min="9986" max="9986" width="15.5703125" bestFit="1" customWidth="1"/>
    <col min="9987" max="9987" width="10.5703125" customWidth="1"/>
    <col min="9988" max="9988" width="10.5703125" bestFit="1" customWidth="1"/>
    <col min="9990" max="9990" width="10.140625" customWidth="1"/>
    <col min="9991" max="9991" width="12.28515625" customWidth="1"/>
    <col min="9992" max="9992" width="10.85546875" bestFit="1" customWidth="1"/>
    <col min="9993" max="9993" width="11.140625" bestFit="1" customWidth="1"/>
    <col min="9994" max="9994" width="10.42578125" customWidth="1"/>
    <col min="10241" max="10241" width="53.28515625" customWidth="1"/>
    <col min="10242" max="10242" width="15.5703125" bestFit="1" customWidth="1"/>
    <col min="10243" max="10243" width="10.5703125" customWidth="1"/>
    <col min="10244" max="10244" width="10.5703125" bestFit="1" customWidth="1"/>
    <col min="10246" max="10246" width="10.140625" customWidth="1"/>
    <col min="10247" max="10247" width="12.28515625" customWidth="1"/>
    <col min="10248" max="10248" width="10.85546875" bestFit="1" customWidth="1"/>
    <col min="10249" max="10249" width="11.140625" bestFit="1" customWidth="1"/>
    <col min="10250" max="10250" width="10.42578125" customWidth="1"/>
    <col min="10497" max="10497" width="53.28515625" customWidth="1"/>
    <col min="10498" max="10498" width="15.5703125" bestFit="1" customWidth="1"/>
    <col min="10499" max="10499" width="10.5703125" customWidth="1"/>
    <col min="10500" max="10500" width="10.5703125" bestFit="1" customWidth="1"/>
    <col min="10502" max="10502" width="10.140625" customWidth="1"/>
    <col min="10503" max="10503" width="12.28515625" customWidth="1"/>
    <col min="10504" max="10504" width="10.85546875" bestFit="1" customWidth="1"/>
    <col min="10505" max="10505" width="11.140625" bestFit="1" customWidth="1"/>
    <col min="10506" max="10506" width="10.42578125" customWidth="1"/>
    <col min="10753" max="10753" width="53.28515625" customWidth="1"/>
    <col min="10754" max="10754" width="15.5703125" bestFit="1" customWidth="1"/>
    <col min="10755" max="10755" width="10.5703125" customWidth="1"/>
    <col min="10756" max="10756" width="10.5703125" bestFit="1" customWidth="1"/>
    <col min="10758" max="10758" width="10.140625" customWidth="1"/>
    <col min="10759" max="10759" width="12.28515625" customWidth="1"/>
    <col min="10760" max="10760" width="10.85546875" bestFit="1" customWidth="1"/>
    <col min="10761" max="10761" width="11.140625" bestFit="1" customWidth="1"/>
    <col min="10762" max="10762" width="10.42578125" customWidth="1"/>
    <col min="11009" max="11009" width="53.28515625" customWidth="1"/>
    <col min="11010" max="11010" width="15.5703125" bestFit="1" customWidth="1"/>
    <col min="11011" max="11011" width="10.5703125" customWidth="1"/>
    <col min="11012" max="11012" width="10.5703125" bestFit="1" customWidth="1"/>
    <col min="11014" max="11014" width="10.140625" customWidth="1"/>
    <col min="11015" max="11015" width="12.28515625" customWidth="1"/>
    <col min="11016" max="11016" width="10.85546875" bestFit="1" customWidth="1"/>
    <col min="11017" max="11017" width="11.140625" bestFit="1" customWidth="1"/>
    <col min="11018" max="11018" width="10.42578125" customWidth="1"/>
    <col min="11265" max="11265" width="53.28515625" customWidth="1"/>
    <col min="11266" max="11266" width="15.5703125" bestFit="1" customWidth="1"/>
    <col min="11267" max="11267" width="10.5703125" customWidth="1"/>
    <col min="11268" max="11268" width="10.5703125" bestFit="1" customWidth="1"/>
    <col min="11270" max="11270" width="10.140625" customWidth="1"/>
    <col min="11271" max="11271" width="12.28515625" customWidth="1"/>
    <col min="11272" max="11272" width="10.85546875" bestFit="1" customWidth="1"/>
    <col min="11273" max="11273" width="11.140625" bestFit="1" customWidth="1"/>
    <col min="11274" max="11274" width="10.42578125" customWidth="1"/>
    <col min="11521" max="11521" width="53.28515625" customWidth="1"/>
    <col min="11522" max="11522" width="15.5703125" bestFit="1" customWidth="1"/>
    <col min="11523" max="11523" width="10.5703125" customWidth="1"/>
    <col min="11524" max="11524" width="10.5703125" bestFit="1" customWidth="1"/>
    <col min="11526" max="11526" width="10.140625" customWidth="1"/>
    <col min="11527" max="11527" width="12.28515625" customWidth="1"/>
    <col min="11528" max="11528" width="10.85546875" bestFit="1" customWidth="1"/>
    <col min="11529" max="11529" width="11.140625" bestFit="1" customWidth="1"/>
    <col min="11530" max="11530" width="10.42578125" customWidth="1"/>
    <col min="11777" max="11777" width="53.28515625" customWidth="1"/>
    <col min="11778" max="11778" width="15.5703125" bestFit="1" customWidth="1"/>
    <col min="11779" max="11779" width="10.5703125" customWidth="1"/>
    <col min="11780" max="11780" width="10.5703125" bestFit="1" customWidth="1"/>
    <col min="11782" max="11782" width="10.140625" customWidth="1"/>
    <col min="11783" max="11783" width="12.28515625" customWidth="1"/>
    <col min="11784" max="11784" width="10.85546875" bestFit="1" customWidth="1"/>
    <col min="11785" max="11785" width="11.140625" bestFit="1" customWidth="1"/>
    <col min="11786" max="11786" width="10.42578125" customWidth="1"/>
    <col min="12033" max="12033" width="53.28515625" customWidth="1"/>
    <col min="12034" max="12034" width="15.5703125" bestFit="1" customWidth="1"/>
    <col min="12035" max="12035" width="10.5703125" customWidth="1"/>
    <col min="12036" max="12036" width="10.5703125" bestFit="1" customWidth="1"/>
    <col min="12038" max="12038" width="10.140625" customWidth="1"/>
    <col min="12039" max="12039" width="12.28515625" customWidth="1"/>
    <col min="12040" max="12040" width="10.85546875" bestFit="1" customWidth="1"/>
    <col min="12041" max="12041" width="11.140625" bestFit="1" customWidth="1"/>
    <col min="12042" max="12042" width="10.42578125" customWidth="1"/>
    <col min="12289" max="12289" width="53.28515625" customWidth="1"/>
    <col min="12290" max="12290" width="15.5703125" bestFit="1" customWidth="1"/>
    <col min="12291" max="12291" width="10.5703125" customWidth="1"/>
    <col min="12292" max="12292" width="10.5703125" bestFit="1" customWidth="1"/>
    <col min="12294" max="12294" width="10.140625" customWidth="1"/>
    <col min="12295" max="12295" width="12.28515625" customWidth="1"/>
    <col min="12296" max="12296" width="10.85546875" bestFit="1" customWidth="1"/>
    <col min="12297" max="12297" width="11.140625" bestFit="1" customWidth="1"/>
    <col min="12298" max="12298" width="10.42578125" customWidth="1"/>
    <col min="12545" max="12545" width="53.28515625" customWidth="1"/>
    <col min="12546" max="12546" width="15.5703125" bestFit="1" customWidth="1"/>
    <col min="12547" max="12547" width="10.5703125" customWidth="1"/>
    <col min="12548" max="12548" width="10.5703125" bestFit="1" customWidth="1"/>
    <col min="12550" max="12550" width="10.140625" customWidth="1"/>
    <col min="12551" max="12551" width="12.28515625" customWidth="1"/>
    <col min="12552" max="12552" width="10.85546875" bestFit="1" customWidth="1"/>
    <col min="12553" max="12553" width="11.140625" bestFit="1" customWidth="1"/>
    <col min="12554" max="12554" width="10.42578125" customWidth="1"/>
    <col min="12801" max="12801" width="53.28515625" customWidth="1"/>
    <col min="12802" max="12802" width="15.5703125" bestFit="1" customWidth="1"/>
    <col min="12803" max="12803" width="10.5703125" customWidth="1"/>
    <col min="12804" max="12804" width="10.5703125" bestFit="1" customWidth="1"/>
    <col min="12806" max="12806" width="10.140625" customWidth="1"/>
    <col min="12807" max="12807" width="12.28515625" customWidth="1"/>
    <col min="12808" max="12808" width="10.85546875" bestFit="1" customWidth="1"/>
    <col min="12809" max="12809" width="11.140625" bestFit="1" customWidth="1"/>
    <col min="12810" max="12810" width="10.42578125" customWidth="1"/>
    <col min="13057" max="13057" width="53.28515625" customWidth="1"/>
    <col min="13058" max="13058" width="15.5703125" bestFit="1" customWidth="1"/>
    <col min="13059" max="13059" width="10.5703125" customWidth="1"/>
    <col min="13060" max="13060" width="10.5703125" bestFit="1" customWidth="1"/>
    <col min="13062" max="13062" width="10.140625" customWidth="1"/>
    <col min="13063" max="13063" width="12.28515625" customWidth="1"/>
    <col min="13064" max="13064" width="10.85546875" bestFit="1" customWidth="1"/>
    <col min="13065" max="13065" width="11.140625" bestFit="1" customWidth="1"/>
    <col min="13066" max="13066" width="10.42578125" customWidth="1"/>
    <col min="13313" max="13313" width="53.28515625" customWidth="1"/>
    <col min="13314" max="13314" width="15.5703125" bestFit="1" customWidth="1"/>
    <col min="13315" max="13315" width="10.5703125" customWidth="1"/>
    <col min="13316" max="13316" width="10.5703125" bestFit="1" customWidth="1"/>
    <col min="13318" max="13318" width="10.140625" customWidth="1"/>
    <col min="13319" max="13319" width="12.28515625" customWidth="1"/>
    <col min="13320" max="13320" width="10.85546875" bestFit="1" customWidth="1"/>
    <col min="13321" max="13321" width="11.140625" bestFit="1" customWidth="1"/>
    <col min="13322" max="13322" width="10.42578125" customWidth="1"/>
    <col min="13569" max="13569" width="53.28515625" customWidth="1"/>
    <col min="13570" max="13570" width="15.5703125" bestFit="1" customWidth="1"/>
    <col min="13571" max="13571" width="10.5703125" customWidth="1"/>
    <col min="13572" max="13572" width="10.5703125" bestFit="1" customWidth="1"/>
    <col min="13574" max="13574" width="10.140625" customWidth="1"/>
    <col min="13575" max="13575" width="12.28515625" customWidth="1"/>
    <col min="13576" max="13576" width="10.85546875" bestFit="1" customWidth="1"/>
    <col min="13577" max="13577" width="11.140625" bestFit="1" customWidth="1"/>
    <col min="13578" max="13578" width="10.42578125" customWidth="1"/>
    <col min="13825" max="13825" width="53.28515625" customWidth="1"/>
    <col min="13826" max="13826" width="15.5703125" bestFit="1" customWidth="1"/>
    <col min="13827" max="13827" width="10.5703125" customWidth="1"/>
    <col min="13828" max="13828" width="10.5703125" bestFit="1" customWidth="1"/>
    <col min="13830" max="13830" width="10.140625" customWidth="1"/>
    <col min="13831" max="13831" width="12.28515625" customWidth="1"/>
    <col min="13832" max="13832" width="10.85546875" bestFit="1" customWidth="1"/>
    <col min="13833" max="13833" width="11.140625" bestFit="1" customWidth="1"/>
    <col min="13834" max="13834" width="10.42578125" customWidth="1"/>
    <col min="14081" max="14081" width="53.28515625" customWidth="1"/>
    <col min="14082" max="14082" width="15.5703125" bestFit="1" customWidth="1"/>
    <col min="14083" max="14083" width="10.5703125" customWidth="1"/>
    <col min="14084" max="14084" width="10.5703125" bestFit="1" customWidth="1"/>
    <col min="14086" max="14086" width="10.140625" customWidth="1"/>
    <col min="14087" max="14087" width="12.28515625" customWidth="1"/>
    <col min="14088" max="14088" width="10.85546875" bestFit="1" customWidth="1"/>
    <col min="14089" max="14089" width="11.140625" bestFit="1" customWidth="1"/>
    <col min="14090" max="14090" width="10.42578125" customWidth="1"/>
    <col min="14337" max="14337" width="53.28515625" customWidth="1"/>
    <col min="14338" max="14338" width="15.5703125" bestFit="1" customWidth="1"/>
    <col min="14339" max="14339" width="10.5703125" customWidth="1"/>
    <col min="14340" max="14340" width="10.5703125" bestFit="1" customWidth="1"/>
    <col min="14342" max="14342" width="10.140625" customWidth="1"/>
    <col min="14343" max="14343" width="12.28515625" customWidth="1"/>
    <col min="14344" max="14344" width="10.85546875" bestFit="1" customWidth="1"/>
    <col min="14345" max="14345" width="11.140625" bestFit="1" customWidth="1"/>
    <col min="14346" max="14346" width="10.42578125" customWidth="1"/>
    <col min="14593" max="14593" width="53.28515625" customWidth="1"/>
    <col min="14594" max="14594" width="15.5703125" bestFit="1" customWidth="1"/>
    <col min="14595" max="14595" width="10.5703125" customWidth="1"/>
    <col min="14596" max="14596" width="10.5703125" bestFit="1" customWidth="1"/>
    <col min="14598" max="14598" width="10.140625" customWidth="1"/>
    <col min="14599" max="14599" width="12.28515625" customWidth="1"/>
    <col min="14600" max="14600" width="10.85546875" bestFit="1" customWidth="1"/>
    <col min="14601" max="14601" width="11.140625" bestFit="1" customWidth="1"/>
    <col min="14602" max="14602" width="10.42578125" customWidth="1"/>
    <col min="14849" max="14849" width="53.28515625" customWidth="1"/>
    <col min="14850" max="14850" width="15.5703125" bestFit="1" customWidth="1"/>
    <col min="14851" max="14851" width="10.5703125" customWidth="1"/>
    <col min="14852" max="14852" width="10.5703125" bestFit="1" customWidth="1"/>
    <col min="14854" max="14854" width="10.140625" customWidth="1"/>
    <col min="14855" max="14855" width="12.28515625" customWidth="1"/>
    <col min="14856" max="14856" width="10.85546875" bestFit="1" customWidth="1"/>
    <col min="14857" max="14857" width="11.140625" bestFit="1" customWidth="1"/>
    <col min="14858" max="14858" width="10.42578125" customWidth="1"/>
    <col min="15105" max="15105" width="53.28515625" customWidth="1"/>
    <col min="15106" max="15106" width="15.5703125" bestFit="1" customWidth="1"/>
    <col min="15107" max="15107" width="10.5703125" customWidth="1"/>
    <col min="15108" max="15108" width="10.5703125" bestFit="1" customWidth="1"/>
    <col min="15110" max="15110" width="10.140625" customWidth="1"/>
    <col min="15111" max="15111" width="12.28515625" customWidth="1"/>
    <col min="15112" max="15112" width="10.85546875" bestFit="1" customWidth="1"/>
    <col min="15113" max="15113" width="11.140625" bestFit="1" customWidth="1"/>
    <col min="15114" max="15114" width="10.42578125" customWidth="1"/>
    <col min="15361" max="15361" width="53.28515625" customWidth="1"/>
    <col min="15362" max="15362" width="15.5703125" bestFit="1" customWidth="1"/>
    <col min="15363" max="15363" width="10.5703125" customWidth="1"/>
    <col min="15364" max="15364" width="10.5703125" bestFit="1" customWidth="1"/>
    <col min="15366" max="15366" width="10.140625" customWidth="1"/>
    <col min="15367" max="15367" width="12.28515625" customWidth="1"/>
    <col min="15368" max="15368" width="10.85546875" bestFit="1" customWidth="1"/>
    <col min="15369" max="15369" width="11.140625" bestFit="1" customWidth="1"/>
    <col min="15370" max="15370" width="10.42578125" customWidth="1"/>
    <col min="15617" max="15617" width="53.28515625" customWidth="1"/>
    <col min="15618" max="15618" width="15.5703125" bestFit="1" customWidth="1"/>
    <col min="15619" max="15619" width="10.5703125" customWidth="1"/>
    <col min="15620" max="15620" width="10.5703125" bestFit="1" customWidth="1"/>
    <col min="15622" max="15622" width="10.140625" customWidth="1"/>
    <col min="15623" max="15623" width="12.28515625" customWidth="1"/>
    <col min="15624" max="15624" width="10.85546875" bestFit="1" customWidth="1"/>
    <col min="15625" max="15625" width="11.140625" bestFit="1" customWidth="1"/>
    <col min="15626" max="15626" width="10.42578125" customWidth="1"/>
    <col min="15873" max="15873" width="53.28515625" customWidth="1"/>
    <col min="15874" max="15874" width="15.5703125" bestFit="1" customWidth="1"/>
    <col min="15875" max="15875" width="10.5703125" customWidth="1"/>
    <col min="15876" max="15876" width="10.5703125" bestFit="1" customWidth="1"/>
    <col min="15878" max="15878" width="10.140625" customWidth="1"/>
    <col min="15879" max="15879" width="12.28515625" customWidth="1"/>
    <col min="15880" max="15880" width="10.85546875" bestFit="1" customWidth="1"/>
    <col min="15881" max="15881" width="11.140625" bestFit="1" customWidth="1"/>
    <col min="15882" max="15882" width="10.42578125" customWidth="1"/>
    <col min="16129" max="16129" width="53.28515625" customWidth="1"/>
    <col min="16130" max="16130" width="15.5703125" bestFit="1" customWidth="1"/>
    <col min="16131" max="16131" width="10.5703125" customWidth="1"/>
    <col min="16132" max="16132" width="10.5703125" bestFit="1" customWidth="1"/>
    <col min="16134" max="16134" width="10.140625" customWidth="1"/>
    <col min="16135" max="16135" width="12.28515625" customWidth="1"/>
    <col min="16136" max="16136" width="10.85546875" bestFit="1" customWidth="1"/>
    <col min="16137" max="16137" width="11.140625" bestFit="1" customWidth="1"/>
    <col min="16138" max="16138" width="10.42578125" customWidth="1"/>
  </cols>
  <sheetData>
    <row r="1" spans="1:11" ht="16.5" thickBot="1" x14ac:dyDescent="0.3">
      <c r="A1" s="187" t="s">
        <v>120</v>
      </c>
      <c r="B1" s="188"/>
      <c r="C1" s="188"/>
      <c r="D1" s="188"/>
      <c r="E1" s="188"/>
      <c r="F1" s="188"/>
      <c r="G1" s="188"/>
      <c r="H1" s="188"/>
      <c r="I1" s="188"/>
      <c r="J1" s="188"/>
      <c r="K1" s="189"/>
    </row>
    <row r="3" spans="1:11" x14ac:dyDescent="0.2">
      <c r="A3" s="13" t="s">
        <v>13</v>
      </c>
      <c r="B3" s="13" t="s">
        <v>1</v>
      </c>
    </row>
    <row r="4" spans="1:11" x14ac:dyDescent="0.2">
      <c r="A4" s="15" t="s">
        <v>62</v>
      </c>
      <c r="B4" s="15">
        <f>VLOOKUP(B3,'Data for Bill Impacts'!A19:D31,3,FALSE)</f>
        <v>920</v>
      </c>
    </row>
    <row r="5" spans="1:11" x14ac:dyDescent="0.2">
      <c r="A5" s="15" t="s">
        <v>16</v>
      </c>
      <c r="B5" s="15">
        <f>VLOOKUP($B$3,'Data for Bill Impacts'!$A$3:$Y$15,5,0)</f>
        <v>0</v>
      </c>
    </row>
    <row r="6" spans="1:11" x14ac:dyDescent="0.2">
      <c r="A6" s="15" t="s">
        <v>20</v>
      </c>
      <c r="B6" s="15">
        <f>VLOOKUP($B$3,'Data for Bill Impacts'!$A$3:$Y$15,2,0)</f>
        <v>1.0760000000000001</v>
      </c>
    </row>
    <row r="7" spans="1:11" x14ac:dyDescent="0.2">
      <c r="A7" s="15" t="s">
        <v>15</v>
      </c>
      <c r="B7" s="15">
        <f>VLOOKUP($B$3,'Data for Bill Impacts'!$A$3:$Y$15,4,0)</f>
        <v>600</v>
      </c>
    </row>
    <row r="8" spans="1:11" x14ac:dyDescent="0.2">
      <c r="A8" s="15" t="s">
        <v>82</v>
      </c>
      <c r="B8" s="169">
        <f>B4*B6</f>
        <v>989.92000000000007</v>
      </c>
    </row>
    <row r="9" spans="1:11" x14ac:dyDescent="0.2">
      <c r="A9" s="15" t="s">
        <v>21</v>
      </c>
      <c r="B9" s="16" t="str">
        <f>VLOOKUP($B$3,'Data for Bill Impacts'!$A$3:$Y$15,6,0)</f>
        <v>kWh</v>
      </c>
    </row>
    <row r="10" spans="1:11" ht="13.5" thickBot="1" x14ac:dyDescent="0.25"/>
    <row r="11" spans="1:11" s="20" customFormat="1" ht="51.75" thickBot="1" x14ac:dyDescent="0.25">
      <c r="A11" s="17"/>
      <c r="B11" s="18" t="s">
        <v>22</v>
      </c>
      <c r="C11" s="18" t="s">
        <v>23</v>
      </c>
      <c r="D11" s="18" t="s">
        <v>24</v>
      </c>
      <c r="E11" s="18" t="s">
        <v>22</v>
      </c>
      <c r="F11" s="18" t="s">
        <v>25</v>
      </c>
      <c r="G11" s="18" t="s">
        <v>26</v>
      </c>
      <c r="H11" s="18" t="s">
        <v>27</v>
      </c>
      <c r="I11" s="18" t="s">
        <v>28</v>
      </c>
      <c r="J11" s="18" t="s">
        <v>29</v>
      </c>
      <c r="K11" s="19" t="s">
        <v>30</v>
      </c>
    </row>
    <row r="12" spans="1:11" x14ac:dyDescent="0.2">
      <c r="A12" s="101" t="s">
        <v>31</v>
      </c>
      <c r="B12" s="102">
        <f>IF(B4&gt;B7,B7,B4)</f>
        <v>600</v>
      </c>
      <c r="C12" s="103">
        <v>0.10299999999999999</v>
      </c>
      <c r="D12" s="104">
        <f>B12*C12</f>
        <v>61.8</v>
      </c>
      <c r="E12" s="102">
        <f>B12</f>
        <v>600</v>
      </c>
      <c r="F12" s="103">
        <f>C12</f>
        <v>0.10299999999999999</v>
      </c>
      <c r="G12" s="104">
        <f>E12*F12</f>
        <v>61.8</v>
      </c>
      <c r="H12" s="104">
        <f>G12-D12</f>
        <v>0</v>
      </c>
      <c r="I12" s="105">
        <f>IF(ISERROR(H12/D12),0,(H12/D12))</f>
        <v>0</v>
      </c>
      <c r="J12" s="105">
        <f>G12/$G$46</f>
        <v>0.30954744514420496</v>
      </c>
      <c r="K12" s="106"/>
    </row>
    <row r="13" spans="1:11" x14ac:dyDescent="0.2">
      <c r="A13" s="107" t="s">
        <v>32</v>
      </c>
      <c r="B13" s="73">
        <f>IF(B4&gt;B7,(B4)-B7,0)</f>
        <v>320</v>
      </c>
      <c r="C13" s="21">
        <v>0.121</v>
      </c>
      <c r="D13" s="22">
        <f>B13*C13</f>
        <v>38.72</v>
      </c>
      <c r="E13" s="73">
        <f t="shared" ref="E13" si="0">B13</f>
        <v>320</v>
      </c>
      <c r="F13" s="21">
        <f>C13</f>
        <v>0.121</v>
      </c>
      <c r="G13" s="22">
        <f>E13*F13</f>
        <v>38.72</v>
      </c>
      <c r="H13" s="22">
        <f t="shared" ref="H13:H46" si="1">G13-D13</f>
        <v>0</v>
      </c>
      <c r="I13" s="23">
        <f t="shared" ref="I13:I46" si="2">IF(ISERROR(H13/D13),0,(H13/D13))</f>
        <v>0</v>
      </c>
      <c r="J13" s="23">
        <f>G13/$G$46</f>
        <v>0.19394299475701643</v>
      </c>
      <c r="K13" s="108"/>
    </row>
    <row r="14" spans="1:11" s="1" customFormat="1" x14ac:dyDescent="0.2">
      <c r="A14" s="46" t="s">
        <v>33</v>
      </c>
      <c r="B14" s="24"/>
      <c r="C14" s="25"/>
      <c r="D14" s="25">
        <f>SUM(D12:D13)</f>
        <v>100.52</v>
      </c>
      <c r="E14" s="76"/>
      <c r="F14" s="25"/>
      <c r="G14" s="25">
        <f>SUM(G12:G13)</f>
        <v>100.52</v>
      </c>
      <c r="H14" s="25">
        <f t="shared" si="1"/>
        <v>0</v>
      </c>
      <c r="I14" s="27">
        <f t="shared" si="2"/>
        <v>0</v>
      </c>
      <c r="J14" s="27">
        <f>G14/$G$46</f>
        <v>0.50349043990122133</v>
      </c>
      <c r="K14" s="108"/>
    </row>
    <row r="15" spans="1:11" s="1" customFormat="1" x14ac:dyDescent="0.2">
      <c r="A15" s="109" t="s">
        <v>34</v>
      </c>
      <c r="B15" s="75">
        <f>B4*0.65</f>
        <v>598</v>
      </c>
      <c r="C15" s="28">
        <v>8.6999999999999994E-2</v>
      </c>
      <c r="D15" s="22">
        <f>B15*C15</f>
        <v>52.025999999999996</v>
      </c>
      <c r="E15" s="73">
        <f t="shared" ref="E15:F17" si="3">B15</f>
        <v>598</v>
      </c>
      <c r="F15" s="28">
        <f t="shared" si="3"/>
        <v>8.6999999999999994E-2</v>
      </c>
      <c r="G15" s="22">
        <f>E15*F15</f>
        <v>52.025999999999996</v>
      </c>
      <c r="H15" s="22">
        <f t="shared" si="1"/>
        <v>0</v>
      </c>
      <c r="I15" s="23">
        <f t="shared" si="2"/>
        <v>0</v>
      </c>
      <c r="J15" s="23"/>
      <c r="K15" s="108">
        <f t="shared" ref="K15:K26" si="4">G15/$G$51</f>
        <v>0.25883903325018232</v>
      </c>
    </row>
    <row r="16" spans="1:11" s="1" customFormat="1" x14ac:dyDescent="0.2">
      <c r="A16" s="109" t="s">
        <v>35</v>
      </c>
      <c r="B16" s="75">
        <f>B4*0.17</f>
        <v>156.4</v>
      </c>
      <c r="C16" s="28">
        <v>0.13200000000000001</v>
      </c>
      <c r="D16" s="22">
        <f>B16*C16</f>
        <v>20.6448</v>
      </c>
      <c r="E16" s="73">
        <f t="shared" si="3"/>
        <v>156.4</v>
      </c>
      <c r="F16" s="28">
        <f t="shared" si="3"/>
        <v>0.13200000000000001</v>
      </c>
      <c r="G16" s="22">
        <f>E16*F16</f>
        <v>20.6448</v>
      </c>
      <c r="H16" s="22">
        <f t="shared" si="1"/>
        <v>0</v>
      </c>
      <c r="I16" s="23">
        <f t="shared" si="2"/>
        <v>0</v>
      </c>
      <c r="J16" s="23"/>
      <c r="K16" s="108">
        <f t="shared" si="4"/>
        <v>0.10271172247805643</v>
      </c>
    </row>
    <row r="17" spans="1:11" s="1" customFormat="1" x14ac:dyDescent="0.2">
      <c r="A17" s="109" t="s">
        <v>36</v>
      </c>
      <c r="B17" s="75">
        <f>B4*0.18</f>
        <v>165.6</v>
      </c>
      <c r="C17" s="28">
        <v>0.18</v>
      </c>
      <c r="D17" s="22">
        <f>B17*C17</f>
        <v>29.807999999999996</v>
      </c>
      <c r="E17" s="73">
        <f t="shared" si="3"/>
        <v>165.6</v>
      </c>
      <c r="F17" s="28">
        <f t="shared" si="3"/>
        <v>0.18</v>
      </c>
      <c r="G17" s="22">
        <f>E17*F17</f>
        <v>29.807999999999996</v>
      </c>
      <c r="H17" s="22">
        <f t="shared" si="1"/>
        <v>0</v>
      </c>
      <c r="I17" s="23">
        <f t="shared" si="2"/>
        <v>0</v>
      </c>
      <c r="J17" s="23"/>
      <c r="K17" s="108">
        <f t="shared" si="4"/>
        <v>0.14830034796296918</v>
      </c>
    </row>
    <row r="18" spans="1:11" s="1" customFormat="1" x14ac:dyDescent="0.2">
      <c r="A18" s="61" t="s">
        <v>37</v>
      </c>
      <c r="B18" s="29"/>
      <c r="C18" s="30"/>
      <c r="D18" s="30">
        <f>SUM(D15:D17)</f>
        <v>102.47879999999999</v>
      </c>
      <c r="E18" s="77"/>
      <c r="F18" s="30"/>
      <c r="G18" s="30">
        <f>SUM(G15:G17)</f>
        <v>102.47879999999999</v>
      </c>
      <c r="H18" s="31">
        <f t="shared" si="1"/>
        <v>0</v>
      </c>
      <c r="I18" s="32">
        <f t="shared" si="2"/>
        <v>0</v>
      </c>
      <c r="J18" s="33">
        <f t="shared" ref="J18:J26" si="5">G18/$G$46</f>
        <v>0.51330179160912537</v>
      </c>
      <c r="K18" s="62">
        <f t="shared" si="4"/>
        <v>0.5098511036912079</v>
      </c>
    </row>
    <row r="19" spans="1:11" x14ac:dyDescent="0.2">
      <c r="A19" s="107" t="s">
        <v>38</v>
      </c>
      <c r="B19" s="73">
        <v>1</v>
      </c>
      <c r="C19" s="78">
        <f>VLOOKUP($B$3,'Data for Bill Impacts'!$A$3:$Y$15,7,0)</f>
        <v>37.83</v>
      </c>
      <c r="D19" s="22">
        <f>B19*C19</f>
        <v>37.83</v>
      </c>
      <c r="E19" s="73">
        <f t="shared" ref="E19:E41" si="6">B19</f>
        <v>1</v>
      </c>
      <c r="F19" s="78">
        <f>VLOOKUP($B$3,'Data for Bill Impacts'!$A$3:$Y$15,17,0)</f>
        <v>42.25</v>
      </c>
      <c r="G19" s="22">
        <f>E19*F19</f>
        <v>42.25</v>
      </c>
      <c r="H19" s="22">
        <f t="shared" si="1"/>
        <v>4.4200000000000017</v>
      </c>
      <c r="I19" s="23">
        <f t="shared" si="2"/>
        <v>0.11683848797250865</v>
      </c>
      <c r="J19" s="23">
        <f t="shared" si="5"/>
        <v>0.21162426468192005</v>
      </c>
      <c r="K19" s="108">
        <f t="shared" si="4"/>
        <v>0.21020161370891868</v>
      </c>
    </row>
    <row r="20" spans="1:11" hidden="1" x14ac:dyDescent="0.2">
      <c r="A20" s="107" t="s">
        <v>83</v>
      </c>
      <c r="B20" s="73">
        <v>1</v>
      </c>
      <c r="C20" s="78">
        <f>VLOOKUP($B$3,'Data for Bill Impacts'!$A$3:$Y$15,8,0)</f>
        <v>0</v>
      </c>
      <c r="D20" s="22">
        <f>B20*C20</f>
        <v>0</v>
      </c>
      <c r="E20" s="73">
        <f t="shared" si="6"/>
        <v>1</v>
      </c>
      <c r="F20" s="78">
        <v>0</v>
      </c>
      <c r="G20" s="22">
        <f t="shared" ref="G20:G22" si="7">E20*F20</f>
        <v>0</v>
      </c>
      <c r="H20" s="22">
        <f t="shared" si="1"/>
        <v>0</v>
      </c>
      <c r="I20" s="23">
        <f t="shared" si="2"/>
        <v>0</v>
      </c>
      <c r="J20" s="23">
        <f t="shared" si="5"/>
        <v>0</v>
      </c>
      <c r="K20" s="108">
        <f t="shared" si="4"/>
        <v>0</v>
      </c>
    </row>
    <row r="21" spans="1:11" hidden="1" x14ac:dyDescent="0.2">
      <c r="A21" s="107" t="s">
        <v>109</v>
      </c>
      <c r="B21" s="73">
        <v>1</v>
      </c>
      <c r="C21" s="78">
        <f>VLOOKUP($B$3,'Data for Bill Impacts'!$A$3:$Y$15,11,0)</f>
        <v>0</v>
      </c>
      <c r="D21" s="22">
        <f t="shared" ref="D21:D22" si="8">B21*C21</f>
        <v>0</v>
      </c>
      <c r="E21" s="73">
        <f t="shared" si="6"/>
        <v>1</v>
      </c>
      <c r="F21" s="122">
        <f>VLOOKUP($B$3,'Data for Bill Impacts'!$A$3:$Y$15,12,0)</f>
        <v>0</v>
      </c>
      <c r="G21" s="22">
        <f t="shared" si="7"/>
        <v>0</v>
      </c>
      <c r="H21" s="22">
        <f t="shared" si="1"/>
        <v>0</v>
      </c>
      <c r="I21" s="23">
        <f t="shared" si="2"/>
        <v>0</v>
      </c>
      <c r="J21" s="23">
        <f t="shared" si="5"/>
        <v>0</v>
      </c>
      <c r="K21" s="108">
        <f t="shared" si="4"/>
        <v>0</v>
      </c>
    </row>
    <row r="22" spans="1:11" x14ac:dyDescent="0.2">
      <c r="A22" s="107" t="s">
        <v>85</v>
      </c>
      <c r="B22" s="73">
        <v>1</v>
      </c>
      <c r="C22" s="78">
        <f>VLOOKUP($B$3,'Data for Bill Impacts'!$A$3:$Y$15,13,0)</f>
        <v>0</v>
      </c>
      <c r="D22" s="22">
        <f t="shared" si="8"/>
        <v>0</v>
      </c>
      <c r="E22" s="73">
        <f t="shared" si="6"/>
        <v>1</v>
      </c>
      <c r="F22" s="122">
        <f>VLOOKUP($B$3,'Data for Bill Impacts'!$A$3:$Y$15,22,0)</f>
        <v>0</v>
      </c>
      <c r="G22" s="22">
        <f t="shared" si="7"/>
        <v>0</v>
      </c>
      <c r="H22" s="22">
        <f t="shared" si="1"/>
        <v>0</v>
      </c>
      <c r="I22" s="23">
        <f t="shared" si="2"/>
        <v>0</v>
      </c>
      <c r="J22" s="23">
        <f t="shared" si="5"/>
        <v>0</v>
      </c>
      <c r="K22" s="108">
        <f t="shared" si="4"/>
        <v>0</v>
      </c>
    </row>
    <row r="23" spans="1:11" x14ac:dyDescent="0.2">
      <c r="A23" s="107" t="s">
        <v>39</v>
      </c>
      <c r="B23" s="73">
        <f>IF($B$9="kWh",$B$4,$B$5)</f>
        <v>920</v>
      </c>
      <c r="C23" s="78">
        <f>VLOOKUP($B$3,'Data for Bill Impacts'!$A$3:$Y$15,10,0)</f>
        <v>2.1999999999999999E-2</v>
      </c>
      <c r="D23" s="22">
        <f>B23*C23</f>
        <v>20.239999999999998</v>
      </c>
      <c r="E23" s="73">
        <f t="shared" si="6"/>
        <v>920</v>
      </c>
      <c r="F23" s="78">
        <f>VLOOKUP($B$3,'Data for Bill Impacts'!$A$3:$Y$15,19,0)</f>
        <v>1.9400000000000001E-2</v>
      </c>
      <c r="G23" s="22">
        <f>E23*F23</f>
        <v>17.847999999999999</v>
      </c>
      <c r="H23" s="22">
        <f t="shared" si="1"/>
        <v>-2.3919999999999995</v>
      </c>
      <c r="I23" s="23">
        <f t="shared" si="2"/>
        <v>-0.11818181818181817</v>
      </c>
      <c r="J23" s="23">
        <f t="shared" si="5"/>
        <v>8.9398103574980098E-2</v>
      </c>
      <c r="K23" s="108">
        <f t="shared" si="4"/>
        <v>8.8797121928444508E-2</v>
      </c>
    </row>
    <row r="24" spans="1:11" x14ac:dyDescent="0.2">
      <c r="A24" s="107" t="s">
        <v>122</v>
      </c>
      <c r="B24" s="73">
        <f>IF($B$9="kWh",$B$4,$B$5)</f>
        <v>920</v>
      </c>
      <c r="C24" s="126">
        <f>VLOOKUP($B$3,'Data for Bill Impacts'!$A$3:$Y$15,14,0)</f>
        <v>2.0000000000000001E-4</v>
      </c>
      <c r="D24" s="22">
        <f>B24*C24</f>
        <v>0.184</v>
      </c>
      <c r="E24" s="73">
        <f>B24</f>
        <v>920</v>
      </c>
      <c r="F24" s="126">
        <f>VLOOKUP($B$3,'Data for Bill Impacts'!$A$3:$Y$15,23,0)</f>
        <v>2.0000000000000001E-4</v>
      </c>
      <c r="G24" s="22">
        <f>E24*F24</f>
        <v>0.184</v>
      </c>
      <c r="H24" s="22">
        <f>G24-D24</f>
        <v>0</v>
      </c>
      <c r="I24" s="23">
        <f>IF(ISERROR(H24/D24),0,(H24/D24))</f>
        <v>0</v>
      </c>
      <c r="J24" s="23">
        <f t="shared" si="5"/>
        <v>9.2162993376268142E-4</v>
      </c>
      <c r="K24" s="108">
        <f t="shared" si="4"/>
        <v>9.1543424668499493E-4</v>
      </c>
    </row>
    <row r="25" spans="1:11" s="1" customFormat="1" x14ac:dyDescent="0.2">
      <c r="A25" s="110" t="s">
        <v>72</v>
      </c>
      <c r="B25" s="74"/>
      <c r="C25" s="35"/>
      <c r="D25" s="35">
        <f>SUM(D19:D24)</f>
        <v>58.253999999999991</v>
      </c>
      <c r="E25" s="73"/>
      <c r="F25" s="35"/>
      <c r="G25" s="35">
        <f>SUM(G19:G24)</f>
        <v>60.281999999999996</v>
      </c>
      <c r="H25" s="35">
        <f t="shared" si="1"/>
        <v>2.0280000000000058</v>
      </c>
      <c r="I25" s="36">
        <f t="shared" si="2"/>
        <v>3.4813060047378823E-2</v>
      </c>
      <c r="J25" s="36">
        <f t="shared" si="5"/>
        <v>0.30194399819066281</v>
      </c>
      <c r="K25" s="111">
        <f t="shared" si="4"/>
        <v>0.29991416988404818</v>
      </c>
    </row>
    <row r="26" spans="1:11" s="1" customFormat="1" x14ac:dyDescent="0.2">
      <c r="A26" s="119" t="s">
        <v>73</v>
      </c>
      <c r="B26" s="120">
        <v>1</v>
      </c>
      <c r="C26" s="78">
        <f>VLOOKUP($B$3,'Data for Bill Impacts'!$A$3:$Y$15,9,0)</f>
        <v>0.79</v>
      </c>
      <c r="D26" s="22">
        <f>B26*C26</f>
        <v>0.79</v>
      </c>
      <c r="E26" s="73">
        <v>1</v>
      </c>
      <c r="F26" s="78">
        <f>VLOOKUP($B$3,'Data for Bill Impacts'!$A$3:$Y$15,18,0)</f>
        <v>0.79</v>
      </c>
      <c r="G26" s="22">
        <f>E26*F26</f>
        <v>0.79</v>
      </c>
      <c r="H26" s="22">
        <f t="shared" si="1"/>
        <v>0</v>
      </c>
      <c r="I26" s="23">
        <f>IF(ISERROR(H26/D26),0,(H26/D26))</f>
        <v>0</v>
      </c>
      <c r="J26" s="23">
        <f t="shared" si="5"/>
        <v>3.95699808517673E-3</v>
      </c>
      <c r="K26" s="108">
        <f t="shared" si="4"/>
        <v>3.9303970373975325E-3</v>
      </c>
    </row>
    <row r="27" spans="1:11" s="1" customFormat="1" x14ac:dyDescent="0.2">
      <c r="A27" s="119" t="s">
        <v>75</v>
      </c>
      <c r="B27" s="120">
        <f>B8-B4</f>
        <v>69.920000000000073</v>
      </c>
      <c r="C27" s="121">
        <f>IF(B4&gt;B7,C13,C12)</f>
        <v>0.121</v>
      </c>
      <c r="D27" s="22">
        <f>B27*C27</f>
        <v>8.4603200000000083</v>
      </c>
      <c r="E27" s="73">
        <f>B27</f>
        <v>69.920000000000073</v>
      </c>
      <c r="F27" s="121">
        <f>C27</f>
        <v>0.121</v>
      </c>
      <c r="G27" s="22">
        <f>E27*F27</f>
        <v>8.4603200000000083</v>
      </c>
      <c r="H27" s="22">
        <f t="shared" si="1"/>
        <v>0</v>
      </c>
      <c r="I27" s="23">
        <f>IF(ISERROR(H27/D27),0,(H27/D27))</f>
        <v>0</v>
      </c>
      <c r="J27" s="23">
        <f t="shared" ref="J27:J46" si="9">G27/$G$46</f>
        <v>4.2376544354408137E-2</v>
      </c>
      <c r="K27" s="108">
        <f t="shared" ref="K27:K41" si="10">G27/$G$51</f>
        <v>4.2091666662576112E-2</v>
      </c>
    </row>
    <row r="28" spans="1:11" s="1" customFormat="1" x14ac:dyDescent="0.2">
      <c r="A28" s="119" t="s">
        <v>74</v>
      </c>
      <c r="B28" s="120">
        <f>B8-B4</f>
        <v>69.920000000000073</v>
      </c>
      <c r="C28" s="121">
        <f>0.65*C15+0.17*C16+0.18*C17</f>
        <v>0.11139</v>
      </c>
      <c r="D28" s="22">
        <f>B28*C28</f>
        <v>7.7883888000000079</v>
      </c>
      <c r="E28" s="73">
        <f>B28</f>
        <v>69.920000000000073</v>
      </c>
      <c r="F28" s="121">
        <f>C28</f>
        <v>0.11139</v>
      </c>
      <c r="G28" s="22">
        <f>E28*F28</f>
        <v>7.7883888000000079</v>
      </c>
      <c r="H28" s="22">
        <f t="shared" si="1"/>
        <v>0</v>
      </c>
      <c r="I28" s="23">
        <f>IF(ISERROR(H28/D28),0,(H28/D28))</f>
        <v>0</v>
      </c>
      <c r="J28" s="23">
        <f t="shared" si="9"/>
        <v>3.901093616229357E-2</v>
      </c>
      <c r="K28" s="108">
        <f t="shared" si="10"/>
        <v>3.8748683880531841E-2</v>
      </c>
    </row>
    <row r="29" spans="1:11" s="1" customFormat="1" x14ac:dyDescent="0.2">
      <c r="A29" s="110" t="s">
        <v>78</v>
      </c>
      <c r="B29" s="74"/>
      <c r="C29" s="35"/>
      <c r="D29" s="35">
        <f>SUM(D25,D26:D27)</f>
        <v>67.504319999999993</v>
      </c>
      <c r="E29" s="73"/>
      <c r="F29" s="35"/>
      <c r="G29" s="35">
        <f>SUM(G25,G26:G27)</f>
        <v>69.532319999999999</v>
      </c>
      <c r="H29" s="35">
        <f t="shared" si="1"/>
        <v>2.0280000000000058</v>
      </c>
      <c r="I29" s="36">
        <f>IF(ISERROR(H29/D29),0,(H29/D29))</f>
        <v>3.0042521723054258E-2</v>
      </c>
      <c r="J29" s="36">
        <f t="shared" si="9"/>
        <v>0.34827754063024763</v>
      </c>
      <c r="K29" s="111">
        <f t="shared" si="10"/>
        <v>0.34593623358402176</v>
      </c>
    </row>
    <row r="30" spans="1:11" s="1" customFormat="1" x14ac:dyDescent="0.2">
      <c r="A30" s="110" t="s">
        <v>77</v>
      </c>
      <c r="B30" s="74"/>
      <c r="C30" s="35"/>
      <c r="D30" s="35">
        <f>SUM(D25,D26,D28)</f>
        <v>66.832388800000004</v>
      </c>
      <c r="E30" s="73"/>
      <c r="F30" s="35"/>
      <c r="G30" s="35">
        <f>SUM(G25,G26,G28)</f>
        <v>68.86038880000001</v>
      </c>
      <c r="H30" s="35">
        <f t="shared" si="1"/>
        <v>2.0280000000000058</v>
      </c>
      <c r="I30" s="36">
        <f>IF(ISERROR(H30/D30),0,(H30/D30))</f>
        <v>3.0344568500595113E-2</v>
      </c>
      <c r="J30" s="36">
        <f t="shared" si="9"/>
        <v>0.34491193243813317</v>
      </c>
      <c r="K30" s="111">
        <f t="shared" si="10"/>
        <v>0.34259325080197756</v>
      </c>
    </row>
    <row r="31" spans="1:11" x14ac:dyDescent="0.2">
      <c r="A31" s="107" t="s">
        <v>40</v>
      </c>
      <c r="B31" s="73">
        <f>B8</f>
        <v>989.92000000000007</v>
      </c>
      <c r="C31" s="126">
        <f>VLOOKUP($B$3,'Data for Bill Impacts'!$A$3:$Y$15,15,0)</f>
        <v>7.2069999999999999E-3</v>
      </c>
      <c r="D31" s="22">
        <f>B31*C31</f>
        <v>7.1343534400000008</v>
      </c>
      <c r="E31" s="73">
        <f t="shared" si="6"/>
        <v>989.92000000000007</v>
      </c>
      <c r="F31" s="126">
        <f>VLOOKUP($B$3,'Data for Bill Impacts'!$A$3:$Y$15,24,0)</f>
        <v>7.2069999999999999E-3</v>
      </c>
      <c r="G31" s="22">
        <f>E31*F31</f>
        <v>7.1343534400000008</v>
      </c>
      <c r="H31" s="22">
        <f t="shared" si="1"/>
        <v>0</v>
      </c>
      <c r="I31" s="23">
        <f t="shared" si="2"/>
        <v>0</v>
      </c>
      <c r="J31" s="23">
        <f t="shared" si="9"/>
        <v>3.5734965697536737E-2</v>
      </c>
      <c r="K31" s="108">
        <f t="shared" si="10"/>
        <v>3.5494736233320126E-2</v>
      </c>
    </row>
    <row r="32" spans="1:11" x14ac:dyDescent="0.2">
      <c r="A32" s="107" t="s">
        <v>41</v>
      </c>
      <c r="B32" s="73">
        <f>B8</f>
        <v>989.92000000000007</v>
      </c>
      <c r="C32" s="126">
        <f>VLOOKUP($B$3,'Data for Bill Impacts'!$A$3:$Y$15,16,0)</f>
        <v>6.0319999999999992E-3</v>
      </c>
      <c r="D32" s="22">
        <f>B32*C32</f>
        <v>5.9711974399999992</v>
      </c>
      <c r="E32" s="73">
        <f t="shared" si="6"/>
        <v>989.92000000000007</v>
      </c>
      <c r="F32" s="126">
        <f>VLOOKUP($B$3,'Data for Bill Impacts'!$A$3:$Y$15,25,0)</f>
        <v>6.0319999999999992E-3</v>
      </c>
      <c r="G32" s="22">
        <f>E32*F32</f>
        <v>5.9711974399999992</v>
      </c>
      <c r="H32" s="22">
        <f t="shared" si="1"/>
        <v>0</v>
      </c>
      <c r="I32" s="23">
        <f t="shared" si="2"/>
        <v>0</v>
      </c>
      <c r="J32" s="23">
        <f t="shared" si="9"/>
        <v>2.9908882071255936E-2</v>
      </c>
      <c r="K32" s="108">
        <f t="shared" si="10"/>
        <v>2.9707818642900924E-2</v>
      </c>
    </row>
    <row r="33" spans="1:11" s="1" customFormat="1" x14ac:dyDescent="0.2">
      <c r="A33" s="110" t="s">
        <v>76</v>
      </c>
      <c r="B33" s="74"/>
      <c r="C33" s="35"/>
      <c r="D33" s="35">
        <f>SUM(D31:D32)</f>
        <v>13.105550879999999</v>
      </c>
      <c r="E33" s="73"/>
      <c r="F33" s="35"/>
      <c r="G33" s="35">
        <f>SUM(G31:G32)</f>
        <v>13.105550879999999</v>
      </c>
      <c r="H33" s="35">
        <f t="shared" si="1"/>
        <v>0</v>
      </c>
      <c r="I33" s="36">
        <f t="shared" si="2"/>
        <v>0</v>
      </c>
      <c r="J33" s="36">
        <f t="shared" si="9"/>
        <v>6.564384776879266E-2</v>
      </c>
      <c r="K33" s="111">
        <f t="shared" si="10"/>
        <v>6.520255487622105E-2</v>
      </c>
    </row>
    <row r="34" spans="1:11" s="1" customFormat="1" x14ac:dyDescent="0.2">
      <c r="A34" s="110" t="s">
        <v>91</v>
      </c>
      <c r="B34" s="74"/>
      <c r="C34" s="35"/>
      <c r="D34" s="35">
        <f>D29+D33</f>
        <v>80.609870879999988</v>
      </c>
      <c r="E34" s="73"/>
      <c r="F34" s="35"/>
      <c r="G34" s="35">
        <f>G29+G33</f>
        <v>82.637870879999994</v>
      </c>
      <c r="H34" s="35">
        <f t="shared" si="1"/>
        <v>2.0280000000000058</v>
      </c>
      <c r="I34" s="36">
        <f t="shared" si="2"/>
        <v>2.5158209259744272E-2</v>
      </c>
      <c r="J34" s="36">
        <f t="shared" si="9"/>
        <v>0.4139213883990403</v>
      </c>
      <c r="K34" s="111">
        <f t="shared" si="10"/>
        <v>0.41113878846024282</v>
      </c>
    </row>
    <row r="35" spans="1:11" s="1" customFormat="1" x14ac:dyDescent="0.2">
      <c r="A35" s="110" t="s">
        <v>92</v>
      </c>
      <c r="B35" s="74"/>
      <c r="C35" s="35"/>
      <c r="D35" s="35">
        <f>D30+D33</f>
        <v>79.937939679999999</v>
      </c>
      <c r="E35" s="73"/>
      <c r="F35" s="35"/>
      <c r="G35" s="35">
        <f>G30+G33</f>
        <v>81.965939680000005</v>
      </c>
      <c r="H35" s="35">
        <f t="shared" si="1"/>
        <v>2.0280000000000058</v>
      </c>
      <c r="I35" s="36">
        <f t="shared" si="2"/>
        <v>2.5369680631228471E-2</v>
      </c>
      <c r="J35" s="36">
        <f t="shared" si="9"/>
        <v>0.41055578020692579</v>
      </c>
      <c r="K35" s="111">
        <f t="shared" si="10"/>
        <v>0.40779580567819862</v>
      </c>
    </row>
    <row r="36" spans="1:11" x14ac:dyDescent="0.2">
      <c r="A36" s="107" t="s">
        <v>42</v>
      </c>
      <c r="B36" s="73">
        <f>B8</f>
        <v>989.92000000000007</v>
      </c>
      <c r="C36" s="34">
        <v>3.5999999999999999E-3</v>
      </c>
      <c r="D36" s="22">
        <f>B36*C36</f>
        <v>3.5637120000000002</v>
      </c>
      <c r="E36" s="73">
        <f t="shared" si="6"/>
        <v>989.92000000000007</v>
      </c>
      <c r="F36" s="34">
        <v>3.5999999999999999E-3</v>
      </c>
      <c r="G36" s="22">
        <f>E36*F36</f>
        <v>3.5637120000000002</v>
      </c>
      <c r="H36" s="22">
        <f t="shared" si="1"/>
        <v>0</v>
      </c>
      <c r="I36" s="23">
        <f t="shared" si="2"/>
        <v>0</v>
      </c>
      <c r="J36" s="23">
        <f t="shared" si="9"/>
        <v>1.7850128557115614E-2</v>
      </c>
      <c r="K36" s="108">
        <f t="shared" si="10"/>
        <v>1.7730130489794983E-2</v>
      </c>
    </row>
    <row r="37" spans="1:11" x14ac:dyDescent="0.2">
      <c r="A37" s="107" t="s">
        <v>43</v>
      </c>
      <c r="B37" s="73">
        <f>B8</f>
        <v>989.92000000000007</v>
      </c>
      <c r="C37" s="34">
        <v>2.0999999999999999E-3</v>
      </c>
      <c r="D37" s="22">
        <f>B37*C37</f>
        <v>2.0788320000000002</v>
      </c>
      <c r="E37" s="73">
        <f t="shared" si="6"/>
        <v>989.92000000000007</v>
      </c>
      <c r="F37" s="34">
        <v>2.0999999999999999E-3</v>
      </c>
      <c r="G37" s="22">
        <f>E37*F37</f>
        <v>2.0788320000000002</v>
      </c>
      <c r="H37" s="22">
        <f>G37-D37</f>
        <v>0</v>
      </c>
      <c r="I37" s="23">
        <f t="shared" si="2"/>
        <v>0</v>
      </c>
      <c r="J37" s="23">
        <f t="shared" si="9"/>
        <v>1.0412574991650776E-2</v>
      </c>
      <c r="K37" s="108">
        <f t="shared" si="10"/>
        <v>1.0342576119047075E-2</v>
      </c>
    </row>
    <row r="38" spans="1:11" x14ac:dyDescent="0.2">
      <c r="A38" s="107" t="s">
        <v>96</v>
      </c>
      <c r="B38" s="73">
        <f>B8</f>
        <v>989.92000000000007</v>
      </c>
      <c r="C38" s="34">
        <v>1.1000000000000001E-3</v>
      </c>
      <c r="D38" s="22">
        <f>B38*C38</f>
        <v>1.0889120000000001</v>
      </c>
      <c r="E38" s="73">
        <f t="shared" si="6"/>
        <v>989.92000000000007</v>
      </c>
      <c r="F38" s="34">
        <v>1.1000000000000001E-3</v>
      </c>
      <c r="G38" s="22">
        <f>E38*F38</f>
        <v>1.0889120000000001</v>
      </c>
      <c r="H38" s="22">
        <f>G38-D38</f>
        <v>0</v>
      </c>
      <c r="I38" s="23">
        <f t="shared" si="2"/>
        <v>0</v>
      </c>
      <c r="J38" s="23">
        <f t="shared" si="9"/>
        <v>5.4542059480075494E-3</v>
      </c>
      <c r="K38" s="108">
        <f t="shared" si="10"/>
        <v>5.417539871881801E-3</v>
      </c>
    </row>
    <row r="39" spans="1:11" x14ac:dyDescent="0.2">
      <c r="A39" s="107" t="s">
        <v>44</v>
      </c>
      <c r="B39" s="73">
        <v>1</v>
      </c>
      <c r="C39" s="22">
        <v>0.25</v>
      </c>
      <c r="D39" s="22">
        <f>B39*C39</f>
        <v>0.25</v>
      </c>
      <c r="E39" s="73">
        <f t="shared" si="6"/>
        <v>1</v>
      </c>
      <c r="F39" s="22">
        <f>C39</f>
        <v>0.25</v>
      </c>
      <c r="G39" s="22">
        <f>E39*F39</f>
        <v>0.25</v>
      </c>
      <c r="H39" s="22">
        <f t="shared" si="1"/>
        <v>0</v>
      </c>
      <c r="I39" s="23">
        <f t="shared" si="2"/>
        <v>0</v>
      </c>
      <c r="J39" s="23">
        <f t="shared" si="9"/>
        <v>1.2522145839166867E-3</v>
      </c>
      <c r="K39" s="108">
        <f t="shared" si="10"/>
        <v>1.2437965308220041E-3</v>
      </c>
    </row>
    <row r="40" spans="1:11" s="1" customFormat="1" x14ac:dyDescent="0.2">
      <c r="A40" s="110" t="s">
        <v>45</v>
      </c>
      <c r="B40" s="74"/>
      <c r="C40" s="35"/>
      <c r="D40" s="35">
        <f>SUM(D36:D39)</f>
        <v>6.9814560000000014</v>
      </c>
      <c r="E40" s="73"/>
      <c r="F40" s="35"/>
      <c r="G40" s="35">
        <f>SUM(G36:G39)</f>
        <v>6.9814560000000014</v>
      </c>
      <c r="H40" s="35">
        <f t="shared" si="1"/>
        <v>0</v>
      </c>
      <c r="I40" s="36">
        <f t="shared" si="2"/>
        <v>0</v>
      </c>
      <c r="J40" s="36">
        <f t="shared" si="9"/>
        <v>3.4969124080690632E-2</v>
      </c>
      <c r="K40" s="111">
        <f t="shared" si="10"/>
        <v>3.4734043011545868E-2</v>
      </c>
    </row>
    <row r="41" spans="1:11" s="1" customFormat="1" ht="13.5" thickBot="1" x14ac:dyDescent="0.25">
      <c r="A41" s="112" t="s">
        <v>46</v>
      </c>
      <c r="B41" s="113">
        <f>B4</f>
        <v>920</v>
      </c>
      <c r="C41" s="114">
        <v>0</v>
      </c>
      <c r="D41" s="115">
        <f>B41*C41</f>
        <v>0</v>
      </c>
      <c r="E41" s="116">
        <f t="shared" si="6"/>
        <v>920</v>
      </c>
      <c r="F41" s="114">
        <f>C41</f>
        <v>0</v>
      </c>
      <c r="G41" s="115">
        <f>E41*F41</f>
        <v>0</v>
      </c>
      <c r="H41" s="115">
        <f t="shared" si="1"/>
        <v>0</v>
      </c>
      <c r="I41" s="117">
        <f t="shared" si="2"/>
        <v>0</v>
      </c>
      <c r="J41" s="117">
        <f t="shared" si="9"/>
        <v>0</v>
      </c>
      <c r="K41" s="118">
        <f t="shared" si="10"/>
        <v>0</v>
      </c>
    </row>
    <row r="42" spans="1:11" s="1" customFormat="1" x14ac:dyDescent="0.2">
      <c r="A42" s="37" t="s">
        <v>101</v>
      </c>
      <c r="B42" s="38"/>
      <c r="C42" s="39"/>
      <c r="D42" s="39">
        <f>SUM(D14,D25,D26,D27,D33,D40,D41)</f>
        <v>188.11132688000001</v>
      </c>
      <c r="E42" s="38"/>
      <c r="F42" s="39"/>
      <c r="G42" s="39">
        <f>SUM(G14,G25,G26,G27,G33,G40,G41)</f>
        <v>190.13932688</v>
      </c>
      <c r="H42" s="39">
        <f t="shared" si="1"/>
        <v>2.0279999999999916</v>
      </c>
      <c r="I42" s="40">
        <f>IF(ISERROR(H42/D42),0,(H42/D42))</f>
        <v>1.0780850008536133E-2</v>
      </c>
      <c r="J42" s="40">
        <f t="shared" si="9"/>
        <v>0.95238095238095233</v>
      </c>
      <c r="K42" s="41"/>
    </row>
    <row r="43" spans="1:11" x14ac:dyDescent="0.2">
      <c r="A43" s="155" t="s">
        <v>102</v>
      </c>
      <c r="B43" s="43"/>
      <c r="C43" s="26">
        <v>0.13</v>
      </c>
      <c r="D43" s="26">
        <f>D42*C43</f>
        <v>24.454472494400001</v>
      </c>
      <c r="E43" s="26"/>
      <c r="F43" s="26">
        <f>C43</f>
        <v>0.13</v>
      </c>
      <c r="G43" s="26">
        <f>G42*F43</f>
        <v>24.7181124944</v>
      </c>
      <c r="H43" s="26">
        <f t="shared" si="1"/>
        <v>0.26363999999999876</v>
      </c>
      <c r="I43" s="44">
        <f t="shared" si="2"/>
        <v>1.0780850008536128E-2</v>
      </c>
      <c r="J43" s="44">
        <f t="shared" si="9"/>
        <v>0.1238095238095238</v>
      </c>
      <c r="K43" s="45"/>
    </row>
    <row r="44" spans="1:11" s="1" customFormat="1" x14ac:dyDescent="0.2">
      <c r="A44" s="46" t="s">
        <v>103</v>
      </c>
      <c r="B44" s="24"/>
      <c r="C44" s="25"/>
      <c r="D44" s="25">
        <f>SUM(D42:D43)</f>
        <v>212.5657993744</v>
      </c>
      <c r="E44" s="25"/>
      <c r="F44" s="25"/>
      <c r="G44" s="25">
        <f>SUM(G42:G43)</f>
        <v>214.8574393744</v>
      </c>
      <c r="H44" s="25">
        <f t="shared" si="1"/>
        <v>2.291640000000001</v>
      </c>
      <c r="I44" s="27">
        <f t="shared" si="2"/>
        <v>1.0780850008536184E-2</v>
      </c>
      <c r="J44" s="27">
        <f t="shared" si="9"/>
        <v>1.0761904761904761</v>
      </c>
      <c r="K44" s="47"/>
    </row>
    <row r="45" spans="1:11" x14ac:dyDescent="0.2">
      <c r="A45" s="42" t="s">
        <v>104</v>
      </c>
      <c r="B45" s="43"/>
      <c r="C45" s="26">
        <v>-0.08</v>
      </c>
      <c r="D45" s="26">
        <f>D42*C45</f>
        <v>-15.048906150400001</v>
      </c>
      <c r="E45" s="26"/>
      <c r="F45" s="26">
        <f>C45</f>
        <v>-0.08</v>
      </c>
      <c r="G45" s="26">
        <f>G42*F45</f>
        <v>-15.211146150399999</v>
      </c>
      <c r="H45" s="26">
        <f t="shared" si="1"/>
        <v>-0.16223999999999883</v>
      </c>
      <c r="I45" s="44">
        <f t="shared" si="2"/>
        <v>1.07808500085361E-2</v>
      </c>
      <c r="J45" s="44">
        <f t="shared" si="9"/>
        <v>-7.6190476190476183E-2</v>
      </c>
      <c r="K45" s="45"/>
    </row>
    <row r="46" spans="1:11" s="1" customFormat="1" ht="13.5" thickBot="1" x14ac:dyDescent="0.25">
      <c r="A46" s="48" t="s">
        <v>105</v>
      </c>
      <c r="B46" s="49"/>
      <c r="C46" s="50"/>
      <c r="D46" s="50">
        <f>SUM(D44:D45)</f>
        <v>197.516893224</v>
      </c>
      <c r="E46" s="50"/>
      <c r="F46" s="50"/>
      <c r="G46" s="50">
        <f>SUM(G44:G45)</f>
        <v>199.646293224</v>
      </c>
      <c r="H46" s="50">
        <f t="shared" si="1"/>
        <v>2.129400000000004</v>
      </c>
      <c r="I46" s="51">
        <f t="shared" si="2"/>
        <v>1.0780850008536199E-2</v>
      </c>
      <c r="J46" s="51">
        <f t="shared" si="9"/>
        <v>1</v>
      </c>
      <c r="K46" s="52"/>
    </row>
    <row r="47" spans="1:11" x14ac:dyDescent="0.2">
      <c r="A47" s="53" t="s">
        <v>106</v>
      </c>
      <c r="B47" s="54"/>
      <c r="C47" s="55"/>
      <c r="D47" s="55">
        <f>SUM(D18,D25,D26,D28,D33,D40,D41)</f>
        <v>189.39819568000001</v>
      </c>
      <c r="E47" s="55"/>
      <c r="F47" s="55"/>
      <c r="G47" s="55">
        <f>SUM(G18,G25,G26,G28,G33,G40,G41)</f>
        <v>191.42619568000001</v>
      </c>
      <c r="H47" s="55">
        <f>G47-D47</f>
        <v>2.0279999999999916</v>
      </c>
      <c r="I47" s="56">
        <f>IF(ISERROR(H47/D47),0,(H47/D47))</f>
        <v>1.0707599366080674E-2</v>
      </c>
      <c r="J47" s="56"/>
      <c r="K47" s="57">
        <f>G47/$G$51</f>
        <v>0.95238095238095244</v>
      </c>
    </row>
    <row r="48" spans="1:11" x14ac:dyDescent="0.2">
      <c r="A48" s="58" t="s">
        <v>102</v>
      </c>
      <c r="B48" s="59"/>
      <c r="C48" s="31">
        <v>0.13</v>
      </c>
      <c r="D48" s="31">
        <f>D47*C48</f>
        <v>24.621765438400004</v>
      </c>
      <c r="E48" s="31"/>
      <c r="F48" s="31">
        <f>C48</f>
        <v>0.13</v>
      </c>
      <c r="G48" s="31">
        <f>G47*F48</f>
        <v>24.885405438400003</v>
      </c>
      <c r="H48" s="31">
        <f>G48-D48</f>
        <v>0.26363999999999876</v>
      </c>
      <c r="I48" s="32">
        <f>IF(ISERROR(H48/D48),0,(H48/D48))</f>
        <v>1.0707599366080667E-2</v>
      </c>
      <c r="J48" s="32"/>
      <c r="K48" s="60">
        <f>G48/$G$51</f>
        <v>0.12380952380952383</v>
      </c>
    </row>
    <row r="49" spans="1:11" x14ac:dyDescent="0.2">
      <c r="A49" s="61" t="s">
        <v>107</v>
      </c>
      <c r="B49" s="29"/>
      <c r="C49" s="30"/>
      <c r="D49" s="30">
        <f>SUM(D47:D48)</f>
        <v>214.01996111840003</v>
      </c>
      <c r="E49" s="30"/>
      <c r="F49" s="30"/>
      <c r="G49" s="30">
        <f>SUM(G47:G48)</f>
        <v>216.31160111840001</v>
      </c>
      <c r="H49" s="30">
        <f>G49-D49</f>
        <v>2.2916399999999726</v>
      </c>
      <c r="I49" s="33">
        <f>IF(ISERROR(H49/D49),0,(H49/D49))</f>
        <v>1.0707599366080589E-2</v>
      </c>
      <c r="J49" s="33"/>
      <c r="K49" s="62">
        <f>G49/$G$51</f>
        <v>1.0761904761904761</v>
      </c>
    </row>
    <row r="50" spans="1:11" x14ac:dyDescent="0.2">
      <c r="A50" s="58" t="s">
        <v>104</v>
      </c>
      <c r="B50" s="59"/>
      <c r="C50" s="31">
        <v>-0.08</v>
      </c>
      <c r="D50" s="31">
        <f>D47*C50</f>
        <v>-15.151855654400002</v>
      </c>
      <c r="E50" s="31"/>
      <c r="F50" s="31">
        <f>C50</f>
        <v>-0.08</v>
      </c>
      <c r="G50" s="31">
        <f>G47*F50</f>
        <v>-15.314095654400001</v>
      </c>
      <c r="H50" s="31">
        <f>G50-D50</f>
        <v>-0.16223999999999883</v>
      </c>
      <c r="I50" s="32">
        <f>IF(ISERROR(H50/D50),0,(H50/D50))</f>
        <v>1.070759936608064E-2</v>
      </c>
      <c r="J50" s="32"/>
      <c r="K50" s="60">
        <f>G50/$G$51</f>
        <v>-7.6190476190476197E-2</v>
      </c>
    </row>
    <row r="51" spans="1:11" ht="13.5" thickBot="1" x14ac:dyDescent="0.25">
      <c r="A51" s="63" t="s">
        <v>116</v>
      </c>
      <c r="B51" s="64"/>
      <c r="C51" s="65"/>
      <c r="D51" s="65">
        <f>SUM(D49:D50)</f>
        <v>198.86810546400002</v>
      </c>
      <c r="E51" s="65"/>
      <c r="F51" s="65"/>
      <c r="G51" s="65">
        <f>SUM(G49:G50)</f>
        <v>200.997505464</v>
      </c>
      <c r="H51" s="65">
        <f>G51-D51</f>
        <v>2.1293999999999755</v>
      </c>
      <c r="I51" s="66">
        <f>IF(ISERROR(H51/D51),0,(H51/D51))</f>
        <v>1.0707599366080595E-2</v>
      </c>
      <c r="J51" s="66"/>
      <c r="K51" s="67">
        <f>G51/$G$51</f>
        <v>1</v>
      </c>
    </row>
    <row r="52" spans="1:11" x14ac:dyDescent="0.2">
      <c r="C52" s="68"/>
      <c r="F52" s="69"/>
    </row>
    <row r="53" spans="1:11" x14ac:dyDescent="0.2">
      <c r="F53" s="69"/>
    </row>
    <row r="54" spans="1:11" x14ac:dyDescent="0.2">
      <c r="F54" s="69"/>
    </row>
    <row r="55" spans="1:11" x14ac:dyDescent="0.2">
      <c r="A55" s="70"/>
      <c r="B55" s="71"/>
      <c r="F55" s="69"/>
    </row>
    <row r="56" spans="1:11" x14ac:dyDescent="0.2">
      <c r="B56" s="71"/>
      <c r="F56" s="69"/>
    </row>
    <row r="57" spans="1:11" x14ac:dyDescent="0.2">
      <c r="F57" s="69"/>
    </row>
    <row r="58" spans="1:11" x14ac:dyDescent="0.2">
      <c r="D58" s="72"/>
      <c r="F58" s="69"/>
    </row>
    <row r="59" spans="1:11" x14ac:dyDescent="0.2">
      <c r="F59" s="69"/>
    </row>
    <row r="60" spans="1:11" x14ac:dyDescent="0.2">
      <c r="A60" s="70"/>
      <c r="B60" s="71"/>
      <c r="F60" s="69"/>
    </row>
    <row r="61" spans="1:11" x14ac:dyDescent="0.2">
      <c r="B61" s="72"/>
      <c r="D61" s="72"/>
      <c r="F61" s="69"/>
    </row>
    <row r="62" spans="1:11" x14ac:dyDescent="0.2">
      <c r="F62" s="69"/>
    </row>
    <row r="63" spans="1:11" x14ac:dyDescent="0.2">
      <c r="F63" s="69"/>
    </row>
    <row r="64" spans="1:11" x14ac:dyDescent="0.2">
      <c r="F64" s="69"/>
    </row>
    <row r="65" spans="6:6" x14ac:dyDescent="0.2">
      <c r="F65" s="69"/>
    </row>
    <row r="66" spans="6:6" x14ac:dyDescent="0.2">
      <c r="F66" s="69"/>
    </row>
    <row r="67" spans="6:6" x14ac:dyDescent="0.2">
      <c r="F67" s="69"/>
    </row>
    <row r="68" spans="6:6" x14ac:dyDescent="0.2">
      <c r="F68" s="69"/>
    </row>
  </sheetData>
  <mergeCells count="1">
    <mergeCell ref="A1:K1"/>
  </mergeCells>
  <pageMargins left="0.7" right="0.7" top="0.75" bottom="0.75" header="0.3" footer="0.3"/>
  <pageSetup paperSize="5" scale="93" fitToHeight="0" orientation="landscape" r:id="rId1"/>
  <headerFooter>
    <oddHeader>&amp;RFiled: 2017-03-31
EB-2017-0049
Exhibit H1-4-1
Attachment 2
Page &amp;P of &amp;N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'Data for Bill Impacts'!$A$3:$A$11</xm:f>
          </x14:formula1>
          <xm:sqref>B3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 (Only Internal information is not for release to the public)</Hydro_x0020_One_x0020_Data_x0020_Classificat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0789A69331B447AA2C2A71A86A707D" ma:contentTypeVersion="0" ma:contentTypeDescription="Create a new document." ma:contentTypeScope="" ma:versionID="5399c839dd5a5c59d7d22ddc485bff23">
  <xsd:schema xmlns:xsd="http://www.w3.org/2001/XMLSchema" xmlns:xs="http://www.w3.org/2001/XMLSchema" xmlns:p="http://schemas.microsoft.com/office/2006/metadata/properties" xmlns:ns2="f0af1d65-dfd0-4b99-b523-def3a954563f" targetNamespace="http://schemas.microsoft.com/office/2006/metadata/properties" ma:root="true" ma:fieldsID="44cfc60566d61e9babd1b11f9b704ff8" ns2:_="">
    <xsd:import namespace="f0af1d65-dfd0-4b99-b523-def3a954563f"/>
    <xsd:element name="properties">
      <xsd:complexType>
        <xsd:sequence>
          <xsd:element name="documentManagement">
            <xsd:complexType>
              <xsd:all>
                <xsd:element ref="ns2:Hydro_x0020_One_x0020_Data_x0020_Classificat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ma:displayName="Hydro One Data Classification" ma:default="Internal Use (Only Internal information is not for release to the public)" ma:description="Use these options to classify the data you are uploading onto the site. Any questions please contact BIT security team" ma:format="RadioButtons" ma:hidden="true" ma:internalName="Hydro_x0020_One_x0020_Data_x0020_Classification" ma:readOnly="false">
      <xsd:simpleType>
        <xsd:restriction base="dms:Choice">
          <xsd:enumeration value="Internal Use (Only Internal information is not for release to the publ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C36017-F7F9-4072-BF31-C549485CB964}">
  <ds:schemaRefs>
    <ds:schemaRef ds:uri="http://schemas.microsoft.com/office/infopath/2007/PartnerControls"/>
    <ds:schemaRef ds:uri="f0af1d65-dfd0-4b99-b523-def3a954563f"/>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72A1DB-A0B6-4FEB-8646-ED68C7DD1D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14FAF1-9E48-4036-9982-F8D6568D2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2</vt:i4>
      </vt:variant>
    </vt:vector>
  </HeadingPairs>
  <TitlesOfParts>
    <vt:vector size="49" baseType="lpstr">
      <vt:lpstr>Data for Bill Impacts</vt:lpstr>
      <vt:lpstr>Bill Impact Summary</vt:lpstr>
      <vt:lpstr>BI_UR_Low</vt:lpstr>
      <vt:lpstr>BI_UR_Typical</vt:lpstr>
      <vt:lpstr>BI_UR_Avg</vt:lpstr>
      <vt:lpstr>BI_UR_High</vt:lpstr>
      <vt:lpstr>BI_R1_Low</vt:lpstr>
      <vt:lpstr>BI_R1_Typical</vt:lpstr>
      <vt:lpstr>BI_R1_Avg</vt:lpstr>
      <vt:lpstr>BI_R1_High</vt:lpstr>
      <vt:lpstr>BI_R2_Low</vt:lpstr>
      <vt:lpstr>BI_R2_Typical</vt:lpstr>
      <vt:lpstr>BI_R2_Avg</vt:lpstr>
      <vt:lpstr>BI_R2_High</vt:lpstr>
      <vt:lpstr>BI_Seas_Low</vt:lpstr>
      <vt:lpstr>BI_Seas_Typical</vt:lpstr>
      <vt:lpstr>BI_Seas_Avg</vt:lpstr>
      <vt:lpstr>BI_Seas_High</vt:lpstr>
      <vt:lpstr>BI_UGe_Low</vt:lpstr>
      <vt:lpstr>BI_UGe_Typical</vt:lpstr>
      <vt:lpstr>BI_UGe_Avg</vt:lpstr>
      <vt:lpstr>BI_UGe_High</vt:lpstr>
      <vt:lpstr>BI_GSe_Low</vt:lpstr>
      <vt:lpstr>BI_GSe_Typical</vt:lpstr>
      <vt:lpstr>BI_GSe_Avg</vt:lpstr>
      <vt:lpstr>BI_GSe_High</vt:lpstr>
      <vt:lpstr>BI_UGd_Low</vt:lpstr>
      <vt:lpstr>BI_UGd_Avg</vt:lpstr>
      <vt:lpstr>BI_UGd_High</vt:lpstr>
      <vt:lpstr>BI_GSd_Low</vt:lpstr>
      <vt:lpstr>BI_GSd_Avg</vt:lpstr>
      <vt:lpstr>BI_GSd_High</vt:lpstr>
      <vt:lpstr>BI_DGen_Low</vt:lpstr>
      <vt:lpstr>BI_DGen_Avg</vt:lpstr>
      <vt:lpstr>BI_DGen_High</vt:lpstr>
      <vt:lpstr>BI_ST_Low</vt:lpstr>
      <vt:lpstr>BI_ST_Avg</vt:lpstr>
      <vt:lpstr>BI_ST_High</vt:lpstr>
      <vt:lpstr>BI_USL_Low</vt:lpstr>
      <vt:lpstr>BI_USL_Avg</vt:lpstr>
      <vt:lpstr>BI_USL_High</vt:lpstr>
      <vt:lpstr>BI_SenLgt_Low</vt:lpstr>
      <vt:lpstr>BI_SenLgt_Avg</vt:lpstr>
      <vt:lpstr>BI_SenLgt_High</vt:lpstr>
      <vt:lpstr>BI_StLgt_Low</vt:lpstr>
      <vt:lpstr>BI_StLgt_Avg</vt:lpstr>
      <vt:lpstr>BI_StLgt_High</vt:lpstr>
      <vt:lpstr>BI_DGen_Avg!Print_Area</vt:lpstr>
      <vt:lpstr>'Bill Impact Summary'!Print_Area</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SHETH Nikita</dc:creator>
  <cp:lastModifiedBy>GAUVREAU Diane</cp:lastModifiedBy>
  <cp:lastPrinted>2017-03-01T20:45:11Z</cp:lastPrinted>
  <dcterms:created xsi:type="dcterms:W3CDTF">2013-09-20T18:49:19Z</dcterms:created>
  <dcterms:modified xsi:type="dcterms:W3CDTF">2017-05-03T15:29:16Z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0x010100050789A69331B447AA2C2A71A86A707D</vt:lpwstr>
  </property>
</Properties>
</file>