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12000" windowHeight="10095" tabRatio="942" firstSheet="36"/>
  </bookViews>
  <sheets>
    <sheet name="Data for Bill Impacts" sheetId="3" r:id="rId1"/>
    <sheet name="Bill Impact Summary" sheetId="7" r:id="rId2"/>
    <sheet name="BI_UR_Low" sheetId="4" r:id="rId3"/>
    <sheet name="BI_UR_Typical" sheetId="46" r:id="rId4"/>
    <sheet name="BI_UR_Avg" sheetId="112" r:id="rId5"/>
    <sheet name="BI_UR_High" sheetId="47" r:id="rId6"/>
    <sheet name="BI_R1_Low" sheetId="48" r:id="rId7"/>
    <sheet name="BI_R1_Typical" sheetId="49" r:id="rId8"/>
    <sheet name="BI_R1_Avg" sheetId="113" r:id="rId9"/>
    <sheet name="BI_R1_High" sheetId="50" r:id="rId10"/>
    <sheet name="BI_R2_Low" sheetId="51" r:id="rId11"/>
    <sheet name="BI_R2_Typical" sheetId="52" r:id="rId12"/>
    <sheet name="BI_R2_Avg" sheetId="114" r:id="rId13"/>
    <sheet name="BI_R2_High" sheetId="53" r:id="rId14"/>
    <sheet name="BI_Seas_Low" sheetId="54" r:id="rId15"/>
    <sheet name="BI_Seas_Typical" sheetId="104" r:id="rId16"/>
    <sheet name="BI_Seas_Avg" sheetId="115" r:id="rId17"/>
    <sheet name="BI_Seas_High" sheetId="56" r:id="rId18"/>
    <sheet name="BI_UGe_Low" sheetId="60" r:id="rId19"/>
    <sheet name="BI_UGe_Typical" sheetId="61" r:id="rId20"/>
    <sheet name="BI_UGe_Avg" sheetId="116" r:id="rId21"/>
    <sheet name="BI_UGe_High" sheetId="62" r:id="rId22"/>
    <sheet name="BI_GSe_Low" sheetId="57" r:id="rId23"/>
    <sheet name="BI_GSe_Typical" sheetId="58" r:id="rId24"/>
    <sheet name="BI_GSe_Avg" sheetId="117" r:id="rId25"/>
    <sheet name="BI_GSe_High" sheetId="59" r:id="rId26"/>
    <sheet name="BI_UGd_Low" sheetId="73" r:id="rId27"/>
    <sheet name="BI_UGd_Avg" sheetId="74" r:id="rId28"/>
    <sheet name="BI_UGd_High" sheetId="75" r:id="rId29"/>
    <sheet name="BI_GSd_Low" sheetId="5" r:id="rId30"/>
    <sheet name="BI_GSd_Avg" sheetId="71" r:id="rId31"/>
    <sheet name="BI_GSd_High" sheetId="72" r:id="rId32"/>
    <sheet name="BI_DGen_Low" sheetId="76" r:id="rId33"/>
    <sheet name="BI_DGen_Avg" sheetId="77" r:id="rId34"/>
    <sheet name="BI_DGen_High" sheetId="78" r:id="rId35"/>
    <sheet name="BI_ST_Low" sheetId="79" r:id="rId36"/>
    <sheet name="BI_ST_Avg" sheetId="80" r:id="rId37"/>
    <sheet name="BI_ST_High" sheetId="81" r:id="rId38"/>
    <sheet name="BI_USL_Low" sheetId="68" r:id="rId39"/>
    <sheet name="BI_USL_Avg" sheetId="69" r:id="rId40"/>
    <sheet name="BI_USL_High" sheetId="70" r:id="rId41"/>
    <sheet name="BI_SenLgt_Low" sheetId="65" r:id="rId42"/>
    <sheet name="BI_SenLgt_Avg" sheetId="66" r:id="rId43"/>
    <sheet name="BI_SenLgt_High" sheetId="67" r:id="rId44"/>
    <sheet name="BI_StLgt_Low" sheetId="25" r:id="rId45"/>
    <sheet name="BI_StLgt_Avg" sheetId="63" r:id="rId46"/>
    <sheet name="BI_StLgt_High" sheetId="64" r:id="rId47"/>
  </sheets>
  <externalReferences>
    <externalReference r:id="rId48"/>
    <externalReference r:id="rId49"/>
    <externalReference r:id="rId50"/>
    <externalReference r:id="rId51"/>
    <externalReference r:id="rId52"/>
  </externalReferences>
  <definedNames>
    <definedName name="_xlnm.Print_Area" localSheetId="33">BI_DGen_Avg!$A$1:$J$38</definedName>
    <definedName name="_xlnm.Print_Area" localSheetId="1">'Bill Impact Summary'!$A$1:$I$46</definedName>
  </definedNames>
  <calcPr calcId="145621"/>
</workbook>
</file>

<file path=xl/calcChain.xml><?xml version="1.0" encoding="utf-8"?>
<calcChain xmlns="http://schemas.openxmlformats.org/spreadsheetml/2006/main">
  <c r="Y12" i="3" l="1"/>
  <c r="Y13" i="3"/>
  <c r="Y14" i="3"/>
  <c r="Y15" i="3"/>
  <c r="Q15" i="3" l="1"/>
  <c r="S15" i="3" l="1"/>
  <c r="S14" i="3" l="1"/>
  <c r="Q14" i="3"/>
  <c r="S13" i="3"/>
  <c r="Q13" i="3"/>
  <c r="S12" i="3"/>
  <c r="Q12" i="3"/>
  <c r="S11" i="3"/>
  <c r="Q11" i="3"/>
  <c r="S10" i="3"/>
  <c r="Q10" i="3"/>
  <c r="S9" i="3"/>
  <c r="Q9" i="3"/>
  <c r="S8" i="3"/>
  <c r="Q8" i="3"/>
  <c r="S7" i="3"/>
  <c r="Q7" i="3"/>
  <c r="S6" i="3"/>
  <c r="Q6" i="3"/>
  <c r="S5" i="3"/>
  <c r="S4" i="3"/>
  <c r="Q4" i="3"/>
  <c r="S3" i="3"/>
  <c r="Q3" i="3"/>
  <c r="T15" i="3"/>
  <c r="T14" i="3"/>
  <c r="T13" i="3"/>
  <c r="T12" i="3"/>
  <c r="T11" i="3"/>
  <c r="T10" i="3"/>
  <c r="T9" i="3"/>
  <c r="T8" i="3"/>
  <c r="T7" i="3"/>
  <c r="T6" i="3"/>
  <c r="T5" i="3"/>
  <c r="T4" i="3"/>
  <c r="T3" i="3"/>
  <c r="P15" i="3"/>
  <c r="O15" i="3"/>
  <c r="N15" i="3"/>
  <c r="M15" i="3"/>
  <c r="J15" i="3"/>
  <c r="G15" i="3"/>
  <c r="P14" i="3"/>
  <c r="O14" i="3"/>
  <c r="N14" i="3"/>
  <c r="M14" i="3"/>
  <c r="J14" i="3"/>
  <c r="G14" i="3"/>
  <c r="P13" i="3"/>
  <c r="O13" i="3"/>
  <c r="N13" i="3"/>
  <c r="M13" i="3"/>
  <c r="J13" i="3"/>
  <c r="G13" i="3"/>
  <c r="P12" i="3"/>
  <c r="O12" i="3"/>
  <c r="N12" i="3"/>
  <c r="M12" i="3"/>
  <c r="J12" i="3"/>
  <c r="G12" i="3"/>
  <c r="P11" i="3"/>
  <c r="O11" i="3"/>
  <c r="N11" i="3"/>
  <c r="M11" i="3"/>
  <c r="J11" i="3"/>
  <c r="G11" i="3"/>
  <c r="P10" i="3"/>
  <c r="O10" i="3"/>
  <c r="N10" i="3"/>
  <c r="M10" i="3"/>
  <c r="J10" i="3"/>
  <c r="G10" i="3"/>
  <c r="P9" i="3"/>
  <c r="O9" i="3"/>
  <c r="N9" i="3"/>
  <c r="M9" i="3"/>
  <c r="J9" i="3"/>
  <c r="G9" i="3"/>
  <c r="P8" i="3"/>
  <c r="O8" i="3"/>
  <c r="N8" i="3"/>
  <c r="M8" i="3"/>
  <c r="J8" i="3"/>
  <c r="G8" i="3"/>
  <c r="P7" i="3"/>
  <c r="O7" i="3"/>
  <c r="N7" i="3"/>
  <c r="M7" i="3"/>
  <c r="J7" i="3"/>
  <c r="G7" i="3"/>
  <c r="P6" i="3"/>
  <c r="O6" i="3"/>
  <c r="N6" i="3"/>
  <c r="M6" i="3"/>
  <c r="J6" i="3"/>
  <c r="G6" i="3"/>
  <c r="P5" i="3"/>
  <c r="O5" i="3"/>
  <c r="N5" i="3"/>
  <c r="M5" i="3"/>
  <c r="J5" i="3"/>
  <c r="G5" i="3"/>
  <c r="P4" i="3"/>
  <c r="O4" i="3"/>
  <c r="N4" i="3"/>
  <c r="M4" i="3"/>
  <c r="J4" i="3"/>
  <c r="G4" i="3"/>
  <c r="P3" i="3"/>
  <c r="O3" i="3"/>
  <c r="N3" i="3"/>
  <c r="M3" i="3"/>
  <c r="J3" i="3"/>
  <c r="G3" i="3"/>
  <c r="C20" i="3" l="1"/>
  <c r="C21" i="3"/>
  <c r="C22" i="3"/>
  <c r="C23" i="3"/>
  <c r="C24" i="3"/>
  <c r="C25" i="3"/>
  <c r="C26" i="3"/>
  <c r="C27" i="3"/>
  <c r="C28" i="3"/>
  <c r="C29" i="3"/>
  <c r="C30" i="3"/>
  <c r="C31" i="3"/>
  <c r="C19" i="3"/>
  <c r="D29" i="3" l="1"/>
  <c r="D30" i="3"/>
  <c r="D31" i="3"/>
  <c r="D28" i="3"/>
  <c r="X4" i="3" l="1"/>
  <c r="Y4" i="3"/>
  <c r="X5" i="3"/>
  <c r="Y5" i="3"/>
  <c r="X6" i="3"/>
  <c r="Y6" i="3"/>
  <c r="X7" i="3"/>
  <c r="Y7" i="3"/>
  <c r="X8" i="3"/>
  <c r="Y8" i="3"/>
  <c r="X9" i="3"/>
  <c r="Y9" i="3"/>
  <c r="X10" i="3"/>
  <c r="Y10" i="3"/>
  <c r="X11" i="3"/>
  <c r="Y11" i="3"/>
  <c r="X12" i="3"/>
  <c r="X13" i="3"/>
  <c r="X14" i="3"/>
  <c r="X15" i="3"/>
  <c r="Y3" i="3"/>
  <c r="X3" i="3"/>
  <c r="V4" i="3"/>
  <c r="W4" i="3"/>
  <c r="V5" i="3"/>
  <c r="W5" i="3"/>
  <c r="V6" i="3"/>
  <c r="W6" i="3"/>
  <c r="V7" i="3"/>
  <c r="W7" i="3"/>
  <c r="V8" i="3"/>
  <c r="W8" i="3"/>
  <c r="V9" i="3"/>
  <c r="W9" i="3"/>
  <c r="V10" i="3"/>
  <c r="W10" i="3"/>
  <c r="V11" i="3"/>
  <c r="W11" i="3"/>
  <c r="V12" i="3"/>
  <c r="W12" i="3"/>
  <c r="V13" i="3"/>
  <c r="W13" i="3"/>
  <c r="V14" i="3"/>
  <c r="W14" i="3"/>
  <c r="V15" i="3"/>
  <c r="W15" i="3"/>
  <c r="W3" i="3"/>
  <c r="V3" i="3"/>
  <c r="U7" i="3"/>
  <c r="U8" i="3"/>
  <c r="U9" i="3"/>
  <c r="U10" i="3"/>
  <c r="U11" i="3"/>
  <c r="U12" i="3"/>
  <c r="U13" i="3"/>
  <c r="U14" i="3"/>
  <c r="U15" i="3"/>
  <c r="U4" i="3"/>
  <c r="U5" i="3"/>
  <c r="U6" i="3"/>
  <c r="U3" i="3"/>
  <c r="F26" i="4"/>
  <c r="F26" i="59"/>
  <c r="F26" i="117"/>
  <c r="F26" i="58"/>
  <c r="F26" i="57"/>
  <c r="F26" i="62"/>
  <c r="F26" i="116"/>
  <c r="F26" i="61"/>
  <c r="F26" i="60"/>
  <c r="F26" i="56"/>
  <c r="F26" i="115"/>
  <c r="F26" i="104"/>
  <c r="F26" i="54"/>
  <c r="F26" i="53"/>
  <c r="F26" i="114"/>
  <c r="F26" i="52"/>
  <c r="F26" i="51"/>
  <c r="F26" i="50"/>
  <c r="F26" i="113"/>
  <c r="F26" i="49"/>
  <c r="F26" i="48"/>
  <c r="F26" i="47"/>
  <c r="F26" i="112"/>
  <c r="F26" i="46"/>
  <c r="F50" i="117" l="1"/>
  <c r="F48" i="117"/>
  <c r="F45" i="117"/>
  <c r="F43" i="117"/>
  <c r="F41" i="117"/>
  <c r="F39" i="117"/>
  <c r="E39" i="117"/>
  <c r="G39" i="117" s="1"/>
  <c r="D39" i="117"/>
  <c r="C28" i="117"/>
  <c r="F28" i="117" s="1"/>
  <c r="G26" i="117"/>
  <c r="C26" i="117"/>
  <c r="D26" i="117" s="1"/>
  <c r="E22" i="117"/>
  <c r="E21" i="117"/>
  <c r="G21" i="117" s="1"/>
  <c r="D21" i="117"/>
  <c r="G20" i="117"/>
  <c r="E20" i="117"/>
  <c r="D20" i="117"/>
  <c r="E19" i="117"/>
  <c r="F17" i="117"/>
  <c r="F16" i="117"/>
  <c r="F15" i="117"/>
  <c r="F13" i="117"/>
  <c r="F12" i="117"/>
  <c r="B9" i="117"/>
  <c r="B7" i="117"/>
  <c r="B6" i="117"/>
  <c r="B5" i="117"/>
  <c r="F50" i="116"/>
  <c r="F48" i="116"/>
  <c r="F45" i="116"/>
  <c r="F43" i="116"/>
  <c r="F41" i="116"/>
  <c r="F39" i="116"/>
  <c r="E39" i="116"/>
  <c r="G39" i="116" s="1"/>
  <c r="D39" i="116"/>
  <c r="C28" i="116"/>
  <c r="F28" i="116" s="1"/>
  <c r="G26" i="116"/>
  <c r="C26" i="116"/>
  <c r="D26" i="116" s="1"/>
  <c r="E22" i="116"/>
  <c r="F21" i="116"/>
  <c r="E21" i="116"/>
  <c r="C21" i="116"/>
  <c r="D21" i="116" s="1"/>
  <c r="E20" i="116"/>
  <c r="G20" i="116" s="1"/>
  <c r="C20" i="116"/>
  <c r="D20" i="116" s="1"/>
  <c r="E19" i="116"/>
  <c r="F17" i="116"/>
  <c r="F16" i="116"/>
  <c r="F15" i="116"/>
  <c r="F13" i="116"/>
  <c r="F12" i="116"/>
  <c r="B9" i="116"/>
  <c r="B7" i="116"/>
  <c r="B6" i="116"/>
  <c r="B5" i="116"/>
  <c r="F50" i="115"/>
  <c r="F48" i="115"/>
  <c r="F45" i="115"/>
  <c r="F43" i="115"/>
  <c r="F41" i="115"/>
  <c r="G39" i="115"/>
  <c r="F39" i="115"/>
  <c r="E39" i="115"/>
  <c r="D39" i="115"/>
  <c r="C28" i="115"/>
  <c r="F28" i="115" s="1"/>
  <c r="G26" i="115"/>
  <c r="C26" i="115"/>
  <c r="D26" i="115" s="1"/>
  <c r="E22" i="115"/>
  <c r="F21" i="115"/>
  <c r="G21" i="115" s="1"/>
  <c r="E21" i="115"/>
  <c r="C21" i="115"/>
  <c r="D21" i="115" s="1"/>
  <c r="G20" i="115"/>
  <c r="E20" i="115"/>
  <c r="C20" i="115"/>
  <c r="D20" i="115" s="1"/>
  <c r="E19" i="115"/>
  <c r="F17" i="115"/>
  <c r="F16" i="115"/>
  <c r="F15" i="115"/>
  <c r="F13" i="115"/>
  <c r="F12" i="115"/>
  <c r="B9" i="115"/>
  <c r="B7" i="115"/>
  <c r="B6" i="115"/>
  <c r="B5" i="115"/>
  <c r="F50" i="114"/>
  <c r="F48" i="114"/>
  <c r="F45" i="114"/>
  <c r="F43" i="114"/>
  <c r="F41" i="114"/>
  <c r="G39" i="114"/>
  <c r="F39" i="114"/>
  <c r="E39" i="114"/>
  <c r="D39" i="114"/>
  <c r="C28" i="114"/>
  <c r="F28" i="114" s="1"/>
  <c r="G26" i="114"/>
  <c r="C26" i="114"/>
  <c r="D26" i="114" s="1"/>
  <c r="E22" i="114"/>
  <c r="F21" i="114"/>
  <c r="E21" i="114"/>
  <c r="C21" i="114"/>
  <c r="D21" i="114" s="1"/>
  <c r="G20" i="114"/>
  <c r="E20" i="114"/>
  <c r="C20" i="114"/>
  <c r="D20" i="114" s="1"/>
  <c r="E19" i="114"/>
  <c r="F17" i="114"/>
  <c r="F16" i="114"/>
  <c r="F15" i="114"/>
  <c r="F13" i="114"/>
  <c r="F12" i="114"/>
  <c r="B9" i="114"/>
  <c r="B7" i="114"/>
  <c r="B6" i="114"/>
  <c r="B5" i="114"/>
  <c r="F50" i="113"/>
  <c r="F48" i="113"/>
  <c r="F45" i="113"/>
  <c r="F43" i="113"/>
  <c r="F41" i="113"/>
  <c r="F39" i="113"/>
  <c r="G39" i="113" s="1"/>
  <c r="E39" i="113"/>
  <c r="D39" i="113"/>
  <c r="F28" i="113"/>
  <c r="C28" i="113"/>
  <c r="G26" i="113"/>
  <c r="C26" i="113"/>
  <c r="D26" i="113" s="1"/>
  <c r="E22" i="113"/>
  <c r="F21" i="113"/>
  <c r="E21" i="113"/>
  <c r="C21" i="113"/>
  <c r="D21" i="113" s="1"/>
  <c r="E20" i="113"/>
  <c r="G20" i="113" s="1"/>
  <c r="C20" i="113"/>
  <c r="D20" i="113" s="1"/>
  <c r="E19" i="113"/>
  <c r="F17" i="113"/>
  <c r="F16" i="113"/>
  <c r="F15" i="113"/>
  <c r="F13" i="113"/>
  <c r="F12" i="113"/>
  <c r="B9" i="113"/>
  <c r="B7" i="113"/>
  <c r="B6" i="113"/>
  <c r="B5" i="113"/>
  <c r="F50" i="112"/>
  <c r="F48" i="112"/>
  <c r="F45" i="112"/>
  <c r="F43" i="112"/>
  <c r="F41" i="112"/>
  <c r="F39" i="112"/>
  <c r="E39" i="112"/>
  <c r="G39" i="112" s="1"/>
  <c r="D39" i="112"/>
  <c r="C28" i="112"/>
  <c r="F28" i="112" s="1"/>
  <c r="G26" i="112"/>
  <c r="C26" i="112"/>
  <c r="D26" i="112" s="1"/>
  <c r="E22" i="112"/>
  <c r="F21" i="112"/>
  <c r="G21" i="112" s="1"/>
  <c r="E21" i="112"/>
  <c r="C21" i="112"/>
  <c r="D21" i="112" s="1"/>
  <c r="G20" i="112"/>
  <c r="E20" i="112"/>
  <c r="C20" i="112"/>
  <c r="D20" i="112" s="1"/>
  <c r="H20" i="112" s="1"/>
  <c r="I20" i="112" s="1"/>
  <c r="E19" i="112"/>
  <c r="F17" i="112"/>
  <c r="F16" i="112"/>
  <c r="F15" i="112"/>
  <c r="F13" i="112"/>
  <c r="F12" i="112"/>
  <c r="B9" i="112"/>
  <c r="B7" i="112"/>
  <c r="B6" i="112"/>
  <c r="B5" i="112"/>
  <c r="H21" i="112" l="1"/>
  <c r="I21" i="112" s="1"/>
  <c r="H26" i="113"/>
  <c r="I26" i="113" s="1"/>
  <c r="H26" i="116"/>
  <c r="I26" i="116" s="1"/>
  <c r="H21" i="115"/>
  <c r="I21" i="115" s="1"/>
  <c r="H26" i="112"/>
  <c r="I26" i="112" s="1"/>
  <c r="G21" i="113"/>
  <c r="H21" i="113" s="1"/>
  <c r="I21" i="113" s="1"/>
  <c r="G21" i="114"/>
  <c r="H21" i="114" s="1"/>
  <c r="I21" i="114" s="1"/>
  <c r="H20" i="116"/>
  <c r="I20" i="116" s="1"/>
  <c r="H39" i="116"/>
  <c r="I39" i="116" s="1"/>
  <c r="H26" i="117"/>
  <c r="I26" i="117" s="1"/>
  <c r="H39" i="117"/>
  <c r="I39" i="117" s="1"/>
  <c r="H21" i="117"/>
  <c r="I21" i="117" s="1"/>
  <c r="G21" i="116"/>
  <c r="H20" i="117"/>
  <c r="I20" i="117" s="1"/>
  <c r="H39" i="113"/>
  <c r="I39" i="113" s="1"/>
  <c r="H20" i="113"/>
  <c r="I20" i="113" s="1"/>
  <c r="H26" i="114"/>
  <c r="I26" i="114" s="1"/>
  <c r="H26" i="115"/>
  <c r="I26" i="115" s="1"/>
  <c r="H20" i="114"/>
  <c r="I20" i="114" s="1"/>
  <c r="H39" i="114"/>
  <c r="I39" i="114" s="1"/>
  <c r="H20" i="115"/>
  <c r="I20" i="115" s="1"/>
  <c r="H39" i="115"/>
  <c r="I39" i="115" s="1"/>
  <c r="H39" i="112"/>
  <c r="I39" i="112" s="1"/>
  <c r="H21" i="116" l="1"/>
  <c r="I21" i="116" s="1"/>
  <c r="F18" i="73" l="1"/>
  <c r="F18" i="74"/>
  <c r="F18" i="75"/>
  <c r="F21" i="61"/>
  <c r="F21" i="62"/>
  <c r="F21" i="60"/>
  <c r="F21" i="46"/>
  <c r="F21" i="47"/>
  <c r="F21" i="48"/>
  <c r="F21" i="49"/>
  <c r="F21" i="50"/>
  <c r="F21" i="51"/>
  <c r="F21" i="52"/>
  <c r="F21" i="53"/>
  <c r="F21" i="54"/>
  <c r="F21" i="104"/>
  <c r="F21" i="56"/>
  <c r="F21" i="4"/>
  <c r="E18" i="77"/>
  <c r="D18" i="77"/>
  <c r="E17" i="77"/>
  <c r="G17" i="77" s="1"/>
  <c r="D17" i="77"/>
  <c r="G18" i="77" l="1"/>
  <c r="H18" i="77" s="1"/>
  <c r="I18" i="77" s="1"/>
  <c r="H17" i="77"/>
  <c r="I17" i="77" s="1"/>
  <c r="F22" i="71" l="1"/>
  <c r="F22" i="72"/>
  <c r="F22" i="5"/>
  <c r="F22" i="75"/>
  <c r="F22" i="73"/>
  <c r="F22" i="74"/>
  <c r="F22" i="78"/>
  <c r="F22" i="76"/>
  <c r="F22" i="77"/>
  <c r="C22" i="77" l="1"/>
  <c r="C22" i="78"/>
  <c r="C22" i="76"/>
  <c r="C19" i="67"/>
  <c r="C19" i="66"/>
  <c r="C19" i="65"/>
  <c r="C22" i="75"/>
  <c r="C22" i="74"/>
  <c r="C22" i="73"/>
  <c r="C19" i="25"/>
  <c r="C19" i="63"/>
  <c r="C19" i="64"/>
  <c r="C22" i="5"/>
  <c r="C22" i="72"/>
  <c r="C22" i="71"/>
  <c r="C20" i="79"/>
  <c r="C20" i="80"/>
  <c r="C20" i="81"/>
  <c r="C19" i="69"/>
  <c r="C19" i="68"/>
  <c r="C19" i="70"/>
  <c r="F32" i="113"/>
  <c r="F32" i="114"/>
  <c r="F32" i="115"/>
  <c r="F32" i="117"/>
  <c r="F32" i="116"/>
  <c r="F32" i="112"/>
  <c r="F31" i="113" l="1"/>
  <c r="F31" i="114"/>
  <c r="F31" i="115"/>
  <c r="F31" i="117"/>
  <c r="F31" i="116"/>
  <c r="F31" i="112"/>
  <c r="C23" i="116" l="1"/>
  <c r="C23" i="117"/>
  <c r="C23" i="115"/>
  <c r="C23" i="114"/>
  <c r="C23" i="113"/>
  <c r="C23" i="112"/>
  <c r="F43" i="60" l="1"/>
  <c r="F45" i="60"/>
  <c r="F48" i="60"/>
  <c r="C28" i="59" l="1"/>
  <c r="C28" i="58"/>
  <c r="C28" i="57"/>
  <c r="C28" i="62"/>
  <c r="C28" i="61"/>
  <c r="C28" i="60"/>
  <c r="C28" i="56"/>
  <c r="C28" i="104"/>
  <c r="C28" i="54"/>
  <c r="C28" i="53"/>
  <c r="C28" i="52"/>
  <c r="C28" i="51"/>
  <c r="C28" i="50"/>
  <c r="C28" i="49"/>
  <c r="C28" i="48"/>
  <c r="C28" i="47"/>
  <c r="C28" i="46"/>
  <c r="C28" i="4"/>
  <c r="B16" i="59" l="1"/>
  <c r="B15" i="59"/>
  <c r="B16" i="58"/>
  <c r="B15" i="58"/>
  <c r="B16" i="57"/>
  <c r="B15" i="57"/>
  <c r="B16" i="62"/>
  <c r="B15" i="62"/>
  <c r="B16" i="61"/>
  <c r="B15" i="61"/>
  <c r="B16" i="60"/>
  <c r="B15" i="60"/>
  <c r="B16" i="56"/>
  <c r="B15" i="56"/>
  <c r="B16" i="104"/>
  <c r="B15" i="104"/>
  <c r="B16" i="54"/>
  <c r="B15" i="54"/>
  <c r="B16" i="53"/>
  <c r="B15" i="53"/>
  <c r="B16" i="52"/>
  <c r="B15" i="52"/>
  <c r="B16" i="51"/>
  <c r="B15" i="51"/>
  <c r="B16" i="50"/>
  <c r="B15" i="50"/>
  <c r="B16" i="49"/>
  <c r="B15" i="49"/>
  <c r="B16" i="48"/>
  <c r="B15" i="48"/>
  <c r="B16" i="47"/>
  <c r="B15" i="47"/>
  <c r="B16" i="46"/>
  <c r="B15" i="46"/>
  <c r="B16" i="4"/>
  <c r="B15" i="4"/>
  <c r="F50" i="59" l="1"/>
  <c r="F45" i="59"/>
  <c r="F50" i="62"/>
  <c r="F45" i="62"/>
  <c r="F50" i="4" l="1"/>
  <c r="F50" i="58"/>
  <c r="F50" i="57"/>
  <c r="F50" i="61"/>
  <c r="F50" i="60"/>
  <c r="F50" i="56"/>
  <c r="F50" i="104"/>
  <c r="F50" i="54"/>
  <c r="F50" i="53"/>
  <c r="F50" i="52"/>
  <c r="F50" i="51"/>
  <c r="F50" i="50"/>
  <c r="F50" i="49"/>
  <c r="F50" i="48"/>
  <c r="F50" i="47"/>
  <c r="F50" i="46"/>
  <c r="C15" i="7" l="1"/>
  <c r="F48" i="104" l="1"/>
  <c r="F45" i="104"/>
  <c r="F43" i="104"/>
  <c r="F41" i="104"/>
  <c r="B41" i="104"/>
  <c r="D41" i="104" s="1"/>
  <c r="F39" i="104"/>
  <c r="E39" i="104"/>
  <c r="D39" i="104"/>
  <c r="F28" i="104"/>
  <c r="G26" i="104"/>
  <c r="C26" i="104"/>
  <c r="D26" i="104" s="1"/>
  <c r="E22" i="104"/>
  <c r="E21" i="104"/>
  <c r="C21" i="104"/>
  <c r="D21" i="104" s="1"/>
  <c r="E20" i="104"/>
  <c r="G20" i="104" s="1"/>
  <c r="C20" i="104"/>
  <c r="D20" i="104" s="1"/>
  <c r="E19" i="104"/>
  <c r="F17" i="104"/>
  <c r="B17" i="104"/>
  <c r="D17" i="104" s="1"/>
  <c r="F16" i="104"/>
  <c r="D16" i="104"/>
  <c r="F15" i="104"/>
  <c r="D15" i="104"/>
  <c r="F13" i="104"/>
  <c r="F12" i="104"/>
  <c r="B9" i="104"/>
  <c r="B7" i="104"/>
  <c r="B6" i="104"/>
  <c r="B8" i="104" s="1"/>
  <c r="B38" i="104" s="1"/>
  <c r="B5" i="104"/>
  <c r="G39" i="104" l="1"/>
  <c r="G21" i="104"/>
  <c r="H21" i="104" s="1"/>
  <c r="I21" i="104" s="1"/>
  <c r="E41" i="104"/>
  <c r="G41" i="104" s="1"/>
  <c r="D18" i="104"/>
  <c r="E38" i="104"/>
  <c r="G38" i="104" s="1"/>
  <c r="D38" i="104"/>
  <c r="H41" i="104"/>
  <c r="I41" i="104" s="1"/>
  <c r="B13" i="104"/>
  <c r="B12" i="104"/>
  <c r="H39" i="104"/>
  <c r="I39" i="104" s="1"/>
  <c r="E15" i="104"/>
  <c r="G15" i="104" s="1"/>
  <c r="E16" i="104"/>
  <c r="G16" i="104" s="1"/>
  <c r="H26" i="104"/>
  <c r="I26" i="104" s="1"/>
  <c r="B37" i="104"/>
  <c r="B36" i="104"/>
  <c r="B32" i="104"/>
  <c r="B28" i="104"/>
  <c r="B31" i="104"/>
  <c r="B27" i="104"/>
  <c r="E17" i="104"/>
  <c r="G17" i="104" s="1"/>
  <c r="H20" i="104"/>
  <c r="I20" i="104" s="1"/>
  <c r="B24" i="104"/>
  <c r="B23" i="104"/>
  <c r="C27" i="104"/>
  <c r="F27" i="104" s="1"/>
  <c r="H38" i="104" l="1"/>
  <c r="I38" i="104" s="1"/>
  <c r="H17" i="104"/>
  <c r="I17" i="104" s="1"/>
  <c r="E32" i="104"/>
  <c r="E12" i="104"/>
  <c r="G12" i="104" s="1"/>
  <c r="D12" i="104"/>
  <c r="D27" i="104"/>
  <c r="E27" i="104"/>
  <c r="G27" i="104" s="1"/>
  <c r="E36" i="104"/>
  <c r="G36" i="104" s="1"/>
  <c r="D36" i="104"/>
  <c r="G18" i="104"/>
  <c r="H15" i="104"/>
  <c r="I15" i="104" s="1"/>
  <c r="E13" i="104"/>
  <c r="G13" i="104" s="1"/>
  <c r="D13" i="104"/>
  <c r="E23" i="104"/>
  <c r="E31" i="104"/>
  <c r="E37" i="104"/>
  <c r="G37" i="104" s="1"/>
  <c r="D37" i="104"/>
  <c r="E24" i="104"/>
  <c r="D28" i="104"/>
  <c r="E28" i="104"/>
  <c r="G28" i="104" s="1"/>
  <c r="H16" i="104"/>
  <c r="I16" i="104" s="1"/>
  <c r="D40" i="104" l="1"/>
  <c r="H18" i="104"/>
  <c r="I18" i="104" s="1"/>
  <c r="H27" i="104"/>
  <c r="I27" i="104" s="1"/>
  <c r="H13" i="104"/>
  <c r="I13" i="104" s="1"/>
  <c r="D14" i="104"/>
  <c r="H28" i="104"/>
  <c r="I28" i="104" s="1"/>
  <c r="H36" i="104"/>
  <c r="I36" i="104" s="1"/>
  <c r="G40" i="104"/>
  <c r="H12" i="104"/>
  <c r="I12" i="104" s="1"/>
  <c r="G14" i="104"/>
  <c r="H37" i="104"/>
  <c r="I37" i="104" s="1"/>
  <c r="F32" i="104"/>
  <c r="G32" i="104" s="1"/>
  <c r="F31" i="104"/>
  <c r="G31" i="104" s="1"/>
  <c r="G33" i="104" l="1"/>
  <c r="H40" i="104"/>
  <c r="I40" i="104" s="1"/>
  <c r="H14" i="104"/>
  <c r="I14" i="104" s="1"/>
  <c r="C17" i="73" l="1"/>
  <c r="C17" i="74"/>
  <c r="C17" i="75"/>
  <c r="C16" i="63"/>
  <c r="C16" i="64"/>
  <c r="C16" i="79" l="1"/>
  <c r="C16" i="81"/>
  <c r="C16" i="80"/>
  <c r="B17" i="62"/>
  <c r="B17" i="61"/>
  <c r="B17" i="60"/>
  <c r="B17" i="59"/>
  <c r="B17" i="58"/>
  <c r="B17" i="57"/>
  <c r="B17" i="56"/>
  <c r="B17" i="54"/>
  <c r="B17" i="53"/>
  <c r="B17" i="52"/>
  <c r="B17" i="51"/>
  <c r="B17" i="50"/>
  <c r="B17" i="49"/>
  <c r="B17" i="48"/>
  <c r="B17" i="47"/>
  <c r="B17" i="46"/>
  <c r="B17" i="4"/>
  <c r="D46" i="7" l="1"/>
  <c r="D44" i="7"/>
  <c r="C46" i="7"/>
  <c r="C44" i="7"/>
  <c r="D43" i="7"/>
  <c r="D41" i="7"/>
  <c r="C43" i="7"/>
  <c r="C41" i="7"/>
  <c r="C40" i="7"/>
  <c r="C38" i="7"/>
  <c r="C37" i="7"/>
  <c r="C35" i="7"/>
  <c r="C34" i="7"/>
  <c r="C32" i="7"/>
  <c r="D31" i="7"/>
  <c r="D29" i="7"/>
  <c r="C31" i="7"/>
  <c r="C29" i="7"/>
  <c r="D28" i="7"/>
  <c r="C28" i="7"/>
  <c r="D26" i="7"/>
  <c r="C26" i="7"/>
  <c r="C25" i="7"/>
  <c r="C23" i="7"/>
  <c r="C22" i="7"/>
  <c r="C21" i="7"/>
  <c r="C19" i="7"/>
  <c r="C18" i="7"/>
  <c r="C17" i="7"/>
  <c r="C14" i="7"/>
  <c r="C13" i="7"/>
  <c r="C11" i="7"/>
  <c r="C10" i="7"/>
  <c r="C9" i="7"/>
  <c r="C7" i="7"/>
  <c r="C6" i="7"/>
  <c r="C5" i="7"/>
  <c r="C3" i="7"/>
  <c r="C2" i="7"/>
  <c r="F31" i="81" l="1"/>
  <c r="F29" i="81"/>
  <c r="E29" i="81"/>
  <c r="D29" i="81"/>
  <c r="E17" i="81"/>
  <c r="E16" i="81"/>
  <c r="F31" i="80"/>
  <c r="F29" i="80"/>
  <c r="E29" i="80"/>
  <c r="G29" i="80" s="1"/>
  <c r="D29" i="80"/>
  <c r="E17" i="80"/>
  <c r="E16" i="80"/>
  <c r="F31" i="79"/>
  <c r="F29" i="79"/>
  <c r="E29" i="79"/>
  <c r="D29" i="79"/>
  <c r="E17" i="79"/>
  <c r="E16" i="79"/>
  <c r="F33" i="78"/>
  <c r="F31" i="78"/>
  <c r="E31" i="78"/>
  <c r="D31" i="78"/>
  <c r="E19" i="78"/>
  <c r="E18" i="78"/>
  <c r="E17" i="78"/>
  <c r="G17" i="78" s="1"/>
  <c r="D17" i="78"/>
  <c r="E16" i="78"/>
  <c r="F33" i="77"/>
  <c r="F31" i="77"/>
  <c r="E31" i="77"/>
  <c r="G31" i="77" s="1"/>
  <c r="D31" i="77"/>
  <c r="E19" i="77"/>
  <c r="E16" i="77"/>
  <c r="F33" i="76"/>
  <c r="F31" i="76"/>
  <c r="E31" i="76"/>
  <c r="G31" i="76" s="1"/>
  <c r="D31" i="76"/>
  <c r="E19" i="76"/>
  <c r="E18" i="76"/>
  <c r="E17" i="76"/>
  <c r="G17" i="76" s="1"/>
  <c r="D17" i="76"/>
  <c r="E16" i="76"/>
  <c r="F33" i="75"/>
  <c r="F31" i="75"/>
  <c r="E31" i="75"/>
  <c r="D31" i="75"/>
  <c r="E19" i="75"/>
  <c r="E18" i="75"/>
  <c r="E17" i="75"/>
  <c r="G17" i="75" s="1"/>
  <c r="D17" i="75"/>
  <c r="E16" i="75"/>
  <c r="F33" i="74"/>
  <c r="F31" i="74"/>
  <c r="E31" i="74"/>
  <c r="D31" i="74"/>
  <c r="E19" i="74"/>
  <c r="E18" i="74"/>
  <c r="E17" i="74"/>
  <c r="G17" i="74" s="1"/>
  <c r="D17" i="74"/>
  <c r="E16" i="74"/>
  <c r="F33" i="73"/>
  <c r="F31" i="73"/>
  <c r="E31" i="73"/>
  <c r="D31" i="73"/>
  <c r="E19" i="73"/>
  <c r="E18" i="73"/>
  <c r="E17" i="73"/>
  <c r="G17" i="73" s="1"/>
  <c r="D17" i="73"/>
  <c r="E16" i="73"/>
  <c r="F33" i="72"/>
  <c r="F31" i="72"/>
  <c r="E31" i="72"/>
  <c r="D31" i="72"/>
  <c r="E19" i="72"/>
  <c r="E18" i="72"/>
  <c r="E17" i="72"/>
  <c r="G17" i="72" s="1"/>
  <c r="D17" i="72"/>
  <c r="E16" i="72"/>
  <c r="F33" i="71"/>
  <c r="F31" i="71"/>
  <c r="E31" i="71"/>
  <c r="D31" i="71"/>
  <c r="E19" i="71"/>
  <c r="E18" i="71"/>
  <c r="E17" i="71"/>
  <c r="G17" i="71" s="1"/>
  <c r="D17" i="71"/>
  <c r="E16" i="71"/>
  <c r="F33" i="5"/>
  <c r="F31" i="5"/>
  <c r="E31" i="5"/>
  <c r="D31" i="5"/>
  <c r="E19" i="5"/>
  <c r="E18" i="5"/>
  <c r="E17" i="5"/>
  <c r="G17" i="5" s="1"/>
  <c r="D17" i="5"/>
  <c r="E16" i="5"/>
  <c r="F32" i="70"/>
  <c r="F30" i="70"/>
  <c r="E30" i="70"/>
  <c r="D30" i="70"/>
  <c r="E16" i="70"/>
  <c r="E15" i="70"/>
  <c r="F32" i="69"/>
  <c r="F30" i="69"/>
  <c r="E30" i="69"/>
  <c r="D30" i="69"/>
  <c r="E16" i="69"/>
  <c r="E15" i="69"/>
  <c r="F32" i="68"/>
  <c r="F30" i="68"/>
  <c r="E30" i="68"/>
  <c r="G30" i="68" s="1"/>
  <c r="D30" i="68"/>
  <c r="E16" i="68"/>
  <c r="E15" i="68"/>
  <c r="F32" i="67"/>
  <c r="F30" i="67"/>
  <c r="E30" i="67"/>
  <c r="G30" i="67" s="1"/>
  <c r="D30" i="67"/>
  <c r="E16" i="67"/>
  <c r="E15" i="67"/>
  <c r="F32" i="66"/>
  <c r="F30" i="66"/>
  <c r="E30" i="66"/>
  <c r="D30" i="66"/>
  <c r="E16" i="66"/>
  <c r="E15" i="66"/>
  <c r="F32" i="65"/>
  <c r="F30" i="65"/>
  <c r="E30" i="65"/>
  <c r="G30" i="65" s="1"/>
  <c r="D30" i="65"/>
  <c r="E16" i="65"/>
  <c r="E15" i="65"/>
  <c r="F32" i="64"/>
  <c r="F30" i="64"/>
  <c r="E30" i="64"/>
  <c r="G30" i="64" s="1"/>
  <c r="D30" i="64"/>
  <c r="E16" i="64"/>
  <c r="E15" i="64"/>
  <c r="F32" i="63"/>
  <c r="F30" i="63"/>
  <c r="E30" i="63"/>
  <c r="D30" i="63"/>
  <c r="E16" i="63"/>
  <c r="E15" i="63"/>
  <c r="F41" i="62"/>
  <c r="F39" i="62"/>
  <c r="E39" i="62"/>
  <c r="D39" i="62"/>
  <c r="F28" i="62"/>
  <c r="G26" i="62"/>
  <c r="C26" i="62"/>
  <c r="D26" i="62" s="1"/>
  <c r="E22" i="62"/>
  <c r="E21" i="62"/>
  <c r="E20" i="62"/>
  <c r="G20" i="62" s="1"/>
  <c r="C20" i="62"/>
  <c r="D20" i="62" s="1"/>
  <c r="E19" i="62"/>
  <c r="F41" i="61"/>
  <c r="F39" i="61"/>
  <c r="E39" i="61"/>
  <c r="D39" i="61"/>
  <c r="F28" i="61"/>
  <c r="G26" i="61"/>
  <c r="C26" i="61"/>
  <c r="D26" i="61" s="1"/>
  <c r="E22" i="61"/>
  <c r="E21" i="61"/>
  <c r="E20" i="61"/>
  <c r="G20" i="61" s="1"/>
  <c r="C20" i="61"/>
  <c r="D20" i="61" s="1"/>
  <c r="E19" i="61"/>
  <c r="F41" i="60"/>
  <c r="F39" i="60"/>
  <c r="E39" i="60"/>
  <c r="D39" i="60"/>
  <c r="F28" i="60"/>
  <c r="G26" i="60"/>
  <c r="C26" i="60"/>
  <c r="D26" i="60" s="1"/>
  <c r="E22" i="60"/>
  <c r="E21" i="60"/>
  <c r="E20" i="60"/>
  <c r="G20" i="60" s="1"/>
  <c r="C20" i="60"/>
  <c r="D20" i="60" s="1"/>
  <c r="E19" i="60"/>
  <c r="F41" i="59"/>
  <c r="F39" i="59"/>
  <c r="E39" i="59"/>
  <c r="D39" i="59"/>
  <c r="F28" i="59"/>
  <c r="G26" i="59"/>
  <c r="C26" i="59"/>
  <c r="D26" i="59" s="1"/>
  <c r="E22" i="59"/>
  <c r="E21" i="59"/>
  <c r="E20" i="59"/>
  <c r="G20" i="59" s="1"/>
  <c r="D20" i="59"/>
  <c r="E19" i="59"/>
  <c r="F41" i="58"/>
  <c r="F39" i="58"/>
  <c r="E39" i="58"/>
  <c r="D39" i="58"/>
  <c r="F28" i="58"/>
  <c r="G26" i="58"/>
  <c r="C26" i="58"/>
  <c r="D26" i="58" s="1"/>
  <c r="E22" i="58"/>
  <c r="E21" i="58"/>
  <c r="E20" i="58"/>
  <c r="G20" i="58" s="1"/>
  <c r="D20" i="58"/>
  <c r="E19" i="58"/>
  <c r="F41" i="57"/>
  <c r="F39" i="57"/>
  <c r="E39" i="57"/>
  <c r="D39" i="57"/>
  <c r="F28" i="57"/>
  <c r="G26" i="57"/>
  <c r="C26" i="57"/>
  <c r="D26" i="57" s="1"/>
  <c r="E22" i="57"/>
  <c r="E21" i="57"/>
  <c r="E20" i="57"/>
  <c r="G20" i="57" s="1"/>
  <c r="D20" i="57"/>
  <c r="E19" i="57"/>
  <c r="F41" i="56"/>
  <c r="F39" i="56"/>
  <c r="E39" i="56"/>
  <c r="G39" i="56" s="1"/>
  <c r="D39" i="56"/>
  <c r="F28" i="56"/>
  <c r="G26" i="56"/>
  <c r="C26" i="56"/>
  <c r="D26" i="56" s="1"/>
  <c r="E22" i="56"/>
  <c r="E21" i="56"/>
  <c r="E20" i="56"/>
  <c r="G20" i="56" s="1"/>
  <c r="C20" i="56"/>
  <c r="D20" i="56" s="1"/>
  <c r="E19" i="56"/>
  <c r="F41" i="54"/>
  <c r="F39" i="54"/>
  <c r="E39" i="54"/>
  <c r="D39" i="54"/>
  <c r="F28" i="54"/>
  <c r="G26" i="54"/>
  <c r="C26" i="54"/>
  <c r="D26" i="54" s="1"/>
  <c r="E22" i="54"/>
  <c r="E21" i="54"/>
  <c r="E20" i="54"/>
  <c r="G20" i="54" s="1"/>
  <c r="C20" i="54"/>
  <c r="D20" i="54" s="1"/>
  <c r="E19" i="54"/>
  <c r="F41" i="53"/>
  <c r="F39" i="53"/>
  <c r="E39" i="53"/>
  <c r="D39" i="53"/>
  <c r="F28" i="53"/>
  <c r="G26" i="53"/>
  <c r="C26" i="53"/>
  <c r="D26" i="53" s="1"/>
  <c r="E22" i="53"/>
  <c r="E21" i="53"/>
  <c r="E20" i="53"/>
  <c r="G20" i="53" s="1"/>
  <c r="C20" i="53"/>
  <c r="D20" i="53" s="1"/>
  <c r="E19" i="53"/>
  <c r="F41" i="52"/>
  <c r="F39" i="52"/>
  <c r="E39" i="52"/>
  <c r="D39" i="52"/>
  <c r="F28" i="52"/>
  <c r="G26" i="52"/>
  <c r="C26" i="52"/>
  <c r="D26" i="52" s="1"/>
  <c r="E22" i="52"/>
  <c r="E21" i="52"/>
  <c r="E20" i="52"/>
  <c r="G20" i="52" s="1"/>
  <c r="C20" i="52"/>
  <c r="D20" i="52" s="1"/>
  <c r="E19" i="52"/>
  <c r="F41" i="51"/>
  <c r="F39" i="51"/>
  <c r="E39" i="51"/>
  <c r="D39" i="51"/>
  <c r="F28" i="51"/>
  <c r="G26" i="51"/>
  <c r="C26" i="51"/>
  <c r="D26" i="51" s="1"/>
  <c r="E22" i="51"/>
  <c r="E21" i="51"/>
  <c r="E20" i="51"/>
  <c r="G20" i="51" s="1"/>
  <c r="C20" i="51"/>
  <c r="D20" i="51" s="1"/>
  <c r="E19" i="51"/>
  <c r="F41" i="50"/>
  <c r="F39" i="50"/>
  <c r="E39" i="50"/>
  <c r="D39" i="50"/>
  <c r="F28" i="50"/>
  <c r="G26" i="50"/>
  <c r="C26" i="50"/>
  <c r="D26" i="50" s="1"/>
  <c r="E22" i="50"/>
  <c r="E21" i="50"/>
  <c r="E20" i="50"/>
  <c r="G20" i="50" s="1"/>
  <c r="C20" i="50"/>
  <c r="D20" i="50" s="1"/>
  <c r="E19" i="50"/>
  <c r="F41" i="49"/>
  <c r="F39" i="49"/>
  <c r="E39" i="49"/>
  <c r="D39" i="49"/>
  <c r="F28" i="49"/>
  <c r="G26" i="49"/>
  <c r="C26" i="49"/>
  <c r="D26" i="49" s="1"/>
  <c r="E22" i="49"/>
  <c r="E21" i="49"/>
  <c r="E20" i="49"/>
  <c r="G20" i="49" s="1"/>
  <c r="C20" i="49"/>
  <c r="D20" i="49" s="1"/>
  <c r="E19" i="49"/>
  <c r="F41" i="48"/>
  <c r="F39" i="48"/>
  <c r="E39" i="48"/>
  <c r="D39" i="48"/>
  <c r="F28" i="48"/>
  <c r="G26" i="48"/>
  <c r="C26" i="48"/>
  <c r="D26" i="48" s="1"/>
  <c r="E22" i="48"/>
  <c r="E21" i="48"/>
  <c r="E20" i="48"/>
  <c r="G20" i="48" s="1"/>
  <c r="C20" i="48"/>
  <c r="D20" i="48" s="1"/>
  <c r="E19" i="48"/>
  <c r="F41" i="47"/>
  <c r="F39" i="47"/>
  <c r="E39" i="47"/>
  <c r="D39" i="47"/>
  <c r="F28" i="47"/>
  <c r="G26" i="47"/>
  <c r="C26" i="47"/>
  <c r="D26" i="47" s="1"/>
  <c r="E22" i="47"/>
  <c r="E21" i="47"/>
  <c r="E20" i="47"/>
  <c r="G20" i="47" s="1"/>
  <c r="C20" i="47"/>
  <c r="D20" i="47" s="1"/>
  <c r="E19" i="47"/>
  <c r="F41" i="46"/>
  <c r="F39" i="46"/>
  <c r="E39" i="46"/>
  <c r="D39" i="46"/>
  <c r="F28" i="46"/>
  <c r="G26" i="46"/>
  <c r="C26" i="46"/>
  <c r="D26" i="46" s="1"/>
  <c r="E22" i="46"/>
  <c r="E21" i="46"/>
  <c r="E20" i="46"/>
  <c r="G20" i="46" s="1"/>
  <c r="C20" i="46"/>
  <c r="D20" i="46" s="1"/>
  <c r="E19" i="46"/>
  <c r="F32" i="46"/>
  <c r="F31" i="46"/>
  <c r="G30" i="63" l="1"/>
  <c r="G30" i="66"/>
  <c r="G30" i="70"/>
  <c r="G30" i="69"/>
  <c r="G29" i="81"/>
  <c r="G31" i="5"/>
  <c r="G31" i="71"/>
  <c r="G31" i="78"/>
  <c r="G31" i="72"/>
  <c r="G39" i="58"/>
  <c r="G39" i="60"/>
  <c r="G39" i="61"/>
  <c r="G39" i="62"/>
  <c r="G39" i="53"/>
  <c r="G39" i="54"/>
  <c r="G39" i="46"/>
  <c r="G39" i="47"/>
  <c r="G39" i="48"/>
  <c r="G39" i="50"/>
  <c r="G39" i="51"/>
  <c r="G39" i="57"/>
  <c r="G29" i="79"/>
  <c r="G39" i="52"/>
  <c r="G39" i="49"/>
  <c r="G39" i="59"/>
  <c r="G31" i="75"/>
  <c r="G31" i="74"/>
  <c r="G31" i="73"/>
  <c r="D16" i="81"/>
  <c r="D16" i="79"/>
  <c r="D16" i="80"/>
  <c r="C18" i="80"/>
  <c r="C18" i="81"/>
  <c r="C18" i="79"/>
  <c r="F32" i="4"/>
  <c r="F31" i="47"/>
  <c r="F32" i="47"/>
  <c r="C20" i="78"/>
  <c r="C20" i="76"/>
  <c r="C20" i="77"/>
  <c r="F31" i="4"/>
  <c r="F23" i="81" l="1"/>
  <c r="F23" i="79"/>
  <c r="F23" i="80"/>
  <c r="F25" i="75"/>
  <c r="F25" i="73"/>
  <c r="F25" i="74"/>
  <c r="F24" i="70"/>
  <c r="F24" i="69"/>
  <c r="F24" i="68"/>
  <c r="F24" i="64"/>
  <c r="F24" i="63"/>
  <c r="F24" i="25"/>
  <c r="F32" i="58"/>
  <c r="F32" i="59"/>
  <c r="F32" i="57"/>
  <c r="F32" i="52"/>
  <c r="F32" i="53"/>
  <c r="F32" i="51"/>
  <c r="F24" i="78"/>
  <c r="F24" i="76"/>
  <c r="F24" i="77"/>
  <c r="F24" i="72"/>
  <c r="F24" i="5"/>
  <c r="F24" i="71"/>
  <c r="F23" i="67"/>
  <c r="F23" i="66"/>
  <c r="F23" i="65"/>
  <c r="F31" i="62"/>
  <c r="F31" i="60"/>
  <c r="F31" i="61"/>
  <c r="F31" i="56"/>
  <c r="F31" i="54"/>
  <c r="F31" i="50"/>
  <c r="F31" i="48"/>
  <c r="F31" i="49"/>
  <c r="F25" i="77"/>
  <c r="F25" i="78"/>
  <c r="F25" i="76"/>
  <c r="F25" i="71"/>
  <c r="F25" i="72"/>
  <c r="F25" i="5"/>
  <c r="F24" i="67"/>
  <c r="F24" i="66"/>
  <c r="F24" i="65"/>
  <c r="F32" i="62"/>
  <c r="F32" i="60"/>
  <c r="F32" i="61"/>
  <c r="F32" i="56"/>
  <c r="F32" i="54"/>
  <c r="F32" i="50"/>
  <c r="F32" i="48"/>
  <c r="F32" i="49"/>
  <c r="F22" i="80"/>
  <c r="F22" i="81"/>
  <c r="F22" i="79"/>
  <c r="F24" i="74"/>
  <c r="F24" i="75"/>
  <c r="F24" i="73"/>
  <c r="F23" i="70"/>
  <c r="F23" i="69"/>
  <c r="F23" i="68"/>
  <c r="F23" i="64"/>
  <c r="F23" i="63"/>
  <c r="F23" i="25"/>
  <c r="F31" i="58"/>
  <c r="F31" i="59"/>
  <c r="F31" i="57"/>
  <c r="F31" i="52"/>
  <c r="F31" i="53"/>
  <c r="F31" i="51"/>
  <c r="F33" i="81" l="1"/>
  <c r="B31" i="81"/>
  <c r="B23" i="81"/>
  <c r="B22" i="81"/>
  <c r="B19" i="81"/>
  <c r="B18" i="81"/>
  <c r="F14" i="81"/>
  <c r="E14" i="81"/>
  <c r="D14" i="81"/>
  <c r="F13" i="81"/>
  <c r="B8" i="81"/>
  <c r="B7" i="81"/>
  <c r="B6" i="81"/>
  <c r="B9" i="81" s="1"/>
  <c r="B20" i="81" s="1"/>
  <c r="F33" i="80"/>
  <c r="F14" i="80"/>
  <c r="E14" i="80"/>
  <c r="D14" i="80"/>
  <c r="F13" i="80"/>
  <c r="B8" i="80"/>
  <c r="B6" i="80"/>
  <c r="F33" i="79"/>
  <c r="B31" i="79"/>
  <c r="B23" i="79"/>
  <c r="B22" i="79"/>
  <c r="B19" i="79"/>
  <c r="B18" i="79"/>
  <c r="F14" i="79"/>
  <c r="E14" i="79"/>
  <c r="D14" i="79"/>
  <c r="F13" i="79"/>
  <c r="B8" i="79"/>
  <c r="B7" i="79"/>
  <c r="B6" i="79"/>
  <c r="B9" i="79" s="1"/>
  <c r="B20" i="79" s="1"/>
  <c r="F37" i="78"/>
  <c r="F35" i="78"/>
  <c r="B33" i="78"/>
  <c r="B25" i="78"/>
  <c r="B24" i="78"/>
  <c r="B21" i="78"/>
  <c r="B20" i="78"/>
  <c r="F14" i="78"/>
  <c r="E14" i="78"/>
  <c r="D14" i="78"/>
  <c r="F13" i="78"/>
  <c r="B8" i="78"/>
  <c r="B7" i="78"/>
  <c r="B6" i="78"/>
  <c r="B9" i="78" s="1"/>
  <c r="B22" i="78" s="1"/>
  <c r="F37" i="77"/>
  <c r="F35" i="77"/>
  <c r="F14" i="77"/>
  <c r="E14" i="77"/>
  <c r="D14" i="77"/>
  <c r="F13" i="77"/>
  <c r="B8" i="77"/>
  <c r="B6" i="77"/>
  <c r="F37" i="76"/>
  <c r="F35" i="76"/>
  <c r="B33" i="76"/>
  <c r="B25" i="76"/>
  <c r="B24" i="76"/>
  <c r="B21" i="76"/>
  <c r="B20" i="76"/>
  <c r="F14" i="76"/>
  <c r="E14" i="76"/>
  <c r="D14" i="76"/>
  <c r="F13" i="76"/>
  <c r="B8" i="76"/>
  <c r="B7" i="76"/>
  <c r="B6" i="76"/>
  <c r="B9" i="76" s="1"/>
  <c r="B22" i="76" s="1"/>
  <c r="F37" i="75"/>
  <c r="F35" i="75"/>
  <c r="B33" i="75"/>
  <c r="B25" i="75"/>
  <c r="B24" i="75"/>
  <c r="B21" i="75"/>
  <c r="B20" i="75"/>
  <c r="F14" i="75"/>
  <c r="E14" i="75"/>
  <c r="D14" i="75"/>
  <c r="F13" i="75"/>
  <c r="B8" i="75"/>
  <c r="B7" i="75"/>
  <c r="B6" i="75"/>
  <c r="B9" i="75" s="1"/>
  <c r="B22" i="75" s="1"/>
  <c r="F37" i="74"/>
  <c r="F35" i="74"/>
  <c r="F14" i="74"/>
  <c r="E14" i="74"/>
  <c r="D14" i="74"/>
  <c r="F13" i="74"/>
  <c r="B8" i="74"/>
  <c r="B6" i="74"/>
  <c r="F37" i="73"/>
  <c r="F35" i="73"/>
  <c r="B33" i="73"/>
  <c r="B25" i="73"/>
  <c r="B24" i="73"/>
  <c r="B21" i="73"/>
  <c r="B20" i="73"/>
  <c r="F14" i="73"/>
  <c r="E14" i="73"/>
  <c r="D14" i="73"/>
  <c r="F13" i="73"/>
  <c r="B8" i="73"/>
  <c r="B7" i="73"/>
  <c r="B6" i="73"/>
  <c r="B9" i="73" s="1"/>
  <c r="B22" i="73" s="1"/>
  <c r="B7" i="72"/>
  <c r="B7" i="5"/>
  <c r="F37" i="72"/>
  <c r="F35" i="72"/>
  <c r="B25" i="72"/>
  <c r="B24" i="72"/>
  <c r="B21" i="72"/>
  <c r="B20" i="72"/>
  <c r="F14" i="72"/>
  <c r="E14" i="72"/>
  <c r="D14" i="72"/>
  <c r="F13" i="72"/>
  <c r="B8" i="72"/>
  <c r="B6" i="72"/>
  <c r="B33" i="72"/>
  <c r="F37" i="71"/>
  <c r="F35" i="71"/>
  <c r="F14" i="71"/>
  <c r="E14" i="71"/>
  <c r="D14" i="71"/>
  <c r="F13" i="71"/>
  <c r="B8" i="71"/>
  <c r="B6" i="71"/>
  <c r="F36" i="70"/>
  <c r="F34" i="70"/>
  <c r="B32" i="70"/>
  <c r="F13" i="70"/>
  <c r="F12" i="70"/>
  <c r="B9" i="70"/>
  <c r="B18" i="70" s="1"/>
  <c r="B7" i="70"/>
  <c r="B6" i="70"/>
  <c r="B8" i="70" s="1"/>
  <c r="B5" i="70"/>
  <c r="F36" i="69"/>
  <c r="F34" i="69"/>
  <c r="F13" i="69"/>
  <c r="F12" i="69"/>
  <c r="B9" i="69"/>
  <c r="B7" i="69"/>
  <c r="B6" i="69"/>
  <c r="B5" i="69"/>
  <c r="F36" i="68"/>
  <c r="F34" i="68"/>
  <c r="B32" i="68"/>
  <c r="F13" i="68"/>
  <c r="F12" i="68"/>
  <c r="B9" i="68"/>
  <c r="B18" i="68" s="1"/>
  <c r="B7" i="68"/>
  <c r="B6" i="68"/>
  <c r="B8" i="68" s="1"/>
  <c r="B5" i="68"/>
  <c r="F36" i="67"/>
  <c r="F34" i="67"/>
  <c r="B32" i="67"/>
  <c r="F13" i="67"/>
  <c r="F12" i="67"/>
  <c r="B9" i="67"/>
  <c r="B18" i="67" s="1"/>
  <c r="B7" i="67"/>
  <c r="B6" i="67"/>
  <c r="B8" i="67" s="1"/>
  <c r="B5" i="67"/>
  <c r="F36" i="66"/>
  <c r="F34" i="66"/>
  <c r="F13" i="66"/>
  <c r="F12" i="66"/>
  <c r="B9" i="66"/>
  <c r="B7" i="66"/>
  <c r="B6" i="66"/>
  <c r="B5" i="66"/>
  <c r="F36" i="65"/>
  <c r="F34" i="65"/>
  <c r="B32" i="65"/>
  <c r="F13" i="65"/>
  <c r="F12" i="65"/>
  <c r="B9" i="65"/>
  <c r="B18" i="65" s="1"/>
  <c r="B7" i="65"/>
  <c r="B6" i="65"/>
  <c r="B8" i="65" s="1"/>
  <c r="B5" i="65"/>
  <c r="F36" i="64"/>
  <c r="F34" i="64"/>
  <c r="B32" i="64"/>
  <c r="F13" i="64"/>
  <c r="F12" i="64"/>
  <c r="B9" i="64"/>
  <c r="B18" i="64" s="1"/>
  <c r="B7" i="64"/>
  <c r="B6" i="64"/>
  <c r="B8" i="64" s="1"/>
  <c r="B5" i="64"/>
  <c r="F36" i="63"/>
  <c r="F34" i="63"/>
  <c r="F13" i="63"/>
  <c r="F12" i="63"/>
  <c r="B9" i="63"/>
  <c r="B7" i="63"/>
  <c r="B6" i="63"/>
  <c r="B5" i="63"/>
  <c r="E16" i="25"/>
  <c r="F48" i="62"/>
  <c r="F43" i="62"/>
  <c r="B41" i="62"/>
  <c r="F17" i="62"/>
  <c r="F16" i="62"/>
  <c r="F15" i="62"/>
  <c r="F13" i="62"/>
  <c r="F12" i="62"/>
  <c r="B9" i="62"/>
  <c r="B24" i="62" s="1"/>
  <c r="B7" i="62"/>
  <c r="B6" i="62"/>
  <c r="B8" i="62" s="1"/>
  <c r="B38" i="62" s="1"/>
  <c r="B5" i="62"/>
  <c r="F48" i="61"/>
  <c r="F45" i="61"/>
  <c r="F43" i="61"/>
  <c r="B41" i="61"/>
  <c r="F17" i="61"/>
  <c r="F16" i="61"/>
  <c r="F15" i="61"/>
  <c r="F13" i="61"/>
  <c r="F12" i="61"/>
  <c r="B9" i="61"/>
  <c r="B24" i="61" s="1"/>
  <c r="B7" i="61"/>
  <c r="B6" i="61"/>
  <c r="B5" i="61"/>
  <c r="B41" i="60"/>
  <c r="F17" i="60"/>
  <c r="F16" i="60"/>
  <c r="F15" i="60"/>
  <c r="F13" i="60"/>
  <c r="F12" i="60"/>
  <c r="B9" i="60"/>
  <c r="B24" i="60" s="1"/>
  <c r="B7" i="60"/>
  <c r="B6" i="60"/>
  <c r="B5" i="60"/>
  <c r="F48" i="59"/>
  <c r="F43" i="59"/>
  <c r="B41" i="59"/>
  <c r="F17" i="59"/>
  <c r="F16" i="59"/>
  <c r="F15" i="59"/>
  <c r="F13" i="59"/>
  <c r="F12" i="59"/>
  <c r="B9" i="59"/>
  <c r="B24" i="59" s="1"/>
  <c r="B7" i="59"/>
  <c r="B6" i="59"/>
  <c r="B8" i="59" s="1"/>
  <c r="B38" i="59" s="1"/>
  <c r="B5" i="59"/>
  <c r="F48" i="58"/>
  <c r="F45" i="58"/>
  <c r="F43" i="58"/>
  <c r="B41" i="58"/>
  <c r="F17" i="58"/>
  <c r="F16" i="58"/>
  <c r="F15" i="58"/>
  <c r="F13" i="58"/>
  <c r="F12" i="58"/>
  <c r="B9" i="58"/>
  <c r="B24" i="58" s="1"/>
  <c r="B7" i="58"/>
  <c r="B6" i="58"/>
  <c r="B5" i="58"/>
  <c r="F48" i="57"/>
  <c r="F45" i="57"/>
  <c r="F43" i="57"/>
  <c r="B41" i="57"/>
  <c r="F17" i="57"/>
  <c r="F16" i="57"/>
  <c r="F15" i="57"/>
  <c r="F13" i="57"/>
  <c r="F12" i="57"/>
  <c r="B9" i="57"/>
  <c r="B24" i="57" s="1"/>
  <c r="B7" i="57"/>
  <c r="B6" i="57"/>
  <c r="B8" i="57" s="1"/>
  <c r="B38" i="57" s="1"/>
  <c r="B5" i="57"/>
  <c r="F48" i="56"/>
  <c r="F45" i="56"/>
  <c r="F43" i="56"/>
  <c r="B41" i="56"/>
  <c r="F17" i="56"/>
  <c r="F16" i="56"/>
  <c r="F15" i="56"/>
  <c r="F13" i="56"/>
  <c r="F12" i="56"/>
  <c r="B9" i="56"/>
  <c r="B24" i="56" s="1"/>
  <c r="B7" i="56"/>
  <c r="B6" i="56"/>
  <c r="B5" i="56"/>
  <c r="F48" i="54"/>
  <c r="F45" i="54"/>
  <c r="F43" i="54"/>
  <c r="B41" i="54"/>
  <c r="F17" i="54"/>
  <c r="F16" i="54"/>
  <c r="F15" i="54"/>
  <c r="F13" i="54"/>
  <c r="F12" i="54"/>
  <c r="B9" i="54"/>
  <c r="B24" i="54" s="1"/>
  <c r="B7" i="54"/>
  <c r="B6" i="54"/>
  <c r="B5" i="54"/>
  <c r="F48" i="53"/>
  <c r="F45" i="53"/>
  <c r="F43" i="53"/>
  <c r="B41" i="53"/>
  <c r="F17" i="53"/>
  <c r="F16" i="53"/>
  <c r="F15" i="53"/>
  <c r="F13" i="53"/>
  <c r="F12" i="53"/>
  <c r="B9" i="53"/>
  <c r="B24" i="53" s="1"/>
  <c r="B7" i="53"/>
  <c r="B6" i="53"/>
  <c r="B8" i="53" s="1"/>
  <c r="B38" i="53" s="1"/>
  <c r="B5" i="53"/>
  <c r="F48" i="52"/>
  <c r="F45" i="52"/>
  <c r="F43" i="52"/>
  <c r="B41" i="52"/>
  <c r="F17" i="52"/>
  <c r="F16" i="52"/>
  <c r="F15" i="52"/>
  <c r="F13" i="52"/>
  <c r="F12" i="52"/>
  <c r="B9" i="52"/>
  <c r="B24" i="52" s="1"/>
  <c r="B7" i="52"/>
  <c r="B6" i="52"/>
  <c r="B5" i="52"/>
  <c r="F48" i="51"/>
  <c r="F45" i="51"/>
  <c r="F43" i="51"/>
  <c r="B41" i="51"/>
  <c r="F17" i="51"/>
  <c r="F16" i="51"/>
  <c r="F15" i="51"/>
  <c r="F13" i="51"/>
  <c r="F12" i="51"/>
  <c r="B9" i="51"/>
  <c r="B7" i="51"/>
  <c r="B6" i="51"/>
  <c r="B8" i="51" s="1"/>
  <c r="B38" i="51" s="1"/>
  <c r="B5" i="51"/>
  <c r="F48" i="50"/>
  <c r="F45" i="50"/>
  <c r="F43" i="50"/>
  <c r="B41" i="50"/>
  <c r="F17" i="50"/>
  <c r="F16" i="50"/>
  <c r="F15" i="50"/>
  <c r="F13" i="50"/>
  <c r="F12" i="50"/>
  <c r="B9" i="50"/>
  <c r="B24" i="50" s="1"/>
  <c r="B7" i="50"/>
  <c r="B6" i="50"/>
  <c r="B5" i="50"/>
  <c r="F48" i="49"/>
  <c r="F45" i="49"/>
  <c r="F43" i="49"/>
  <c r="B41" i="49"/>
  <c r="F17" i="49"/>
  <c r="F16" i="49"/>
  <c r="F15" i="49"/>
  <c r="F13" i="49"/>
  <c r="F12" i="49"/>
  <c r="B9" i="49"/>
  <c r="B24" i="49" s="1"/>
  <c r="B7" i="49"/>
  <c r="B6" i="49"/>
  <c r="B5" i="49"/>
  <c r="F48" i="48"/>
  <c r="F45" i="48"/>
  <c r="F43" i="48"/>
  <c r="B41" i="48"/>
  <c r="F17" i="48"/>
  <c r="F16" i="48"/>
  <c r="F15" i="48"/>
  <c r="F13" i="48"/>
  <c r="F12" i="48"/>
  <c r="B9" i="48"/>
  <c r="B24" i="48" s="1"/>
  <c r="B7" i="48"/>
  <c r="B6" i="48"/>
  <c r="B8" i="48" s="1"/>
  <c r="B38" i="48" s="1"/>
  <c r="B5" i="48"/>
  <c r="F48" i="47"/>
  <c r="F45" i="47"/>
  <c r="F43" i="47"/>
  <c r="B41" i="47"/>
  <c r="F17" i="47"/>
  <c r="F16" i="47"/>
  <c r="F15" i="47"/>
  <c r="F13" i="47"/>
  <c r="F12" i="47"/>
  <c r="B9" i="47"/>
  <c r="B7" i="47"/>
  <c r="B6" i="47"/>
  <c r="B8" i="47" s="1"/>
  <c r="B38" i="47" s="1"/>
  <c r="B5" i="47"/>
  <c r="F48" i="46"/>
  <c r="F45" i="46"/>
  <c r="F43" i="46"/>
  <c r="B41" i="46"/>
  <c r="F17" i="46"/>
  <c r="F16" i="46"/>
  <c r="F15" i="46"/>
  <c r="F13" i="46"/>
  <c r="F12" i="46"/>
  <c r="B9" i="46"/>
  <c r="B24" i="46" s="1"/>
  <c r="B7" i="46"/>
  <c r="B6" i="46"/>
  <c r="B5" i="46"/>
  <c r="E21" i="4"/>
  <c r="E22" i="4"/>
  <c r="B29" i="65" l="1"/>
  <c r="D29" i="65" s="1"/>
  <c r="B19" i="65"/>
  <c r="B29" i="70"/>
  <c r="D29" i="70" s="1"/>
  <c r="B19" i="70"/>
  <c r="B29" i="67"/>
  <c r="E29" i="67" s="1"/>
  <c r="G29" i="67" s="1"/>
  <c r="B19" i="67"/>
  <c r="B29" i="64"/>
  <c r="E29" i="64" s="1"/>
  <c r="G29" i="64" s="1"/>
  <c r="B19" i="64"/>
  <c r="B29" i="68"/>
  <c r="E29" i="68" s="1"/>
  <c r="G29" i="68" s="1"/>
  <c r="B19" i="68"/>
  <c r="E22" i="76"/>
  <c r="G22" i="76" s="1"/>
  <c r="D22" i="76"/>
  <c r="E22" i="78"/>
  <c r="G22" i="78" s="1"/>
  <c r="D22" i="78"/>
  <c r="D22" i="73"/>
  <c r="E22" i="73"/>
  <c r="G22" i="73" s="1"/>
  <c r="E22" i="75"/>
  <c r="G22" i="75" s="1"/>
  <c r="D22" i="75"/>
  <c r="D41" i="57"/>
  <c r="E41" i="57"/>
  <c r="G41" i="57" s="1"/>
  <c r="H41" i="57" s="1"/>
  <c r="I41" i="57" s="1"/>
  <c r="E32" i="68"/>
  <c r="G32" i="68" s="1"/>
  <c r="D32" i="68"/>
  <c r="E41" i="61"/>
  <c r="G41" i="61" s="1"/>
  <c r="D41" i="61"/>
  <c r="E32" i="65"/>
  <c r="G32" i="65" s="1"/>
  <c r="D32" i="65"/>
  <c r="E41" i="54"/>
  <c r="G41" i="54" s="1"/>
  <c r="H41" i="54" s="1"/>
  <c r="I41" i="54" s="1"/>
  <c r="D41" i="54"/>
  <c r="E32" i="64"/>
  <c r="G32" i="64" s="1"/>
  <c r="H32" i="64" s="1"/>
  <c r="I32" i="64" s="1"/>
  <c r="D32" i="64"/>
  <c r="E41" i="58"/>
  <c r="G41" i="58" s="1"/>
  <c r="D41" i="58"/>
  <c r="E32" i="67"/>
  <c r="G32" i="67" s="1"/>
  <c r="D32" i="67"/>
  <c r="E41" i="60"/>
  <c r="G41" i="60" s="1"/>
  <c r="D41" i="60"/>
  <c r="H41" i="60" s="1"/>
  <c r="I41" i="60" s="1"/>
  <c r="E32" i="70"/>
  <c r="G32" i="70" s="1"/>
  <c r="D32" i="70"/>
  <c r="E41" i="52"/>
  <c r="G41" i="52" s="1"/>
  <c r="D41" i="52"/>
  <c r="D41" i="49"/>
  <c r="E41" i="49"/>
  <c r="G41" i="49" s="1"/>
  <c r="E41" i="46"/>
  <c r="G41" i="46" s="1"/>
  <c r="D41" i="46"/>
  <c r="G14" i="80"/>
  <c r="H14" i="80" s="1"/>
  <c r="I14" i="80" s="1"/>
  <c r="G14" i="76"/>
  <c r="H14" i="76" s="1"/>
  <c r="I14" i="76" s="1"/>
  <c r="G14" i="71"/>
  <c r="H14" i="71" s="1"/>
  <c r="I14" i="71" s="1"/>
  <c r="B13" i="75"/>
  <c r="B30" i="75"/>
  <c r="B13" i="79"/>
  <c r="B28" i="79"/>
  <c r="B13" i="78"/>
  <c r="B30" i="78"/>
  <c r="B13" i="73"/>
  <c r="B30" i="73"/>
  <c r="B13" i="81"/>
  <c r="B28" i="81"/>
  <c r="B13" i="76"/>
  <c r="B30" i="76"/>
  <c r="E38" i="48"/>
  <c r="G38" i="48" s="1"/>
  <c r="D38" i="48"/>
  <c r="E38" i="47"/>
  <c r="G38" i="47" s="1"/>
  <c r="D38" i="47"/>
  <c r="D38" i="51"/>
  <c r="E38" i="51"/>
  <c r="G38" i="51" s="1"/>
  <c r="E38" i="59"/>
  <c r="G38" i="59" s="1"/>
  <c r="D38" i="59"/>
  <c r="E38" i="53"/>
  <c r="G38" i="53" s="1"/>
  <c r="D38" i="53"/>
  <c r="E38" i="57"/>
  <c r="G38" i="57" s="1"/>
  <c r="D38" i="57"/>
  <c r="D38" i="62"/>
  <c r="E38" i="62"/>
  <c r="G38" i="62" s="1"/>
  <c r="D41" i="56"/>
  <c r="E41" i="56"/>
  <c r="G41" i="56" s="1"/>
  <c r="E41" i="53"/>
  <c r="G41" i="53" s="1"/>
  <c r="D41" i="53"/>
  <c r="E41" i="51"/>
  <c r="G41" i="51" s="1"/>
  <c r="D41" i="51"/>
  <c r="D41" i="50"/>
  <c r="E41" i="50"/>
  <c r="G41" i="50" s="1"/>
  <c r="D41" i="48"/>
  <c r="E41" i="48"/>
  <c r="G41" i="48" s="1"/>
  <c r="E41" i="47"/>
  <c r="G41" i="47" s="1"/>
  <c r="D41" i="47"/>
  <c r="G14" i="72"/>
  <c r="H14" i="72" s="1"/>
  <c r="I14" i="72" s="1"/>
  <c r="G14" i="74"/>
  <c r="H14" i="74" s="1"/>
  <c r="I14" i="74" s="1"/>
  <c r="G14" i="78"/>
  <c r="H14" i="78" s="1"/>
  <c r="I14" i="78" s="1"/>
  <c r="E24" i="76"/>
  <c r="G24" i="76" s="1"/>
  <c r="D33" i="76"/>
  <c r="E33" i="76"/>
  <c r="G33" i="76" s="1"/>
  <c r="E20" i="76"/>
  <c r="D20" i="76"/>
  <c r="E21" i="76"/>
  <c r="E25" i="76"/>
  <c r="G25" i="76" s="1"/>
  <c r="E20" i="73"/>
  <c r="E21" i="73"/>
  <c r="E25" i="73"/>
  <c r="G25" i="73" s="1"/>
  <c r="E24" i="73"/>
  <c r="G24" i="73" s="1"/>
  <c r="E33" i="73"/>
  <c r="G33" i="73" s="1"/>
  <c r="H33" i="73" s="1"/>
  <c r="I33" i="73" s="1"/>
  <c r="D33" i="73"/>
  <c r="G14" i="81"/>
  <c r="H14" i="81" s="1"/>
  <c r="I14" i="81" s="1"/>
  <c r="G14" i="79"/>
  <c r="H14" i="79" s="1"/>
  <c r="I14" i="79" s="1"/>
  <c r="G14" i="77"/>
  <c r="H14" i="77" s="1"/>
  <c r="I14" i="77" s="1"/>
  <c r="G14" i="75"/>
  <c r="H14" i="75" s="1"/>
  <c r="I14" i="75" s="1"/>
  <c r="G14" i="73"/>
  <c r="H14" i="73" s="1"/>
  <c r="I14" i="73" s="1"/>
  <c r="C27" i="46"/>
  <c r="F27" i="46" s="1"/>
  <c r="B12" i="46"/>
  <c r="B13" i="46"/>
  <c r="D13" i="46" s="1"/>
  <c r="C27" i="47"/>
  <c r="F27" i="47" s="1"/>
  <c r="B13" i="47"/>
  <c r="B12" i="47"/>
  <c r="C27" i="48"/>
  <c r="F27" i="48" s="1"/>
  <c r="B12" i="48"/>
  <c r="B13" i="48"/>
  <c r="C27" i="49"/>
  <c r="F27" i="49" s="1"/>
  <c r="B13" i="49"/>
  <c r="D13" i="49" s="1"/>
  <c r="B12" i="49"/>
  <c r="C27" i="50"/>
  <c r="F27" i="50" s="1"/>
  <c r="B12" i="50"/>
  <c r="D12" i="50" s="1"/>
  <c r="B13" i="50"/>
  <c r="C27" i="51"/>
  <c r="F27" i="51" s="1"/>
  <c r="B13" i="51"/>
  <c r="B12" i="51"/>
  <c r="C27" i="52"/>
  <c r="F27" i="52" s="1"/>
  <c r="B12" i="52"/>
  <c r="B13" i="52"/>
  <c r="D13" i="52" s="1"/>
  <c r="C27" i="53"/>
  <c r="F27" i="53" s="1"/>
  <c r="B13" i="53"/>
  <c r="B12" i="53"/>
  <c r="C27" i="54"/>
  <c r="F27" i="54" s="1"/>
  <c r="B12" i="54"/>
  <c r="B13" i="54"/>
  <c r="D13" i="54" s="1"/>
  <c r="C27" i="56"/>
  <c r="F27" i="56" s="1"/>
  <c r="B12" i="56"/>
  <c r="B13" i="56"/>
  <c r="D13" i="56" s="1"/>
  <c r="C27" i="57"/>
  <c r="F27" i="57" s="1"/>
  <c r="B13" i="57"/>
  <c r="B12" i="57"/>
  <c r="C27" i="58"/>
  <c r="F27" i="58" s="1"/>
  <c r="B12" i="58"/>
  <c r="B13" i="58"/>
  <c r="C27" i="59"/>
  <c r="F27" i="59" s="1"/>
  <c r="B13" i="59"/>
  <c r="B12" i="59"/>
  <c r="C27" i="60"/>
  <c r="F27" i="60" s="1"/>
  <c r="B12" i="60"/>
  <c r="D12" i="60" s="1"/>
  <c r="B13" i="60"/>
  <c r="C27" i="61"/>
  <c r="F27" i="61" s="1"/>
  <c r="B13" i="61"/>
  <c r="B12" i="61"/>
  <c r="C27" i="62"/>
  <c r="F27" i="62" s="1"/>
  <c r="B12" i="62"/>
  <c r="B13" i="62"/>
  <c r="C21" i="64"/>
  <c r="F21" i="64" s="1"/>
  <c r="B13" i="64"/>
  <c r="D13" i="64" s="1"/>
  <c r="B12" i="64"/>
  <c r="C21" i="65"/>
  <c r="F21" i="65" s="1"/>
  <c r="B13" i="65"/>
  <c r="D13" i="65" s="1"/>
  <c r="B12" i="65"/>
  <c r="B13" i="67"/>
  <c r="E13" i="67" s="1"/>
  <c r="G13" i="67" s="1"/>
  <c r="B12" i="67"/>
  <c r="B13" i="68"/>
  <c r="E13" i="68" s="1"/>
  <c r="G13" i="68" s="1"/>
  <c r="B12" i="68"/>
  <c r="C21" i="70"/>
  <c r="F21" i="70" s="1"/>
  <c r="B13" i="70"/>
  <c r="D13" i="70" s="1"/>
  <c r="B12" i="70"/>
  <c r="E41" i="62"/>
  <c r="G41" i="62" s="1"/>
  <c r="D41" i="62"/>
  <c r="H41" i="62" s="1"/>
  <c r="I41" i="62" s="1"/>
  <c r="D41" i="59"/>
  <c r="E41" i="59"/>
  <c r="G41" i="59" s="1"/>
  <c r="D31" i="81"/>
  <c r="E31" i="81"/>
  <c r="G31" i="81" s="1"/>
  <c r="E18" i="81"/>
  <c r="D18" i="81"/>
  <c r="E19" i="81"/>
  <c r="E23" i="81"/>
  <c r="G23" i="81" s="1"/>
  <c r="E20" i="81"/>
  <c r="E22" i="81"/>
  <c r="G22" i="81" s="1"/>
  <c r="D31" i="79"/>
  <c r="E31" i="79"/>
  <c r="G31" i="79" s="1"/>
  <c r="E18" i="79"/>
  <c r="D18" i="79"/>
  <c r="E19" i="79"/>
  <c r="E23" i="79"/>
  <c r="G23" i="79" s="1"/>
  <c r="E20" i="79"/>
  <c r="E22" i="79"/>
  <c r="G22" i="79" s="1"/>
  <c r="E33" i="78"/>
  <c r="G33" i="78" s="1"/>
  <c r="D33" i="78"/>
  <c r="E20" i="78"/>
  <c r="D20" i="78"/>
  <c r="E21" i="78"/>
  <c r="E25" i="78"/>
  <c r="G25" i="78" s="1"/>
  <c r="E24" i="78"/>
  <c r="G24" i="78" s="1"/>
  <c r="D33" i="75"/>
  <c r="E33" i="75"/>
  <c r="G33" i="75" s="1"/>
  <c r="E20" i="75"/>
  <c r="E21" i="75"/>
  <c r="E25" i="75"/>
  <c r="G25" i="75" s="1"/>
  <c r="E24" i="75"/>
  <c r="G24" i="75" s="1"/>
  <c r="E33" i="72"/>
  <c r="G33" i="72" s="1"/>
  <c r="D33" i="72"/>
  <c r="E24" i="72"/>
  <c r="G24" i="72" s="1"/>
  <c r="E20" i="72"/>
  <c r="E21" i="72"/>
  <c r="E25" i="72"/>
  <c r="G25" i="72" s="1"/>
  <c r="E18" i="64"/>
  <c r="E18" i="65"/>
  <c r="E18" i="67"/>
  <c r="E18" i="68"/>
  <c r="E18" i="70"/>
  <c r="E24" i="46"/>
  <c r="E24" i="48"/>
  <c r="E24" i="49"/>
  <c r="E24" i="50"/>
  <c r="E24" i="52"/>
  <c r="E24" i="53"/>
  <c r="E24" i="54"/>
  <c r="E24" i="56"/>
  <c r="E24" i="57"/>
  <c r="E24" i="58"/>
  <c r="E24" i="59"/>
  <c r="E24" i="60"/>
  <c r="E24" i="61"/>
  <c r="E24" i="62"/>
  <c r="C21" i="67"/>
  <c r="F21" i="67" s="1"/>
  <c r="C21" i="68"/>
  <c r="F21" i="68" s="1"/>
  <c r="B26" i="81"/>
  <c r="B27" i="81"/>
  <c r="H29" i="81"/>
  <c r="I29" i="81" s="1"/>
  <c r="H29" i="80"/>
  <c r="I29" i="80" s="1"/>
  <c r="B26" i="79"/>
  <c r="B27" i="79"/>
  <c r="H29" i="79"/>
  <c r="I29" i="79" s="1"/>
  <c r="E15" i="53"/>
  <c r="G15" i="53" s="1"/>
  <c r="E16" i="53"/>
  <c r="G16" i="53" s="1"/>
  <c r="E17" i="53"/>
  <c r="G17" i="53" s="1"/>
  <c r="D15" i="47"/>
  <c r="B23" i="49"/>
  <c r="E15" i="61"/>
  <c r="G15" i="61" s="1"/>
  <c r="E15" i="62"/>
  <c r="G15" i="62" s="1"/>
  <c r="E16" i="62"/>
  <c r="G16" i="62" s="1"/>
  <c r="E17" i="62"/>
  <c r="G17" i="62" s="1"/>
  <c r="B28" i="78"/>
  <c r="B29" i="78"/>
  <c r="H31" i="78"/>
  <c r="I31" i="78" s="1"/>
  <c r="H17" i="78"/>
  <c r="I17" i="78" s="1"/>
  <c r="H31" i="77"/>
  <c r="I31" i="77" s="1"/>
  <c r="H17" i="76"/>
  <c r="I17" i="76" s="1"/>
  <c r="B28" i="76"/>
  <c r="B29" i="76"/>
  <c r="H31" i="76"/>
  <c r="I31" i="76" s="1"/>
  <c r="B28" i="75"/>
  <c r="B29" i="75"/>
  <c r="H31" i="75"/>
  <c r="I31" i="75" s="1"/>
  <c r="H17" i="75"/>
  <c r="I17" i="75" s="1"/>
  <c r="H31" i="74"/>
  <c r="I31" i="74" s="1"/>
  <c r="H17" i="74"/>
  <c r="I17" i="74" s="1"/>
  <c r="H31" i="73"/>
  <c r="I31" i="73" s="1"/>
  <c r="B28" i="73"/>
  <c r="B29" i="73"/>
  <c r="H17" i="73"/>
  <c r="I17" i="73" s="1"/>
  <c r="H17" i="72"/>
  <c r="I17" i="72" s="1"/>
  <c r="H31" i="72"/>
  <c r="I31" i="72" s="1"/>
  <c r="B9" i="72"/>
  <c r="B22" i="72" s="1"/>
  <c r="H17" i="71"/>
  <c r="I17" i="71" s="1"/>
  <c r="H31" i="71"/>
  <c r="I31" i="71" s="1"/>
  <c r="B27" i="70"/>
  <c r="B23" i="70"/>
  <c r="B21" i="70"/>
  <c r="B28" i="70"/>
  <c r="B24" i="70"/>
  <c r="H30" i="70"/>
  <c r="I30" i="70" s="1"/>
  <c r="B17" i="70"/>
  <c r="H30" i="69"/>
  <c r="I30" i="69" s="1"/>
  <c r="B27" i="68"/>
  <c r="B23" i="68"/>
  <c r="B21" i="68"/>
  <c r="B28" i="68"/>
  <c r="B24" i="68"/>
  <c r="H30" i="68"/>
  <c r="I30" i="68" s="1"/>
  <c r="B17" i="68"/>
  <c r="B27" i="67"/>
  <c r="B23" i="67"/>
  <c r="B21" i="67"/>
  <c r="B28" i="67"/>
  <c r="B24" i="67"/>
  <c r="H30" i="67"/>
  <c r="I30" i="67" s="1"/>
  <c r="B17" i="67"/>
  <c r="H30" i="66"/>
  <c r="I30" i="66" s="1"/>
  <c r="B27" i="65"/>
  <c r="B23" i="65"/>
  <c r="B21" i="65"/>
  <c r="B28" i="65"/>
  <c r="B24" i="65"/>
  <c r="H30" i="65"/>
  <c r="I30" i="65" s="1"/>
  <c r="B17" i="65"/>
  <c r="B27" i="64"/>
  <c r="B23" i="64"/>
  <c r="B21" i="64"/>
  <c r="B28" i="64"/>
  <c r="B24" i="64"/>
  <c r="H30" i="64"/>
  <c r="I30" i="64" s="1"/>
  <c r="B17" i="64"/>
  <c r="H30" i="63"/>
  <c r="I30" i="63" s="1"/>
  <c r="B37" i="62"/>
  <c r="B36" i="62"/>
  <c r="B32" i="62"/>
  <c r="B31" i="62"/>
  <c r="B28" i="62"/>
  <c r="B27" i="62"/>
  <c r="H20" i="62"/>
  <c r="I20" i="62" s="1"/>
  <c r="B23" i="62"/>
  <c r="H39" i="62"/>
  <c r="I39" i="62" s="1"/>
  <c r="H26" i="62"/>
  <c r="I26" i="62" s="1"/>
  <c r="E17" i="61"/>
  <c r="G17" i="61" s="1"/>
  <c r="D17" i="61"/>
  <c r="B8" i="61"/>
  <c r="B38" i="61" s="1"/>
  <c r="H20" i="61"/>
  <c r="I20" i="61" s="1"/>
  <c r="B23" i="61"/>
  <c r="H39" i="61"/>
  <c r="I39" i="61" s="1"/>
  <c r="H26" i="61"/>
  <c r="I26" i="61" s="1"/>
  <c r="E17" i="60"/>
  <c r="G17" i="60" s="1"/>
  <c r="D17" i="60"/>
  <c r="H20" i="60"/>
  <c r="I20" i="60" s="1"/>
  <c r="B8" i="60"/>
  <c r="B38" i="60" s="1"/>
  <c r="B23" i="60"/>
  <c r="H39" i="60"/>
  <c r="I39" i="60" s="1"/>
  <c r="H26" i="60"/>
  <c r="I26" i="60" s="1"/>
  <c r="H20" i="59"/>
  <c r="I20" i="59" s="1"/>
  <c r="B37" i="59"/>
  <c r="B36" i="59"/>
  <c r="B32" i="59"/>
  <c r="B31" i="59"/>
  <c r="B28" i="59"/>
  <c r="B27" i="59"/>
  <c r="H39" i="59"/>
  <c r="I39" i="59" s="1"/>
  <c r="B23" i="59"/>
  <c r="H26" i="59"/>
  <c r="I26" i="59" s="1"/>
  <c r="E17" i="58"/>
  <c r="G17" i="58" s="1"/>
  <c r="D17" i="58"/>
  <c r="B8" i="58"/>
  <c r="B38" i="58" s="1"/>
  <c r="H20" i="58"/>
  <c r="I20" i="58" s="1"/>
  <c r="B23" i="58"/>
  <c r="H39" i="58"/>
  <c r="I39" i="58" s="1"/>
  <c r="H41" i="58"/>
  <c r="I41" i="58" s="1"/>
  <c r="H26" i="58"/>
  <c r="I26" i="58" s="1"/>
  <c r="E15" i="57"/>
  <c r="G15" i="57" s="1"/>
  <c r="E16" i="57"/>
  <c r="G16" i="57" s="1"/>
  <c r="E17" i="57"/>
  <c r="G17" i="57" s="1"/>
  <c r="B37" i="57"/>
  <c r="B36" i="57"/>
  <c r="B32" i="57"/>
  <c r="B31" i="57"/>
  <c r="B28" i="57"/>
  <c r="B27" i="57"/>
  <c r="H20" i="57"/>
  <c r="I20" i="57" s="1"/>
  <c r="B23" i="57"/>
  <c r="H39" i="57"/>
  <c r="I39" i="57" s="1"/>
  <c r="H26" i="57"/>
  <c r="I26" i="57" s="1"/>
  <c r="E17" i="56"/>
  <c r="G17" i="56" s="1"/>
  <c r="D17" i="56"/>
  <c r="H20" i="56"/>
  <c r="I20" i="56" s="1"/>
  <c r="B8" i="56"/>
  <c r="B38" i="56" s="1"/>
  <c r="B23" i="56"/>
  <c r="H26" i="56"/>
  <c r="I26" i="56" s="1"/>
  <c r="H39" i="56"/>
  <c r="I39" i="56" s="1"/>
  <c r="B23" i="54"/>
  <c r="E17" i="54"/>
  <c r="G17" i="54" s="1"/>
  <c r="D17" i="54"/>
  <c r="H20" i="54"/>
  <c r="I20" i="54" s="1"/>
  <c r="B8" i="54"/>
  <c r="B38" i="54" s="1"/>
  <c r="H39" i="54"/>
  <c r="I39" i="54" s="1"/>
  <c r="H26" i="54"/>
  <c r="I26" i="54" s="1"/>
  <c r="B37" i="53"/>
  <c r="B36" i="53"/>
  <c r="B32" i="53"/>
  <c r="B31" i="53"/>
  <c r="B28" i="53"/>
  <c r="B27" i="53"/>
  <c r="H20" i="53"/>
  <c r="I20" i="53" s="1"/>
  <c r="B23" i="53"/>
  <c r="H39" i="53"/>
  <c r="I39" i="53" s="1"/>
  <c r="H26" i="53"/>
  <c r="I26" i="53" s="1"/>
  <c r="E17" i="52"/>
  <c r="G17" i="52" s="1"/>
  <c r="D17" i="52"/>
  <c r="H20" i="52"/>
  <c r="I20" i="52" s="1"/>
  <c r="B8" i="52"/>
  <c r="B38" i="52" s="1"/>
  <c r="B23" i="52"/>
  <c r="H39" i="52"/>
  <c r="I39" i="52" s="1"/>
  <c r="H26" i="52"/>
  <c r="I26" i="52" s="1"/>
  <c r="H41" i="52"/>
  <c r="I41" i="52" s="1"/>
  <c r="D15" i="51"/>
  <c r="D16" i="51"/>
  <c r="D17" i="51"/>
  <c r="B37" i="51"/>
  <c r="B36" i="51"/>
  <c r="B32" i="51"/>
  <c r="B31" i="51"/>
  <c r="B28" i="51"/>
  <c r="B27" i="51"/>
  <c r="B24" i="51"/>
  <c r="H39" i="51"/>
  <c r="I39" i="51" s="1"/>
  <c r="H20" i="51"/>
  <c r="I20" i="51" s="1"/>
  <c r="B23" i="51"/>
  <c r="H26" i="51"/>
  <c r="I26" i="51" s="1"/>
  <c r="E17" i="50"/>
  <c r="G17" i="50" s="1"/>
  <c r="D17" i="50"/>
  <c r="H20" i="50"/>
  <c r="I20" i="50" s="1"/>
  <c r="B8" i="50"/>
  <c r="B38" i="50" s="1"/>
  <c r="B23" i="50"/>
  <c r="H39" i="50"/>
  <c r="I39" i="50" s="1"/>
  <c r="H26" i="50"/>
  <c r="I26" i="50" s="1"/>
  <c r="E17" i="49"/>
  <c r="G17" i="49" s="1"/>
  <c r="D17" i="49"/>
  <c r="H20" i="49"/>
  <c r="I20" i="49" s="1"/>
  <c r="B8" i="49"/>
  <c r="B38" i="49" s="1"/>
  <c r="H39" i="49"/>
  <c r="I39" i="49" s="1"/>
  <c r="H26" i="49"/>
  <c r="I26" i="49" s="1"/>
  <c r="E15" i="48"/>
  <c r="G15" i="48" s="1"/>
  <c r="E16" i="48"/>
  <c r="G16" i="48" s="1"/>
  <c r="E17" i="48"/>
  <c r="G17" i="48" s="1"/>
  <c r="B37" i="48"/>
  <c r="B36" i="48"/>
  <c r="B32" i="48"/>
  <c r="B31" i="48"/>
  <c r="B28" i="48"/>
  <c r="B27" i="48"/>
  <c r="H20" i="48"/>
  <c r="I20" i="48" s="1"/>
  <c r="B23" i="48"/>
  <c r="H39" i="48"/>
  <c r="I39" i="48" s="1"/>
  <c r="H26" i="48"/>
  <c r="I26" i="48" s="1"/>
  <c r="B37" i="47"/>
  <c r="B36" i="47"/>
  <c r="B32" i="47"/>
  <c r="B31" i="47"/>
  <c r="B28" i="47"/>
  <c r="B27" i="47"/>
  <c r="B24" i="47"/>
  <c r="H20" i="47"/>
  <c r="I20" i="47" s="1"/>
  <c r="B23" i="47"/>
  <c r="H39" i="47"/>
  <c r="I39" i="47" s="1"/>
  <c r="H26" i="47"/>
  <c r="I26" i="47" s="1"/>
  <c r="E17" i="46"/>
  <c r="G17" i="46" s="1"/>
  <c r="D17" i="46"/>
  <c r="H20" i="46"/>
  <c r="I20" i="46" s="1"/>
  <c r="B8" i="46"/>
  <c r="B38" i="46" s="1"/>
  <c r="B23" i="46"/>
  <c r="H39" i="46"/>
  <c r="I39" i="46" s="1"/>
  <c r="H26" i="46"/>
  <c r="I26" i="46" s="1"/>
  <c r="E29" i="65" l="1"/>
  <c r="G29" i="65" s="1"/>
  <c r="H29" i="65" s="1"/>
  <c r="I29" i="65" s="1"/>
  <c r="D29" i="64"/>
  <c r="H29" i="64" s="1"/>
  <c r="I29" i="64" s="1"/>
  <c r="H33" i="75"/>
  <c r="I33" i="75" s="1"/>
  <c r="H32" i="70"/>
  <c r="I32" i="70" s="1"/>
  <c r="H32" i="65"/>
  <c r="I32" i="65" s="1"/>
  <c r="H33" i="76"/>
  <c r="I33" i="76" s="1"/>
  <c r="D29" i="68"/>
  <c r="H29" i="68" s="1"/>
  <c r="I29" i="68" s="1"/>
  <c r="H22" i="76"/>
  <c r="I22" i="76" s="1"/>
  <c r="E29" i="70"/>
  <c r="G29" i="70" s="1"/>
  <c r="H29" i="70" s="1"/>
  <c r="I29" i="70" s="1"/>
  <c r="D29" i="67"/>
  <c r="H29" i="67" s="1"/>
  <c r="I29" i="67" s="1"/>
  <c r="H32" i="68"/>
  <c r="I32" i="68" s="1"/>
  <c r="H32" i="67"/>
  <c r="I32" i="67" s="1"/>
  <c r="H31" i="79"/>
  <c r="I31" i="79" s="1"/>
  <c r="H31" i="81"/>
  <c r="I31" i="81" s="1"/>
  <c r="D22" i="72"/>
  <c r="E22" i="72"/>
  <c r="G22" i="72" s="1"/>
  <c r="H22" i="73"/>
  <c r="I22" i="73" s="1"/>
  <c r="H33" i="78"/>
  <c r="I33" i="78" s="1"/>
  <c r="H22" i="75"/>
  <c r="I22" i="75" s="1"/>
  <c r="H22" i="78"/>
  <c r="I22" i="78" s="1"/>
  <c r="H41" i="61"/>
  <c r="I41" i="61" s="1"/>
  <c r="H41" i="49"/>
  <c r="I41" i="49" s="1"/>
  <c r="H41" i="51"/>
  <c r="I41" i="51" s="1"/>
  <c r="H41" i="46"/>
  <c r="I41" i="46" s="1"/>
  <c r="H41" i="50"/>
  <c r="I41" i="50" s="1"/>
  <c r="H41" i="53"/>
  <c r="I41" i="53" s="1"/>
  <c r="E30" i="76"/>
  <c r="G30" i="76" s="1"/>
  <c r="D30" i="76"/>
  <c r="E30" i="73"/>
  <c r="G30" i="73" s="1"/>
  <c r="D30" i="73"/>
  <c r="H38" i="53"/>
  <c r="I38" i="53" s="1"/>
  <c r="H38" i="48"/>
  <c r="I38" i="48" s="1"/>
  <c r="E28" i="81"/>
  <c r="G28" i="81" s="1"/>
  <c r="D28" i="81"/>
  <c r="E28" i="79"/>
  <c r="G28" i="79" s="1"/>
  <c r="D28" i="79"/>
  <c r="B13" i="72"/>
  <c r="B30" i="72"/>
  <c r="E30" i="78"/>
  <c r="G30" i="78" s="1"/>
  <c r="D30" i="78"/>
  <c r="E30" i="75"/>
  <c r="G30" i="75" s="1"/>
  <c r="D30" i="75"/>
  <c r="E38" i="54"/>
  <c r="G38" i="54" s="1"/>
  <c r="D38" i="54"/>
  <c r="D38" i="46"/>
  <c r="E38" i="46"/>
  <c r="G38" i="46" s="1"/>
  <c r="H38" i="47"/>
  <c r="I38" i="47" s="1"/>
  <c r="E38" i="49"/>
  <c r="G38" i="49" s="1"/>
  <c r="D38" i="49"/>
  <c r="E38" i="50"/>
  <c r="G38" i="50" s="1"/>
  <c r="D38" i="50"/>
  <c r="E38" i="52"/>
  <c r="G38" i="52" s="1"/>
  <c r="D38" i="52"/>
  <c r="E38" i="56"/>
  <c r="G38" i="56" s="1"/>
  <c r="D38" i="56"/>
  <c r="E38" i="60"/>
  <c r="G38" i="60" s="1"/>
  <c r="D38" i="60"/>
  <c r="H38" i="62"/>
  <c r="I38" i="62" s="1"/>
  <c r="H38" i="51"/>
  <c r="I38" i="51" s="1"/>
  <c r="E38" i="61"/>
  <c r="G38" i="61" s="1"/>
  <c r="D38" i="61"/>
  <c r="H38" i="57"/>
  <c r="I38" i="57" s="1"/>
  <c r="H38" i="59"/>
  <c r="I38" i="59" s="1"/>
  <c r="D38" i="58"/>
  <c r="E38" i="58"/>
  <c r="G38" i="58" s="1"/>
  <c r="H41" i="48"/>
  <c r="I41" i="48" s="1"/>
  <c r="H41" i="56"/>
  <c r="I41" i="56" s="1"/>
  <c r="H41" i="47"/>
  <c r="I41" i="47" s="1"/>
  <c r="H41" i="59"/>
  <c r="I41" i="59" s="1"/>
  <c r="D13" i="68"/>
  <c r="H13" i="68" s="1"/>
  <c r="I13" i="68" s="1"/>
  <c r="G26" i="73"/>
  <c r="D13" i="67"/>
  <c r="H13" i="67" s="1"/>
  <c r="I13" i="67" s="1"/>
  <c r="G26" i="76"/>
  <c r="E13" i="56"/>
  <c r="G13" i="56" s="1"/>
  <c r="H13" i="56" s="1"/>
  <c r="I13" i="56" s="1"/>
  <c r="E13" i="70"/>
  <c r="G13" i="70" s="1"/>
  <c r="H13" i="70" s="1"/>
  <c r="I13" i="70" s="1"/>
  <c r="G26" i="75"/>
  <c r="G24" i="79"/>
  <c r="G24" i="81"/>
  <c r="G26" i="78"/>
  <c r="E13" i="64"/>
  <c r="G13" i="64" s="1"/>
  <c r="H13" i="64" s="1"/>
  <c r="I13" i="64" s="1"/>
  <c r="G26" i="72"/>
  <c r="E23" i="46"/>
  <c r="E23" i="47"/>
  <c r="E27" i="47"/>
  <c r="G27" i="47" s="1"/>
  <c r="D27" i="47"/>
  <c r="E31" i="47"/>
  <c r="G31" i="47" s="1"/>
  <c r="D36" i="47"/>
  <c r="E36" i="47"/>
  <c r="G36" i="47" s="1"/>
  <c r="E23" i="48"/>
  <c r="E27" i="48"/>
  <c r="G27" i="48" s="1"/>
  <c r="D27" i="48"/>
  <c r="E31" i="48"/>
  <c r="G31" i="48" s="1"/>
  <c r="E36" i="48"/>
  <c r="G36" i="48" s="1"/>
  <c r="D36" i="48"/>
  <c r="E27" i="51"/>
  <c r="G27" i="51" s="1"/>
  <c r="D27" i="51"/>
  <c r="E31" i="51"/>
  <c r="G31" i="51" s="1"/>
  <c r="D36" i="51"/>
  <c r="E36" i="51"/>
  <c r="G36" i="51" s="1"/>
  <c r="E28" i="53"/>
  <c r="G28" i="53" s="1"/>
  <c r="D28" i="53"/>
  <c r="E32" i="53"/>
  <c r="G32" i="53" s="1"/>
  <c r="D37" i="53"/>
  <c r="E37" i="53"/>
  <c r="G37" i="53" s="1"/>
  <c r="E23" i="57"/>
  <c r="E27" i="57"/>
  <c r="G27" i="57" s="1"/>
  <c r="D27" i="57"/>
  <c r="E31" i="57"/>
  <c r="G31" i="57" s="1"/>
  <c r="E36" i="57"/>
  <c r="G36" i="57" s="1"/>
  <c r="D36" i="57"/>
  <c r="E27" i="59"/>
  <c r="G27" i="59" s="1"/>
  <c r="D27" i="59"/>
  <c r="E31" i="59"/>
  <c r="G31" i="59" s="1"/>
  <c r="E36" i="59"/>
  <c r="G36" i="59" s="1"/>
  <c r="D36" i="59"/>
  <c r="E23" i="62"/>
  <c r="E27" i="62"/>
  <c r="G27" i="62" s="1"/>
  <c r="D27" i="62"/>
  <c r="E31" i="62"/>
  <c r="G31" i="62" s="1"/>
  <c r="D36" i="62"/>
  <c r="E36" i="62"/>
  <c r="G36" i="62" s="1"/>
  <c r="E17" i="64"/>
  <c r="E28" i="64"/>
  <c r="G28" i="64" s="1"/>
  <c r="D28" i="64"/>
  <c r="E23" i="64"/>
  <c r="G23" i="64" s="1"/>
  <c r="E19" i="65"/>
  <c r="D28" i="65"/>
  <c r="E28" i="65"/>
  <c r="G28" i="65" s="1"/>
  <c r="E23" i="65"/>
  <c r="G23" i="65" s="1"/>
  <c r="E24" i="67"/>
  <c r="G24" i="67" s="1"/>
  <c r="E21" i="67"/>
  <c r="G21" i="67" s="1"/>
  <c r="D21" i="67"/>
  <c r="D27" i="67"/>
  <c r="E27" i="67"/>
  <c r="G27" i="67" s="1"/>
  <c r="E17" i="68"/>
  <c r="E24" i="68"/>
  <c r="G24" i="68" s="1"/>
  <c r="E21" i="68"/>
  <c r="G21" i="68" s="1"/>
  <c r="D21" i="68"/>
  <c r="E27" i="68"/>
  <c r="G27" i="68" s="1"/>
  <c r="D27" i="68"/>
  <c r="E17" i="70"/>
  <c r="D28" i="70"/>
  <c r="E28" i="70"/>
  <c r="G28" i="70" s="1"/>
  <c r="E23" i="70"/>
  <c r="G23" i="70" s="1"/>
  <c r="E29" i="73"/>
  <c r="G29" i="73" s="1"/>
  <c r="D29" i="73"/>
  <c r="E29" i="75"/>
  <c r="G29" i="75" s="1"/>
  <c r="D29" i="75"/>
  <c r="D29" i="76"/>
  <c r="E29" i="76"/>
  <c r="G29" i="76" s="1"/>
  <c r="D29" i="78"/>
  <c r="E29" i="78"/>
  <c r="G29" i="78" s="1"/>
  <c r="E27" i="79"/>
  <c r="G27" i="79" s="1"/>
  <c r="D27" i="79"/>
  <c r="D26" i="81"/>
  <c r="E26" i="81"/>
  <c r="G26" i="81" s="1"/>
  <c r="E24" i="47"/>
  <c r="E28" i="47"/>
  <c r="G28" i="47" s="1"/>
  <c r="D28" i="47"/>
  <c r="E32" i="47"/>
  <c r="G32" i="47" s="1"/>
  <c r="D37" i="47"/>
  <c r="E37" i="47"/>
  <c r="G37" i="47" s="1"/>
  <c r="E28" i="48"/>
  <c r="G28" i="48" s="1"/>
  <c r="D28" i="48"/>
  <c r="E32" i="48"/>
  <c r="G32" i="48" s="1"/>
  <c r="E37" i="48"/>
  <c r="G37" i="48" s="1"/>
  <c r="D37" i="48"/>
  <c r="E23" i="50"/>
  <c r="E23" i="51"/>
  <c r="E24" i="51"/>
  <c r="E28" i="51"/>
  <c r="G28" i="51" s="1"/>
  <c r="D28" i="51"/>
  <c r="E32" i="51"/>
  <c r="G32" i="51" s="1"/>
  <c r="D37" i="51"/>
  <c r="E37" i="51"/>
  <c r="G37" i="51" s="1"/>
  <c r="E23" i="52"/>
  <c r="E23" i="53"/>
  <c r="E27" i="53"/>
  <c r="G27" i="53" s="1"/>
  <c r="D27" i="53"/>
  <c r="E31" i="53"/>
  <c r="G31" i="53" s="1"/>
  <c r="D36" i="53"/>
  <c r="E36" i="53"/>
  <c r="G36" i="53" s="1"/>
  <c r="E23" i="54"/>
  <c r="E23" i="56"/>
  <c r="E28" i="57"/>
  <c r="G28" i="57" s="1"/>
  <c r="D28" i="57"/>
  <c r="E32" i="57"/>
  <c r="G32" i="57" s="1"/>
  <c r="E37" i="57"/>
  <c r="G37" i="57" s="1"/>
  <c r="D37" i="57"/>
  <c r="E23" i="58"/>
  <c r="E23" i="59"/>
  <c r="E28" i="59"/>
  <c r="G28" i="59" s="1"/>
  <c r="D28" i="59"/>
  <c r="E32" i="59"/>
  <c r="G32" i="59" s="1"/>
  <c r="E37" i="59"/>
  <c r="G37" i="59" s="1"/>
  <c r="D37" i="59"/>
  <c r="E23" i="60"/>
  <c r="E23" i="61"/>
  <c r="E28" i="62"/>
  <c r="G28" i="62" s="1"/>
  <c r="D28" i="62"/>
  <c r="E32" i="62"/>
  <c r="G32" i="62" s="1"/>
  <c r="D37" i="62"/>
  <c r="E37" i="62"/>
  <c r="G37" i="62" s="1"/>
  <c r="E19" i="64"/>
  <c r="E24" i="64"/>
  <c r="G24" i="64" s="1"/>
  <c r="E21" i="64"/>
  <c r="G21" i="64" s="1"/>
  <c r="D21" i="64"/>
  <c r="E27" i="64"/>
  <c r="G27" i="64" s="1"/>
  <c r="D27" i="64"/>
  <c r="E17" i="65"/>
  <c r="E24" i="65"/>
  <c r="G24" i="65" s="1"/>
  <c r="E21" i="65"/>
  <c r="G21" i="65" s="1"/>
  <c r="D21" i="65"/>
  <c r="D27" i="65"/>
  <c r="E27" i="65"/>
  <c r="G27" i="65" s="1"/>
  <c r="E19" i="67"/>
  <c r="E17" i="67"/>
  <c r="D28" i="67"/>
  <c r="E28" i="67"/>
  <c r="G28" i="67" s="1"/>
  <c r="E23" i="67"/>
  <c r="G23" i="67" s="1"/>
  <c r="E19" i="68"/>
  <c r="E28" i="68"/>
  <c r="G28" i="68" s="1"/>
  <c r="D28" i="68"/>
  <c r="E23" i="68"/>
  <c r="G23" i="68" s="1"/>
  <c r="E19" i="70"/>
  <c r="E24" i="70"/>
  <c r="G24" i="70" s="1"/>
  <c r="E21" i="70"/>
  <c r="G21" i="70" s="1"/>
  <c r="D21" i="70"/>
  <c r="D27" i="70"/>
  <c r="E27" i="70"/>
  <c r="G27" i="70" s="1"/>
  <c r="E28" i="73"/>
  <c r="G28" i="73" s="1"/>
  <c r="D28" i="73"/>
  <c r="E28" i="75"/>
  <c r="G28" i="75" s="1"/>
  <c r="D28" i="75"/>
  <c r="D28" i="76"/>
  <c r="E28" i="76"/>
  <c r="G28" i="76" s="1"/>
  <c r="D28" i="78"/>
  <c r="E28" i="78"/>
  <c r="G28" i="78" s="1"/>
  <c r="E23" i="49"/>
  <c r="E26" i="79"/>
  <c r="G26" i="79" s="1"/>
  <c r="D26" i="79"/>
  <c r="D27" i="81"/>
  <c r="E27" i="81"/>
  <c r="G27" i="81" s="1"/>
  <c r="D15" i="61"/>
  <c r="H15" i="61" s="1"/>
  <c r="I15" i="61" s="1"/>
  <c r="E13" i="49"/>
  <c r="G13" i="49" s="1"/>
  <c r="H13" i="49" s="1"/>
  <c r="I13" i="49" s="1"/>
  <c r="D15" i="53"/>
  <c r="H15" i="53" s="1"/>
  <c r="I15" i="53" s="1"/>
  <c r="D15" i="62"/>
  <c r="H15" i="62" s="1"/>
  <c r="I15" i="62" s="1"/>
  <c r="G18" i="62"/>
  <c r="G18" i="53"/>
  <c r="E13" i="46"/>
  <c r="G13" i="46" s="1"/>
  <c r="H13" i="46" s="1"/>
  <c r="I13" i="46" s="1"/>
  <c r="E15" i="47"/>
  <c r="G15" i="47" s="1"/>
  <c r="H15" i="47" s="1"/>
  <c r="I15" i="47" s="1"/>
  <c r="E13" i="52"/>
  <c r="G13" i="52" s="1"/>
  <c r="H13" i="52" s="1"/>
  <c r="I13" i="52" s="1"/>
  <c r="D17" i="53"/>
  <c r="H17" i="53" s="1"/>
  <c r="I17" i="53" s="1"/>
  <c r="D17" i="57"/>
  <c r="H17" i="57" s="1"/>
  <c r="I17" i="57" s="1"/>
  <c r="D17" i="62"/>
  <c r="H17" i="62" s="1"/>
  <c r="I17" i="62" s="1"/>
  <c r="E13" i="65"/>
  <c r="G13" i="65" s="1"/>
  <c r="H13" i="65" s="1"/>
  <c r="I13" i="65" s="1"/>
  <c r="E15" i="51"/>
  <c r="G15" i="51" s="1"/>
  <c r="H15" i="51" s="1"/>
  <c r="I15" i="51" s="1"/>
  <c r="E12" i="50"/>
  <c r="G12" i="50" s="1"/>
  <c r="H12" i="50" s="1"/>
  <c r="I12" i="50" s="1"/>
  <c r="E17" i="51"/>
  <c r="G17" i="51" s="1"/>
  <c r="H17" i="51" s="1"/>
  <c r="I17" i="51" s="1"/>
  <c r="D16" i="53"/>
  <c r="H16" i="53" s="1"/>
  <c r="I16" i="53" s="1"/>
  <c r="D15" i="57"/>
  <c r="H15" i="57" s="1"/>
  <c r="I15" i="57" s="1"/>
  <c r="D16" i="62"/>
  <c r="H16" i="62" s="1"/>
  <c r="I16" i="62" s="1"/>
  <c r="E13" i="81"/>
  <c r="G13" i="81" s="1"/>
  <c r="D13" i="81"/>
  <c r="D15" i="81" s="1"/>
  <c r="E13" i="79"/>
  <c r="G13" i="79" s="1"/>
  <c r="D13" i="79"/>
  <c r="D15" i="79" s="1"/>
  <c r="D17" i="48"/>
  <c r="H17" i="48" s="1"/>
  <c r="I17" i="48" s="1"/>
  <c r="G18" i="57"/>
  <c r="E12" i="60"/>
  <c r="G12" i="60" s="1"/>
  <c r="H12" i="60" s="1"/>
  <c r="I12" i="60" s="1"/>
  <c r="D15" i="48"/>
  <c r="H15" i="48" s="1"/>
  <c r="I15" i="48" s="1"/>
  <c r="G18" i="48"/>
  <c r="E13" i="78"/>
  <c r="G13" i="78" s="1"/>
  <c r="D13" i="78"/>
  <c r="D15" i="78" s="1"/>
  <c r="E13" i="76"/>
  <c r="G13" i="76" s="1"/>
  <c r="D13" i="76"/>
  <c r="D15" i="76" s="1"/>
  <c r="E13" i="75"/>
  <c r="D13" i="75"/>
  <c r="D15" i="75" s="1"/>
  <c r="E13" i="73"/>
  <c r="G13" i="73" s="1"/>
  <c r="D13" i="73"/>
  <c r="D15" i="73" s="1"/>
  <c r="B28" i="72"/>
  <c r="B29" i="72"/>
  <c r="H33" i="72"/>
  <c r="I33" i="72" s="1"/>
  <c r="E12" i="70"/>
  <c r="G12" i="70" s="1"/>
  <c r="D12" i="70"/>
  <c r="D14" i="70" s="1"/>
  <c r="E12" i="68"/>
  <c r="G12" i="68" s="1"/>
  <c r="D12" i="68"/>
  <c r="E12" i="67"/>
  <c r="G12" i="67" s="1"/>
  <c r="D12" i="67"/>
  <c r="E12" i="65"/>
  <c r="G12" i="65" s="1"/>
  <c r="D12" i="65"/>
  <c r="D14" i="65" s="1"/>
  <c r="E12" i="64"/>
  <c r="G12" i="64" s="1"/>
  <c r="D12" i="64"/>
  <c r="D14" i="64" s="1"/>
  <c r="D12" i="62"/>
  <c r="E12" i="62"/>
  <c r="G12" i="62" s="1"/>
  <c r="D13" i="62"/>
  <c r="E13" i="62"/>
  <c r="G13" i="62" s="1"/>
  <c r="E16" i="61"/>
  <c r="G16" i="61" s="1"/>
  <c r="D16" i="61"/>
  <c r="D13" i="61"/>
  <c r="E13" i="61"/>
  <c r="G13" i="61" s="1"/>
  <c r="B37" i="61"/>
  <c r="B36" i="61"/>
  <c r="B32" i="61"/>
  <c r="B31" i="61"/>
  <c r="B28" i="61"/>
  <c r="B27" i="61"/>
  <c r="D12" i="61"/>
  <c r="E12" i="61"/>
  <c r="G12" i="61" s="1"/>
  <c r="H17" i="61"/>
  <c r="I17" i="61" s="1"/>
  <c r="E16" i="60"/>
  <c r="G16" i="60" s="1"/>
  <c r="D16" i="60"/>
  <c r="E15" i="60"/>
  <c r="G15" i="60" s="1"/>
  <c r="D15" i="60"/>
  <c r="D13" i="60"/>
  <c r="D14" i="60" s="1"/>
  <c r="E13" i="60"/>
  <c r="G13" i="60" s="1"/>
  <c r="B37" i="60"/>
  <c r="B36" i="60"/>
  <c r="B32" i="60"/>
  <c r="B31" i="60"/>
  <c r="B28" i="60"/>
  <c r="B27" i="60"/>
  <c r="H17" i="60"/>
  <c r="I17" i="60" s="1"/>
  <c r="E13" i="59"/>
  <c r="G13" i="59" s="1"/>
  <c r="D13" i="59"/>
  <c r="D17" i="59"/>
  <c r="E17" i="59"/>
  <c r="G17" i="59" s="1"/>
  <c r="D15" i="59"/>
  <c r="E15" i="59"/>
  <c r="G15" i="59" s="1"/>
  <c r="E12" i="59"/>
  <c r="G12" i="59" s="1"/>
  <c r="D12" i="59"/>
  <c r="D16" i="59"/>
  <c r="E16" i="59"/>
  <c r="G16" i="59" s="1"/>
  <c r="E15" i="58"/>
  <c r="G15" i="58" s="1"/>
  <c r="D15" i="58"/>
  <c r="D12" i="58"/>
  <c r="E12" i="58"/>
  <c r="G12" i="58" s="1"/>
  <c r="H17" i="58"/>
  <c r="I17" i="58" s="1"/>
  <c r="E16" i="58"/>
  <c r="G16" i="58" s="1"/>
  <c r="D16" i="58"/>
  <c r="D13" i="58"/>
  <c r="E13" i="58"/>
  <c r="G13" i="58" s="1"/>
  <c r="B37" i="58"/>
  <c r="B36" i="58"/>
  <c r="B32" i="58"/>
  <c r="B31" i="58"/>
  <c r="B28" i="58"/>
  <c r="B27" i="58"/>
  <c r="D16" i="57"/>
  <c r="H16" i="57" s="1"/>
  <c r="I16" i="57" s="1"/>
  <c r="D12" i="57"/>
  <c r="E12" i="57"/>
  <c r="G12" i="57" s="1"/>
  <c r="D13" i="57"/>
  <c r="E13" i="57"/>
  <c r="G13" i="57" s="1"/>
  <c r="E16" i="56"/>
  <c r="G16" i="56" s="1"/>
  <c r="D16" i="56"/>
  <c r="B37" i="56"/>
  <c r="B36" i="56"/>
  <c r="B32" i="56"/>
  <c r="B31" i="56"/>
  <c r="B28" i="56"/>
  <c r="B27" i="56"/>
  <c r="H17" i="56"/>
  <c r="I17" i="56" s="1"/>
  <c r="E15" i="56"/>
  <c r="G15" i="56" s="1"/>
  <c r="D15" i="56"/>
  <c r="D12" i="56"/>
  <c r="D14" i="56" s="1"/>
  <c r="E12" i="56"/>
  <c r="G12" i="56" s="1"/>
  <c r="E13" i="54"/>
  <c r="G13" i="54" s="1"/>
  <c r="H13" i="54" s="1"/>
  <c r="I13" i="54" s="1"/>
  <c r="E16" i="54"/>
  <c r="G16" i="54" s="1"/>
  <c r="D16" i="54"/>
  <c r="D12" i="54"/>
  <c r="D14" i="54" s="1"/>
  <c r="E12" i="54"/>
  <c r="G12" i="54" s="1"/>
  <c r="E15" i="54"/>
  <c r="G15" i="54" s="1"/>
  <c r="D15" i="54"/>
  <c r="B37" i="54"/>
  <c r="B36" i="54"/>
  <c r="B32" i="54"/>
  <c r="B31" i="54"/>
  <c r="B28" i="54"/>
  <c r="B27" i="54"/>
  <c r="H17" i="54"/>
  <c r="I17" i="54" s="1"/>
  <c r="D12" i="53"/>
  <c r="E12" i="53"/>
  <c r="G12" i="53" s="1"/>
  <c r="D13" i="53"/>
  <c r="E13" i="53"/>
  <c r="G13" i="53" s="1"/>
  <c r="E15" i="52"/>
  <c r="G15" i="52" s="1"/>
  <c r="D15" i="52"/>
  <c r="B37" i="52"/>
  <c r="B36" i="52"/>
  <c r="B32" i="52"/>
  <c r="B31" i="52"/>
  <c r="B28" i="52"/>
  <c r="B27" i="52"/>
  <c r="E16" i="52"/>
  <c r="G16" i="52" s="1"/>
  <c r="D16" i="52"/>
  <c r="D12" i="52"/>
  <c r="D14" i="52" s="1"/>
  <c r="E12" i="52"/>
  <c r="G12" i="52" s="1"/>
  <c r="H17" i="52"/>
  <c r="I17" i="52" s="1"/>
  <c r="E16" i="51"/>
  <c r="G16" i="51" s="1"/>
  <c r="D18" i="51"/>
  <c r="E12" i="51"/>
  <c r="G12" i="51" s="1"/>
  <c r="D12" i="51"/>
  <c r="E13" i="51"/>
  <c r="G13" i="51" s="1"/>
  <c r="D13" i="51"/>
  <c r="E16" i="50"/>
  <c r="G16" i="50" s="1"/>
  <c r="D16" i="50"/>
  <c r="E15" i="50"/>
  <c r="G15" i="50" s="1"/>
  <c r="D15" i="50"/>
  <c r="D13" i="50"/>
  <c r="D14" i="50" s="1"/>
  <c r="E13" i="50"/>
  <c r="G13" i="50" s="1"/>
  <c r="B37" i="50"/>
  <c r="B36" i="50"/>
  <c r="B32" i="50"/>
  <c r="B31" i="50"/>
  <c r="B28" i="50"/>
  <c r="B27" i="50"/>
  <c r="H17" i="50"/>
  <c r="I17" i="50" s="1"/>
  <c r="E16" i="49"/>
  <c r="G16" i="49" s="1"/>
  <c r="D16" i="49"/>
  <c r="D12" i="49"/>
  <c r="D14" i="49" s="1"/>
  <c r="E12" i="49"/>
  <c r="G12" i="49" s="1"/>
  <c r="E15" i="49"/>
  <c r="G15" i="49" s="1"/>
  <c r="D15" i="49"/>
  <c r="B37" i="49"/>
  <c r="B36" i="49"/>
  <c r="B32" i="49"/>
  <c r="B31" i="49"/>
  <c r="B28" i="49"/>
  <c r="B27" i="49"/>
  <c r="H17" i="49"/>
  <c r="I17" i="49" s="1"/>
  <c r="D16" i="48"/>
  <c r="H16" i="48" s="1"/>
  <c r="I16" i="48" s="1"/>
  <c r="D12" i="48"/>
  <c r="E12" i="48"/>
  <c r="G12" i="48" s="1"/>
  <c r="D13" i="48"/>
  <c r="E13" i="48"/>
  <c r="G13" i="48" s="1"/>
  <c r="E13" i="47"/>
  <c r="G13" i="47" s="1"/>
  <c r="D13" i="47"/>
  <c r="D17" i="47"/>
  <c r="E17" i="47"/>
  <c r="G17" i="47" s="1"/>
  <c r="E12" i="47"/>
  <c r="G12" i="47" s="1"/>
  <c r="D12" i="47"/>
  <c r="D16" i="47"/>
  <c r="E16" i="47"/>
  <c r="G16" i="47" s="1"/>
  <c r="H17" i="46"/>
  <c r="I17" i="46" s="1"/>
  <c r="E15" i="46"/>
  <c r="G15" i="46" s="1"/>
  <c r="D15" i="46"/>
  <c r="D12" i="46"/>
  <c r="D14" i="46" s="1"/>
  <c r="E12" i="46"/>
  <c r="G12" i="46" s="1"/>
  <c r="B37" i="46"/>
  <c r="B36" i="46"/>
  <c r="B32" i="46"/>
  <c r="B31" i="46"/>
  <c r="B28" i="46"/>
  <c r="B27" i="46"/>
  <c r="E16" i="46"/>
  <c r="G16" i="46" s="1"/>
  <c r="D16" i="46"/>
  <c r="H22" i="72" l="1"/>
  <c r="I22" i="72" s="1"/>
  <c r="D18" i="47"/>
  <c r="G13" i="75"/>
  <c r="G15" i="75" s="1"/>
  <c r="G30" i="79"/>
  <c r="H38" i="60"/>
  <c r="I38" i="60" s="1"/>
  <c r="H38" i="52"/>
  <c r="I38" i="52" s="1"/>
  <c r="H38" i="49"/>
  <c r="I38" i="49" s="1"/>
  <c r="H30" i="76"/>
  <c r="I30" i="76" s="1"/>
  <c r="D30" i="79"/>
  <c r="H30" i="75"/>
  <c r="I30" i="75" s="1"/>
  <c r="H28" i="79"/>
  <c r="I28" i="79" s="1"/>
  <c r="H28" i="81"/>
  <c r="I28" i="81" s="1"/>
  <c r="H38" i="46"/>
  <c r="I38" i="46" s="1"/>
  <c r="H30" i="78"/>
  <c r="I30" i="78" s="1"/>
  <c r="E30" i="72"/>
  <c r="G30" i="72" s="1"/>
  <c r="D30" i="72"/>
  <c r="H30" i="73"/>
  <c r="I30" i="73" s="1"/>
  <c r="H38" i="54"/>
  <c r="I38" i="54" s="1"/>
  <c r="H38" i="58"/>
  <c r="I38" i="58" s="1"/>
  <c r="H38" i="61"/>
  <c r="I38" i="61" s="1"/>
  <c r="H38" i="56"/>
  <c r="I38" i="56" s="1"/>
  <c r="H38" i="50"/>
  <c r="I38" i="50" s="1"/>
  <c r="D14" i="61"/>
  <c r="D18" i="61"/>
  <c r="D14" i="68"/>
  <c r="D14" i="67"/>
  <c r="G25" i="67"/>
  <c r="D31" i="65"/>
  <c r="G33" i="53"/>
  <c r="G31" i="65"/>
  <c r="G40" i="53"/>
  <c r="D14" i="59"/>
  <c r="D40" i="53"/>
  <c r="G32" i="78"/>
  <c r="D32" i="75"/>
  <c r="D32" i="73"/>
  <c r="G31" i="70"/>
  <c r="G31" i="64"/>
  <c r="G32" i="76"/>
  <c r="D32" i="78"/>
  <c r="D32" i="76"/>
  <c r="G32" i="75"/>
  <c r="G32" i="73"/>
  <c r="D31" i="70"/>
  <c r="D31" i="64"/>
  <c r="G25" i="68"/>
  <c r="G18" i="51"/>
  <c r="H18" i="51" s="1"/>
  <c r="I18" i="51" s="1"/>
  <c r="E28" i="46"/>
  <c r="G28" i="46" s="1"/>
  <c r="D28" i="46"/>
  <c r="E32" i="46"/>
  <c r="G32" i="46" s="1"/>
  <c r="E37" i="46"/>
  <c r="G37" i="46" s="1"/>
  <c r="D37" i="46"/>
  <c r="E28" i="49"/>
  <c r="G28" i="49" s="1"/>
  <c r="D28" i="49"/>
  <c r="E32" i="49"/>
  <c r="G32" i="49" s="1"/>
  <c r="D37" i="49"/>
  <c r="E37" i="49"/>
  <c r="G37" i="49" s="1"/>
  <c r="E28" i="50"/>
  <c r="G28" i="50" s="1"/>
  <c r="D28" i="50"/>
  <c r="E32" i="50"/>
  <c r="G32" i="50" s="1"/>
  <c r="E37" i="50"/>
  <c r="G37" i="50" s="1"/>
  <c r="D37" i="50"/>
  <c r="E27" i="52"/>
  <c r="G27" i="52" s="1"/>
  <c r="D27" i="52"/>
  <c r="E31" i="52"/>
  <c r="G31" i="52" s="1"/>
  <c r="E36" i="52"/>
  <c r="G36" i="52" s="1"/>
  <c r="D36" i="52"/>
  <c r="E27" i="54"/>
  <c r="G27" i="54" s="1"/>
  <c r="D27" i="54"/>
  <c r="E31" i="54"/>
  <c r="G31" i="54" s="1"/>
  <c r="D36" i="54"/>
  <c r="E36" i="54"/>
  <c r="G36" i="54" s="1"/>
  <c r="E28" i="56"/>
  <c r="G28" i="56" s="1"/>
  <c r="D28" i="56"/>
  <c r="E32" i="56"/>
  <c r="G32" i="56" s="1"/>
  <c r="D37" i="56"/>
  <c r="E37" i="56"/>
  <c r="G37" i="56" s="1"/>
  <c r="E27" i="58"/>
  <c r="G27" i="58" s="1"/>
  <c r="D27" i="58"/>
  <c r="E31" i="58"/>
  <c r="G31" i="58" s="1"/>
  <c r="D36" i="58"/>
  <c r="E36" i="58"/>
  <c r="G36" i="58" s="1"/>
  <c r="E27" i="60"/>
  <c r="G27" i="60" s="1"/>
  <c r="D27" i="60"/>
  <c r="E31" i="60"/>
  <c r="G31" i="60" s="1"/>
  <c r="D36" i="60"/>
  <c r="E36" i="60"/>
  <c r="G36" i="60" s="1"/>
  <c r="E27" i="61"/>
  <c r="G27" i="61" s="1"/>
  <c r="D27" i="61"/>
  <c r="E31" i="61"/>
  <c r="G31" i="61" s="1"/>
  <c r="E36" i="61"/>
  <c r="G36" i="61" s="1"/>
  <c r="D36" i="61"/>
  <c r="D29" i="72"/>
  <c r="E29" i="72"/>
  <c r="G29" i="72" s="1"/>
  <c r="G30" i="81"/>
  <c r="D31" i="68"/>
  <c r="G31" i="67"/>
  <c r="G40" i="62"/>
  <c r="D40" i="59"/>
  <c r="D40" i="57"/>
  <c r="G40" i="51"/>
  <c r="D40" i="48"/>
  <c r="G40" i="47"/>
  <c r="E27" i="46"/>
  <c r="G27" i="46" s="1"/>
  <c r="D27" i="46"/>
  <c r="E31" i="46"/>
  <c r="G31" i="46" s="1"/>
  <c r="E36" i="46"/>
  <c r="G36" i="46" s="1"/>
  <c r="D36" i="46"/>
  <c r="E27" i="49"/>
  <c r="G27" i="49" s="1"/>
  <c r="D27" i="49"/>
  <c r="E31" i="49"/>
  <c r="G31" i="49" s="1"/>
  <c r="D36" i="49"/>
  <c r="E36" i="49"/>
  <c r="G36" i="49" s="1"/>
  <c r="E27" i="50"/>
  <c r="G27" i="50" s="1"/>
  <c r="D27" i="50"/>
  <c r="E31" i="50"/>
  <c r="G31" i="50" s="1"/>
  <c r="E36" i="50"/>
  <c r="G36" i="50" s="1"/>
  <c r="D36" i="50"/>
  <c r="E28" i="52"/>
  <c r="G28" i="52" s="1"/>
  <c r="D28" i="52"/>
  <c r="E32" i="52"/>
  <c r="G32" i="52" s="1"/>
  <c r="E37" i="52"/>
  <c r="G37" i="52" s="1"/>
  <c r="D37" i="52"/>
  <c r="E28" i="54"/>
  <c r="G28" i="54" s="1"/>
  <c r="D28" i="54"/>
  <c r="E32" i="54"/>
  <c r="G32" i="54" s="1"/>
  <c r="D37" i="54"/>
  <c r="E37" i="54"/>
  <c r="G37" i="54" s="1"/>
  <c r="E27" i="56"/>
  <c r="G27" i="56" s="1"/>
  <c r="D27" i="56"/>
  <c r="E31" i="56"/>
  <c r="G31" i="56" s="1"/>
  <c r="D36" i="56"/>
  <c r="E36" i="56"/>
  <c r="G36" i="56" s="1"/>
  <c r="E28" i="58"/>
  <c r="G28" i="58" s="1"/>
  <c r="D28" i="58"/>
  <c r="E32" i="58"/>
  <c r="G32" i="58" s="1"/>
  <c r="D37" i="58"/>
  <c r="E37" i="58"/>
  <c r="G37" i="58" s="1"/>
  <c r="E28" i="60"/>
  <c r="G28" i="60" s="1"/>
  <c r="D28" i="60"/>
  <c r="E32" i="60"/>
  <c r="G32" i="60" s="1"/>
  <c r="D37" i="60"/>
  <c r="E37" i="60"/>
  <c r="G37" i="60" s="1"/>
  <c r="E28" i="61"/>
  <c r="G28" i="61" s="1"/>
  <c r="D28" i="61"/>
  <c r="E32" i="61"/>
  <c r="G32" i="61" s="1"/>
  <c r="E37" i="61"/>
  <c r="G37" i="61" s="1"/>
  <c r="D37" i="61"/>
  <c r="D28" i="72"/>
  <c r="E28" i="72"/>
  <c r="G28" i="72" s="1"/>
  <c r="D30" i="81"/>
  <c r="G25" i="70"/>
  <c r="G31" i="68"/>
  <c r="D31" i="67"/>
  <c r="G25" i="65"/>
  <c r="G25" i="64"/>
  <c r="D40" i="62"/>
  <c r="G33" i="62"/>
  <c r="G40" i="59"/>
  <c r="G33" i="59"/>
  <c r="G40" i="57"/>
  <c r="G33" i="57"/>
  <c r="D40" i="51"/>
  <c r="G33" i="51"/>
  <c r="G40" i="48"/>
  <c r="G33" i="48"/>
  <c r="D40" i="47"/>
  <c r="G33" i="47"/>
  <c r="D18" i="53"/>
  <c r="H18" i="53" s="1"/>
  <c r="I18" i="53" s="1"/>
  <c r="D18" i="62"/>
  <c r="H18" i="62" s="1"/>
  <c r="I18" i="62" s="1"/>
  <c r="D18" i="48"/>
  <c r="H18" i="48" s="1"/>
  <c r="I18" i="48" s="1"/>
  <c r="D18" i="49"/>
  <c r="D18" i="50"/>
  <c r="D18" i="60"/>
  <c r="H26" i="81"/>
  <c r="I26" i="81" s="1"/>
  <c r="G15" i="81"/>
  <c r="H13" i="81"/>
  <c r="I13" i="81" s="1"/>
  <c r="H27" i="81"/>
  <c r="I27" i="81" s="1"/>
  <c r="H26" i="79"/>
  <c r="I26" i="79" s="1"/>
  <c r="G15" i="79"/>
  <c r="H13" i="79"/>
  <c r="I13" i="79" s="1"/>
  <c r="H27" i="79"/>
  <c r="I27" i="79" s="1"/>
  <c r="D18" i="57"/>
  <c r="H18" i="57" s="1"/>
  <c r="I18" i="57" s="1"/>
  <c r="H16" i="51"/>
  <c r="I16" i="51" s="1"/>
  <c r="D14" i="51"/>
  <c r="H28" i="78"/>
  <c r="I28" i="78" s="1"/>
  <c r="G15" i="78"/>
  <c r="H13" i="78"/>
  <c r="I13" i="78" s="1"/>
  <c r="H29" i="78"/>
  <c r="I29" i="78" s="1"/>
  <c r="H28" i="76"/>
  <c r="I28" i="76" s="1"/>
  <c r="G15" i="76"/>
  <c r="H13" i="76"/>
  <c r="I13" i="76" s="1"/>
  <c r="H29" i="76"/>
  <c r="I29" i="76" s="1"/>
  <c r="H28" i="75"/>
  <c r="I28" i="75" s="1"/>
  <c r="H29" i="75"/>
  <c r="I29" i="75" s="1"/>
  <c r="H28" i="73"/>
  <c r="I28" i="73" s="1"/>
  <c r="G15" i="73"/>
  <c r="H13" i="73"/>
  <c r="I13" i="73" s="1"/>
  <c r="H29" i="73"/>
  <c r="I29" i="73" s="1"/>
  <c r="E13" i="72"/>
  <c r="D13" i="72"/>
  <c r="D15" i="72" s="1"/>
  <c r="H21" i="70"/>
  <c r="I21" i="70" s="1"/>
  <c r="H28" i="70"/>
  <c r="I28" i="70" s="1"/>
  <c r="H27" i="70"/>
  <c r="I27" i="70" s="1"/>
  <c r="G14" i="70"/>
  <c r="H12" i="70"/>
  <c r="I12" i="70" s="1"/>
  <c r="H21" i="68"/>
  <c r="I21" i="68" s="1"/>
  <c r="H28" i="68"/>
  <c r="I28" i="68" s="1"/>
  <c r="H27" i="68"/>
  <c r="I27" i="68" s="1"/>
  <c r="G14" i="68"/>
  <c r="H12" i="68"/>
  <c r="I12" i="68" s="1"/>
  <c r="H28" i="67"/>
  <c r="I28" i="67" s="1"/>
  <c r="H21" i="67"/>
  <c r="I21" i="67" s="1"/>
  <c r="H27" i="67"/>
  <c r="I27" i="67" s="1"/>
  <c r="G14" i="67"/>
  <c r="H12" i="67"/>
  <c r="I12" i="67" s="1"/>
  <c r="H21" i="65"/>
  <c r="I21" i="65" s="1"/>
  <c r="H28" i="65"/>
  <c r="I28" i="65" s="1"/>
  <c r="H27" i="65"/>
  <c r="I27" i="65" s="1"/>
  <c r="G14" i="65"/>
  <c r="H12" i="65"/>
  <c r="I12" i="65" s="1"/>
  <c r="H21" i="64"/>
  <c r="I21" i="64" s="1"/>
  <c r="H28" i="64"/>
  <c r="I28" i="64" s="1"/>
  <c r="H27" i="64"/>
  <c r="I27" i="64" s="1"/>
  <c r="G14" i="64"/>
  <c r="H12" i="64"/>
  <c r="I12" i="64" s="1"/>
  <c r="D14" i="62"/>
  <c r="H37" i="62"/>
  <c r="I37" i="62" s="1"/>
  <c r="H36" i="62"/>
  <c r="I36" i="62" s="1"/>
  <c r="G14" i="62"/>
  <c r="H12" i="62"/>
  <c r="I12" i="62" s="1"/>
  <c r="H28" i="62"/>
  <c r="I28" i="62" s="1"/>
  <c r="H13" i="62"/>
  <c r="I13" i="62" s="1"/>
  <c r="H27" i="62"/>
  <c r="I27" i="62" s="1"/>
  <c r="G14" i="61"/>
  <c r="H12" i="61"/>
  <c r="I12" i="61" s="1"/>
  <c r="H13" i="61"/>
  <c r="I13" i="61" s="1"/>
  <c r="H16" i="61"/>
  <c r="I16" i="61" s="1"/>
  <c r="G18" i="61"/>
  <c r="H13" i="60"/>
  <c r="I13" i="60" s="1"/>
  <c r="G14" i="60"/>
  <c r="G18" i="60"/>
  <c r="H15" i="60"/>
  <c r="I15" i="60" s="1"/>
  <c r="H16" i="60"/>
  <c r="I16" i="60" s="1"/>
  <c r="D14" i="58"/>
  <c r="H37" i="59"/>
  <c r="I37" i="59" s="1"/>
  <c r="H16" i="59"/>
  <c r="I16" i="59" s="1"/>
  <c r="H27" i="59"/>
  <c r="I27" i="59" s="1"/>
  <c r="G18" i="59"/>
  <c r="H15" i="59"/>
  <c r="I15" i="59" s="1"/>
  <c r="H17" i="59"/>
  <c r="I17" i="59" s="1"/>
  <c r="H28" i="59"/>
  <c r="I28" i="59" s="1"/>
  <c r="G14" i="59"/>
  <c r="H12" i="59"/>
  <c r="I12" i="59" s="1"/>
  <c r="H36" i="59"/>
  <c r="I36" i="59" s="1"/>
  <c r="D18" i="59"/>
  <c r="H13" i="59"/>
  <c r="I13" i="59" s="1"/>
  <c r="G14" i="58"/>
  <c r="H12" i="58"/>
  <c r="I12" i="58" s="1"/>
  <c r="D18" i="58"/>
  <c r="H13" i="58"/>
  <c r="I13" i="58" s="1"/>
  <c r="H16" i="58"/>
  <c r="I16" i="58" s="1"/>
  <c r="G18" i="58"/>
  <c r="H15" i="58"/>
  <c r="I15" i="58" s="1"/>
  <c r="H28" i="57"/>
  <c r="I28" i="57" s="1"/>
  <c r="H13" i="57"/>
  <c r="I13" i="57" s="1"/>
  <c r="H27" i="57"/>
  <c r="I27" i="57" s="1"/>
  <c r="G14" i="57"/>
  <c r="H12" i="57"/>
  <c r="I12" i="57" s="1"/>
  <c r="H37" i="57"/>
  <c r="I37" i="57" s="1"/>
  <c r="H36" i="57"/>
  <c r="I36" i="57" s="1"/>
  <c r="D14" i="57"/>
  <c r="G18" i="56"/>
  <c r="H15" i="56"/>
  <c r="I15" i="56" s="1"/>
  <c r="G14" i="56"/>
  <c r="H12" i="56"/>
  <c r="I12" i="56" s="1"/>
  <c r="D18" i="56"/>
  <c r="H16" i="56"/>
  <c r="I16" i="56" s="1"/>
  <c r="D18" i="54"/>
  <c r="G18" i="54"/>
  <c r="H15" i="54"/>
  <c r="I15" i="54" s="1"/>
  <c r="G14" i="54"/>
  <c r="H12" i="54"/>
  <c r="I12" i="54" s="1"/>
  <c r="H16" i="54"/>
  <c r="I16" i="54" s="1"/>
  <c r="D14" i="53"/>
  <c r="H28" i="53"/>
  <c r="I28" i="53" s="1"/>
  <c r="H37" i="53"/>
  <c r="I37" i="53" s="1"/>
  <c r="H36" i="53"/>
  <c r="I36" i="53" s="1"/>
  <c r="G14" i="53"/>
  <c r="H12" i="53"/>
  <c r="I12" i="53" s="1"/>
  <c r="H13" i="53"/>
  <c r="I13" i="53" s="1"/>
  <c r="H27" i="53"/>
  <c r="I27" i="53" s="1"/>
  <c r="G14" i="52"/>
  <c r="H12" i="52"/>
  <c r="I12" i="52" s="1"/>
  <c r="D18" i="52"/>
  <c r="H16" i="52"/>
  <c r="I16" i="52" s="1"/>
  <c r="G18" i="52"/>
  <c r="H15" i="52"/>
  <c r="I15" i="52" s="1"/>
  <c r="H13" i="51"/>
  <c r="I13" i="51" s="1"/>
  <c r="H36" i="51"/>
  <c r="I36" i="51" s="1"/>
  <c r="H37" i="51"/>
  <c r="I37" i="51" s="1"/>
  <c r="H28" i="51"/>
  <c r="I28" i="51" s="1"/>
  <c r="H27" i="51"/>
  <c r="I27" i="51" s="1"/>
  <c r="G14" i="51"/>
  <c r="H12" i="51"/>
  <c r="I12" i="51" s="1"/>
  <c r="H13" i="50"/>
  <c r="I13" i="50" s="1"/>
  <c r="G18" i="50"/>
  <c r="H15" i="50"/>
  <c r="I15" i="50" s="1"/>
  <c r="G14" i="50"/>
  <c r="H16" i="50"/>
  <c r="I16" i="50" s="1"/>
  <c r="G14" i="49"/>
  <c r="H12" i="49"/>
  <c r="I12" i="49" s="1"/>
  <c r="G18" i="49"/>
  <c r="H15" i="49"/>
  <c r="I15" i="49" s="1"/>
  <c r="H16" i="49"/>
  <c r="I16" i="49" s="1"/>
  <c r="H36" i="48"/>
  <c r="I36" i="48" s="1"/>
  <c r="H27" i="48"/>
  <c r="I27" i="48" s="1"/>
  <c r="H13" i="48"/>
  <c r="I13" i="48" s="1"/>
  <c r="H28" i="48"/>
  <c r="I28" i="48" s="1"/>
  <c r="G14" i="48"/>
  <c r="H12" i="48"/>
  <c r="I12" i="48" s="1"/>
  <c r="H37" i="48"/>
  <c r="I37" i="48" s="1"/>
  <c r="D14" i="48"/>
  <c r="H37" i="47"/>
  <c r="I37" i="47" s="1"/>
  <c r="G14" i="47"/>
  <c r="H12" i="47"/>
  <c r="I12" i="47" s="1"/>
  <c r="H36" i="47"/>
  <c r="I36" i="47" s="1"/>
  <c r="H28" i="47"/>
  <c r="I28" i="47" s="1"/>
  <c r="H16" i="47"/>
  <c r="I16" i="47" s="1"/>
  <c r="D14" i="47"/>
  <c r="H17" i="47"/>
  <c r="I17" i="47" s="1"/>
  <c r="H27" i="47"/>
  <c r="I27" i="47" s="1"/>
  <c r="G18" i="47"/>
  <c r="H13" i="47"/>
  <c r="I13" i="47" s="1"/>
  <c r="G14" i="46"/>
  <c r="H12" i="46"/>
  <c r="I12" i="46" s="1"/>
  <c r="D18" i="46"/>
  <c r="H16" i="46"/>
  <c r="I16" i="46" s="1"/>
  <c r="G18" i="46"/>
  <c r="H15" i="46"/>
  <c r="I15" i="46" s="1"/>
  <c r="H13" i="75" l="1"/>
  <c r="I13" i="75" s="1"/>
  <c r="G13" i="72"/>
  <c r="G15" i="72" s="1"/>
  <c r="H30" i="72"/>
  <c r="I30" i="72" s="1"/>
  <c r="D32" i="72"/>
  <c r="D40" i="56"/>
  <c r="G33" i="56"/>
  <c r="G40" i="50"/>
  <c r="D40" i="49"/>
  <c r="G33" i="49"/>
  <c r="G40" i="46"/>
  <c r="G33" i="50"/>
  <c r="G33" i="46"/>
  <c r="G32" i="72"/>
  <c r="G40" i="56"/>
  <c r="D40" i="50"/>
  <c r="G40" i="49"/>
  <c r="D40" i="46"/>
  <c r="D40" i="61"/>
  <c r="G40" i="60"/>
  <c r="G40" i="58"/>
  <c r="G40" i="54"/>
  <c r="D40" i="52"/>
  <c r="G40" i="61"/>
  <c r="G33" i="61"/>
  <c r="D40" i="60"/>
  <c r="G33" i="60"/>
  <c r="D40" i="58"/>
  <c r="G33" i="58"/>
  <c r="D40" i="54"/>
  <c r="G33" i="54"/>
  <c r="G40" i="52"/>
  <c r="G33" i="52"/>
  <c r="H30" i="81"/>
  <c r="I30" i="81" s="1"/>
  <c r="H15" i="81"/>
  <c r="I15" i="81" s="1"/>
  <c r="H30" i="79"/>
  <c r="I30" i="79" s="1"/>
  <c r="H15" i="79"/>
  <c r="I15" i="79" s="1"/>
  <c r="H15" i="78"/>
  <c r="I15" i="78" s="1"/>
  <c r="H32" i="78"/>
  <c r="I32" i="78" s="1"/>
  <c r="H15" i="76"/>
  <c r="I15" i="76" s="1"/>
  <c r="H32" i="76"/>
  <c r="I32" i="76" s="1"/>
  <c r="H32" i="75"/>
  <c r="I32" i="75" s="1"/>
  <c r="H15" i="75"/>
  <c r="I15" i="75" s="1"/>
  <c r="H15" i="73"/>
  <c r="I15" i="73" s="1"/>
  <c r="H32" i="73"/>
  <c r="I32" i="73" s="1"/>
  <c r="H29" i="72"/>
  <c r="I29" i="72" s="1"/>
  <c r="H28" i="72"/>
  <c r="I28" i="72" s="1"/>
  <c r="H31" i="70"/>
  <c r="I31" i="70" s="1"/>
  <c r="H14" i="70"/>
  <c r="I14" i="70" s="1"/>
  <c r="H14" i="68"/>
  <c r="I14" i="68" s="1"/>
  <c r="H31" i="68"/>
  <c r="I31" i="68" s="1"/>
  <c r="H14" i="67"/>
  <c r="I14" i="67" s="1"/>
  <c r="H31" i="67"/>
  <c r="I31" i="67" s="1"/>
  <c r="H31" i="65"/>
  <c r="I31" i="65" s="1"/>
  <c r="H14" i="65"/>
  <c r="I14" i="65" s="1"/>
  <c r="H31" i="64"/>
  <c r="I31" i="64" s="1"/>
  <c r="H14" i="64"/>
  <c r="I14" i="64" s="1"/>
  <c r="H40" i="62"/>
  <c r="I40" i="62" s="1"/>
  <c r="H14" i="62"/>
  <c r="I14" i="62" s="1"/>
  <c r="H18" i="61"/>
  <c r="I18" i="61" s="1"/>
  <c r="H37" i="61"/>
  <c r="I37" i="61" s="1"/>
  <c r="H27" i="61"/>
  <c r="I27" i="61" s="1"/>
  <c r="H28" i="61"/>
  <c r="I28" i="61" s="1"/>
  <c r="H36" i="61"/>
  <c r="I36" i="61" s="1"/>
  <c r="H14" i="61"/>
  <c r="I14" i="61" s="1"/>
  <c r="H37" i="60"/>
  <c r="I37" i="60" s="1"/>
  <c r="H27" i="60"/>
  <c r="I27" i="60" s="1"/>
  <c r="H18" i="60"/>
  <c r="I18" i="60" s="1"/>
  <c r="H28" i="60"/>
  <c r="I28" i="60" s="1"/>
  <c r="H14" i="60"/>
  <c r="I14" i="60" s="1"/>
  <c r="H36" i="60"/>
  <c r="I36" i="60" s="1"/>
  <c r="H18" i="59"/>
  <c r="I18" i="59" s="1"/>
  <c r="H40" i="59"/>
  <c r="I40" i="59" s="1"/>
  <c r="H14" i="59"/>
  <c r="I14" i="59" s="1"/>
  <c r="H18" i="58"/>
  <c r="I18" i="58" s="1"/>
  <c r="H27" i="58"/>
  <c r="I27" i="58" s="1"/>
  <c r="H14" i="58"/>
  <c r="I14" i="58" s="1"/>
  <c r="H28" i="58"/>
  <c r="I28" i="58" s="1"/>
  <c r="H36" i="58"/>
  <c r="I36" i="58" s="1"/>
  <c r="H37" i="58"/>
  <c r="I37" i="58" s="1"/>
  <c r="H14" i="57"/>
  <c r="I14" i="57" s="1"/>
  <c r="H40" i="57"/>
  <c r="I40" i="57" s="1"/>
  <c r="H36" i="56"/>
  <c r="I36" i="56" s="1"/>
  <c r="H14" i="56"/>
  <c r="I14" i="56" s="1"/>
  <c r="H37" i="56"/>
  <c r="I37" i="56" s="1"/>
  <c r="H27" i="56"/>
  <c r="I27" i="56" s="1"/>
  <c r="H28" i="56"/>
  <c r="I28" i="56" s="1"/>
  <c r="H18" i="56"/>
  <c r="I18" i="56" s="1"/>
  <c r="H14" i="54"/>
  <c r="I14" i="54" s="1"/>
  <c r="H27" i="54"/>
  <c r="I27" i="54" s="1"/>
  <c r="H28" i="54"/>
  <c r="I28" i="54" s="1"/>
  <c r="H36" i="54"/>
  <c r="I36" i="54" s="1"/>
  <c r="H18" i="54"/>
  <c r="I18" i="54" s="1"/>
  <c r="H37" i="54"/>
  <c r="I37" i="54" s="1"/>
  <c r="H40" i="53"/>
  <c r="I40" i="53" s="1"/>
  <c r="H14" i="53"/>
  <c r="I14" i="53" s="1"/>
  <c r="H27" i="52"/>
  <c r="I27" i="52" s="1"/>
  <c r="H18" i="52"/>
  <c r="I18" i="52" s="1"/>
  <c r="H37" i="52"/>
  <c r="I37" i="52" s="1"/>
  <c r="H28" i="52"/>
  <c r="I28" i="52" s="1"/>
  <c r="H36" i="52"/>
  <c r="I36" i="52" s="1"/>
  <c r="H14" i="52"/>
  <c r="I14" i="52" s="1"/>
  <c r="H40" i="51"/>
  <c r="I40" i="51" s="1"/>
  <c r="H14" i="51"/>
  <c r="I14" i="51" s="1"/>
  <c r="H18" i="50"/>
  <c r="I18" i="50" s="1"/>
  <c r="H28" i="50"/>
  <c r="I28" i="50" s="1"/>
  <c r="H36" i="50"/>
  <c r="I36" i="50" s="1"/>
  <c r="H14" i="50"/>
  <c r="I14" i="50" s="1"/>
  <c r="H37" i="50"/>
  <c r="I37" i="50" s="1"/>
  <c r="H27" i="50"/>
  <c r="I27" i="50" s="1"/>
  <c r="H18" i="49"/>
  <c r="I18" i="49" s="1"/>
  <c r="H37" i="49"/>
  <c r="I37" i="49" s="1"/>
  <c r="H14" i="49"/>
  <c r="I14" i="49" s="1"/>
  <c r="H27" i="49"/>
  <c r="I27" i="49" s="1"/>
  <c r="H28" i="49"/>
  <c r="I28" i="49" s="1"/>
  <c r="H36" i="49"/>
  <c r="I36" i="49" s="1"/>
  <c r="H40" i="48"/>
  <c r="I40" i="48" s="1"/>
  <c r="H14" i="48"/>
  <c r="I14" i="48" s="1"/>
  <c r="H40" i="47"/>
  <c r="I40" i="47" s="1"/>
  <c r="H14" i="47"/>
  <c r="I14" i="47" s="1"/>
  <c r="H18" i="47"/>
  <c r="I18" i="47" s="1"/>
  <c r="H18" i="46"/>
  <c r="I18" i="46" s="1"/>
  <c r="H28" i="46"/>
  <c r="I28" i="46" s="1"/>
  <c r="H27" i="46"/>
  <c r="I27" i="46" s="1"/>
  <c r="H37" i="46"/>
  <c r="I37" i="46" s="1"/>
  <c r="H14" i="46"/>
  <c r="I14" i="46" s="1"/>
  <c r="H36" i="46"/>
  <c r="I36" i="46" s="1"/>
  <c r="H13" i="72" l="1"/>
  <c r="I13" i="72" s="1"/>
  <c r="H32" i="72"/>
  <c r="I32" i="72" s="1"/>
  <c r="H15" i="72"/>
  <c r="I15" i="72" s="1"/>
  <c r="H40" i="61"/>
  <c r="I40" i="61" s="1"/>
  <c r="H40" i="60"/>
  <c r="I40" i="60" s="1"/>
  <c r="H40" i="58"/>
  <c r="I40" i="58" s="1"/>
  <c r="H40" i="56"/>
  <c r="I40" i="56" s="1"/>
  <c r="H40" i="54"/>
  <c r="I40" i="54" s="1"/>
  <c r="H40" i="52"/>
  <c r="I40" i="52" s="1"/>
  <c r="H40" i="50"/>
  <c r="I40" i="50" s="1"/>
  <c r="H40" i="49"/>
  <c r="I40" i="49" s="1"/>
  <c r="H40" i="46"/>
  <c r="I40" i="46" s="1"/>
  <c r="F37" i="5" l="1"/>
  <c r="F35" i="5"/>
  <c r="B25" i="5" l="1"/>
  <c r="B24" i="5"/>
  <c r="H17" i="5"/>
  <c r="I17" i="5" s="1"/>
  <c r="F14" i="5"/>
  <c r="F13" i="5"/>
  <c r="F36" i="25"/>
  <c r="F34" i="25"/>
  <c r="F32" i="25"/>
  <c r="B32" i="25"/>
  <c r="E32" i="25" s="1"/>
  <c r="F30" i="25"/>
  <c r="E30" i="25"/>
  <c r="D30" i="25"/>
  <c r="E15" i="25"/>
  <c r="F13" i="25"/>
  <c r="F12" i="25"/>
  <c r="G30" i="25" l="1"/>
  <c r="G32" i="25"/>
  <c r="E25" i="5"/>
  <c r="G25" i="5" s="1"/>
  <c r="E24" i="5"/>
  <c r="G24" i="5" s="1"/>
  <c r="H31" i="5"/>
  <c r="I31" i="5" s="1"/>
  <c r="H30" i="25"/>
  <c r="I30" i="25" s="1"/>
  <c r="D32" i="25"/>
  <c r="B9" i="4"/>
  <c r="C26" i="4"/>
  <c r="D26" i="4" s="1"/>
  <c r="C20" i="4"/>
  <c r="H32" i="25" l="1"/>
  <c r="I32" i="25" s="1"/>
  <c r="G26" i="5"/>
  <c r="B23" i="4"/>
  <c r="B24" i="4"/>
  <c r="B9" i="25" l="1"/>
  <c r="B7" i="25"/>
  <c r="B6" i="25"/>
  <c r="B5" i="25"/>
  <c r="B13" i="25" l="1"/>
  <c r="B12" i="25"/>
  <c r="B18" i="25"/>
  <c r="B17" i="25"/>
  <c r="C21" i="25"/>
  <c r="F21" i="25" s="1"/>
  <c r="B8" i="25"/>
  <c r="B29" i="25" l="1"/>
  <c r="E29" i="25" s="1"/>
  <c r="G29" i="25" s="1"/>
  <c r="B19" i="25"/>
  <c r="E19" i="25" s="1"/>
  <c r="E13" i="25"/>
  <c r="G13" i="25" s="1"/>
  <c r="D13" i="25"/>
  <c r="E17" i="25"/>
  <c r="B28" i="25"/>
  <c r="B24" i="25"/>
  <c r="B27" i="25"/>
  <c r="B23" i="25"/>
  <c r="B21" i="25"/>
  <c r="E12" i="25"/>
  <c r="G12" i="25" s="1"/>
  <c r="D12" i="25"/>
  <c r="E18" i="25"/>
  <c r="D29" i="25" l="1"/>
  <c r="H29" i="25" s="1"/>
  <c r="I29" i="25" s="1"/>
  <c r="D14" i="25"/>
  <c r="D21" i="25"/>
  <c r="E21" i="25"/>
  <c r="G21" i="25" s="1"/>
  <c r="E23" i="25"/>
  <c r="E24" i="25"/>
  <c r="H12" i="25"/>
  <c r="I12" i="25" s="1"/>
  <c r="G14" i="25"/>
  <c r="E27" i="25"/>
  <c r="G27" i="25" s="1"/>
  <c r="D27" i="25"/>
  <c r="E28" i="25"/>
  <c r="G28" i="25" s="1"/>
  <c r="D28" i="25"/>
  <c r="H13" i="25"/>
  <c r="I13" i="25" s="1"/>
  <c r="B33" i="5"/>
  <c r="D33" i="5" l="1"/>
  <c r="E33" i="5"/>
  <c r="G33" i="5" s="1"/>
  <c r="H21" i="25"/>
  <c r="I21" i="25" s="1"/>
  <c r="G31" i="25"/>
  <c r="H27" i="25"/>
  <c r="I27" i="25" s="1"/>
  <c r="H28" i="25"/>
  <c r="I28" i="25" s="1"/>
  <c r="D31" i="25"/>
  <c r="H14" i="25"/>
  <c r="I14" i="25" s="1"/>
  <c r="H31" i="25" l="1"/>
  <c r="I31" i="25" s="1"/>
  <c r="H33" i="5"/>
  <c r="I33" i="5" s="1"/>
  <c r="B8" i="5" l="1"/>
  <c r="B6" i="5"/>
  <c r="B7" i="4"/>
  <c r="B6" i="4"/>
  <c r="B5" i="4"/>
  <c r="B13" i="4" l="1"/>
  <c r="B12" i="4"/>
  <c r="B21" i="5"/>
  <c r="B20" i="5"/>
  <c r="E14" i="5"/>
  <c r="G14" i="5" s="1"/>
  <c r="D14" i="5"/>
  <c r="F28" i="4"/>
  <c r="C27" i="4"/>
  <c r="F27" i="4" s="1"/>
  <c r="E24" i="4"/>
  <c r="E21" i="5" l="1"/>
  <c r="E20" i="5"/>
  <c r="H14" i="5"/>
  <c r="I14" i="5" s="1"/>
  <c r="B9" i="5"/>
  <c r="B22" i="5" s="1"/>
  <c r="D22" i="5" l="1"/>
  <c r="E22" i="5"/>
  <c r="G22" i="5" s="1"/>
  <c r="B13" i="5"/>
  <c r="E13" i="5" s="1"/>
  <c r="G13" i="5" s="1"/>
  <c r="B30" i="5"/>
  <c r="B28" i="5"/>
  <c r="B29" i="5"/>
  <c r="F48" i="4"/>
  <c r="F45" i="4"/>
  <c r="F43" i="4"/>
  <c r="F41" i="4"/>
  <c r="F39" i="4"/>
  <c r="E39" i="4"/>
  <c r="D39" i="4"/>
  <c r="E20" i="4"/>
  <c r="G20" i="4" s="1"/>
  <c r="D20" i="4"/>
  <c r="E19" i="4"/>
  <c r="F17" i="4"/>
  <c r="F16" i="4"/>
  <c r="F15" i="4"/>
  <c r="F13" i="4"/>
  <c r="F12" i="4"/>
  <c r="H22" i="5" l="1"/>
  <c r="I22" i="5" s="1"/>
  <c r="D13" i="5"/>
  <c r="D15" i="5" s="1"/>
  <c r="E30" i="5"/>
  <c r="G30" i="5" s="1"/>
  <c r="D30" i="5"/>
  <c r="D28" i="5"/>
  <c r="E28" i="5"/>
  <c r="G28" i="5" s="1"/>
  <c r="D29" i="5"/>
  <c r="E29" i="5"/>
  <c r="G29" i="5" s="1"/>
  <c r="G39" i="4"/>
  <c r="H39" i="4" s="1"/>
  <c r="I39" i="4" s="1"/>
  <c r="G15" i="5"/>
  <c r="E13" i="4"/>
  <c r="G13" i="4" s="1"/>
  <c r="D13" i="4"/>
  <c r="B41" i="4"/>
  <c r="B8" i="4"/>
  <c r="B38" i="4" s="1"/>
  <c r="H20" i="4"/>
  <c r="I20" i="4" s="1"/>
  <c r="H13" i="5" l="1"/>
  <c r="I13" i="5" s="1"/>
  <c r="H30" i="5"/>
  <c r="I30" i="5" s="1"/>
  <c r="E38" i="4"/>
  <c r="G38" i="4" s="1"/>
  <c r="D38" i="4"/>
  <c r="H15" i="5"/>
  <c r="I15" i="5" s="1"/>
  <c r="G32" i="5"/>
  <c r="D32" i="5"/>
  <c r="H28" i="5"/>
  <c r="I28" i="5" s="1"/>
  <c r="H29" i="5"/>
  <c r="I29" i="5" s="1"/>
  <c r="B27" i="4"/>
  <c r="D27" i="4" s="1"/>
  <c r="B28" i="4"/>
  <c r="D15" i="4"/>
  <c r="E15" i="4"/>
  <c r="G15" i="4" s="1"/>
  <c r="E16" i="4"/>
  <c r="G16" i="4" s="1"/>
  <c r="D16" i="4"/>
  <c r="E41" i="4"/>
  <c r="G41" i="4" s="1"/>
  <c r="D41" i="4"/>
  <c r="E23" i="4"/>
  <c r="B37" i="4"/>
  <c r="B36" i="4"/>
  <c r="B32" i="4"/>
  <c r="B31" i="4"/>
  <c r="E17" i="4"/>
  <c r="G17" i="4" s="1"/>
  <c r="D17" i="4"/>
  <c r="E12" i="4"/>
  <c r="G12" i="4" s="1"/>
  <c r="D12" i="4"/>
  <c r="D14" i="4" s="1"/>
  <c r="H13" i="4"/>
  <c r="I13" i="4" s="1"/>
  <c r="H38" i="4" l="1"/>
  <c r="I38" i="4" s="1"/>
  <c r="H32" i="5"/>
  <c r="I32" i="5" s="1"/>
  <c r="E27" i="4"/>
  <c r="G27" i="4" s="1"/>
  <c r="D28" i="4"/>
  <c r="E28" i="4"/>
  <c r="G28" i="4" s="1"/>
  <c r="D18" i="4"/>
  <c r="E31" i="4"/>
  <c r="E36" i="4"/>
  <c r="G36" i="4" s="1"/>
  <c r="D36" i="4"/>
  <c r="G18" i="4"/>
  <c r="H15" i="4"/>
  <c r="I15" i="4" s="1"/>
  <c r="G14" i="4"/>
  <c r="H12" i="4"/>
  <c r="I12" i="4" s="1"/>
  <c r="H17" i="4"/>
  <c r="I17" i="4" s="1"/>
  <c r="E32" i="4"/>
  <c r="E37" i="4"/>
  <c r="G37" i="4" s="1"/>
  <c r="D37" i="4"/>
  <c r="H41" i="4"/>
  <c r="I41" i="4" s="1"/>
  <c r="H16" i="4"/>
  <c r="I16" i="4" s="1"/>
  <c r="H27" i="4" l="1"/>
  <c r="I27" i="4" s="1"/>
  <c r="H28" i="4"/>
  <c r="I28" i="4" s="1"/>
  <c r="D40" i="4"/>
  <c r="H37" i="4"/>
  <c r="I37" i="4" s="1"/>
  <c r="H14" i="4"/>
  <c r="I14" i="4" s="1"/>
  <c r="H36" i="4"/>
  <c r="I36" i="4" s="1"/>
  <c r="G40" i="4"/>
  <c r="H18" i="4"/>
  <c r="I18" i="4" s="1"/>
  <c r="H40" i="4" l="1"/>
  <c r="I40" i="4" s="1"/>
  <c r="G26" i="4" l="1"/>
  <c r="H26" i="4" s="1"/>
  <c r="I26" i="4" s="1"/>
  <c r="G24" i="25" l="1"/>
  <c r="G32" i="4"/>
  <c r="G23" i="25"/>
  <c r="G31" i="4"/>
  <c r="G33" i="4" l="1"/>
  <c r="G25" i="25"/>
  <c r="G21" i="59" l="1"/>
  <c r="G21" i="58"/>
  <c r="G21" i="57"/>
  <c r="G21" i="60"/>
  <c r="G21" i="62"/>
  <c r="G21" i="61"/>
  <c r="G21" i="46"/>
  <c r="G21" i="47"/>
  <c r="G21" i="4"/>
  <c r="G21" i="53"/>
  <c r="G21" i="52"/>
  <c r="G21" i="51"/>
  <c r="G21" i="50" l="1"/>
  <c r="G21" i="49"/>
  <c r="G21" i="48"/>
  <c r="G18" i="5"/>
  <c r="G18" i="72"/>
  <c r="G18" i="71"/>
  <c r="G18" i="78"/>
  <c r="G18" i="76"/>
  <c r="G18" i="75"/>
  <c r="G18" i="73"/>
  <c r="G18" i="74"/>
  <c r="G21" i="56"/>
  <c r="G21" i="54"/>
  <c r="C21" i="47" l="1"/>
  <c r="D21" i="47" s="1"/>
  <c r="C21" i="4"/>
  <c r="D21" i="4" s="1"/>
  <c r="C21" i="46"/>
  <c r="D21" i="46" s="1"/>
  <c r="C21" i="50"/>
  <c r="D21" i="50" s="1"/>
  <c r="C21" i="48"/>
  <c r="D21" i="48" s="1"/>
  <c r="C21" i="49"/>
  <c r="D21" i="49" s="1"/>
  <c r="C21" i="51"/>
  <c r="D21" i="51" s="1"/>
  <c r="C21" i="53"/>
  <c r="D21" i="53" s="1"/>
  <c r="C21" i="52"/>
  <c r="D21" i="52" s="1"/>
  <c r="C21" i="54"/>
  <c r="D21" i="54" s="1"/>
  <c r="C21" i="56"/>
  <c r="D21" i="56" s="1"/>
  <c r="D21" i="57"/>
  <c r="D21" i="59"/>
  <c r="D21" i="58"/>
  <c r="C21" i="61"/>
  <c r="D21" i="61" s="1"/>
  <c r="C21" i="60"/>
  <c r="D21" i="60" s="1"/>
  <c r="C21" i="62"/>
  <c r="D21" i="62" s="1"/>
  <c r="D18" i="72"/>
  <c r="D18" i="71"/>
  <c r="D18" i="5"/>
  <c r="C18" i="75"/>
  <c r="D18" i="75" s="1"/>
  <c r="C18" i="74"/>
  <c r="D18" i="74" s="1"/>
  <c r="C18" i="73"/>
  <c r="D18" i="73" s="1"/>
  <c r="D18" i="78"/>
  <c r="D18" i="76"/>
  <c r="D19" i="64"/>
  <c r="D19" i="25"/>
  <c r="D19" i="67"/>
  <c r="D19" i="65"/>
  <c r="D19" i="70"/>
  <c r="D19" i="68"/>
  <c r="D20" i="79"/>
  <c r="D20" i="81"/>
  <c r="H18" i="76" l="1"/>
  <c r="I18" i="76" s="1"/>
  <c r="H18" i="78"/>
  <c r="I18" i="78" s="1"/>
  <c r="H18" i="74"/>
  <c r="I18" i="74" s="1"/>
  <c r="H18" i="5"/>
  <c r="I18" i="5" s="1"/>
  <c r="H18" i="72"/>
  <c r="I18" i="72" s="1"/>
  <c r="H21" i="62"/>
  <c r="I21" i="62" s="1"/>
  <c r="H21" i="61"/>
  <c r="I21" i="61" s="1"/>
  <c r="H21" i="59"/>
  <c r="I21" i="59" s="1"/>
  <c r="H21" i="56"/>
  <c r="I21" i="56" s="1"/>
  <c r="H21" i="53"/>
  <c r="I21" i="53" s="1"/>
  <c r="H21" i="49"/>
  <c r="I21" i="49" s="1"/>
  <c r="H21" i="50"/>
  <c r="I21" i="50" s="1"/>
  <c r="H21" i="4"/>
  <c r="I21" i="4" s="1"/>
  <c r="H18" i="73"/>
  <c r="I18" i="73" s="1"/>
  <c r="H18" i="75"/>
  <c r="I18" i="75" s="1"/>
  <c r="H18" i="71"/>
  <c r="I18" i="71" s="1"/>
  <c r="H21" i="60"/>
  <c r="I21" i="60" s="1"/>
  <c r="H21" i="58"/>
  <c r="I21" i="58" s="1"/>
  <c r="H21" i="57"/>
  <c r="I21" i="57" s="1"/>
  <c r="H21" i="54"/>
  <c r="I21" i="54" s="1"/>
  <c r="H21" i="52"/>
  <c r="I21" i="52" s="1"/>
  <c r="H21" i="51"/>
  <c r="I21" i="51" s="1"/>
  <c r="H21" i="48"/>
  <c r="I21" i="48" s="1"/>
  <c r="H21" i="46"/>
  <c r="I21" i="46" s="1"/>
  <c r="H21" i="47"/>
  <c r="I21" i="47" s="1"/>
  <c r="C23" i="50" l="1"/>
  <c r="D23" i="50" s="1"/>
  <c r="C23" i="58"/>
  <c r="D23" i="58" s="1"/>
  <c r="C23" i="59"/>
  <c r="D23" i="59" s="1"/>
  <c r="C23" i="48"/>
  <c r="D23" i="48" s="1"/>
  <c r="C23" i="49"/>
  <c r="D23" i="49" s="1"/>
  <c r="C23" i="57"/>
  <c r="D23" i="57" s="1"/>
  <c r="C23" i="47" l="1"/>
  <c r="D23" i="47" s="1"/>
  <c r="C23" i="46"/>
  <c r="D23" i="46" s="1"/>
  <c r="C23" i="4"/>
  <c r="D23" i="4" s="1"/>
  <c r="C17" i="70" l="1"/>
  <c r="D17" i="70" s="1"/>
  <c r="C17" i="69"/>
  <c r="C17" i="68"/>
  <c r="D17" i="68" s="1"/>
  <c r="C23" i="53" l="1"/>
  <c r="D23" i="53" s="1"/>
  <c r="C23" i="52"/>
  <c r="D23" i="52" s="1"/>
  <c r="C23" i="51"/>
  <c r="D23" i="51" s="1"/>
  <c r="C20" i="74"/>
  <c r="C20" i="75"/>
  <c r="D20" i="75" s="1"/>
  <c r="C20" i="73"/>
  <c r="D20" i="73" s="1"/>
  <c r="C17" i="65"/>
  <c r="D17" i="65" s="1"/>
  <c r="C17" i="66"/>
  <c r="C17" i="67"/>
  <c r="D17" i="67" s="1"/>
  <c r="C20" i="5" l="1"/>
  <c r="D20" i="5" s="1"/>
  <c r="C17" i="63"/>
  <c r="C23" i="61"/>
  <c r="D23" i="61" s="1"/>
  <c r="C20" i="72"/>
  <c r="D20" i="72" s="1"/>
  <c r="C20" i="71"/>
  <c r="C17" i="25"/>
  <c r="D17" i="25" s="1"/>
  <c r="C17" i="64"/>
  <c r="D17" i="64" s="1"/>
  <c r="C23" i="62"/>
  <c r="D23" i="62" s="1"/>
  <c r="C23" i="60"/>
  <c r="D23" i="60" s="1"/>
  <c r="D16" i="64" l="1"/>
  <c r="D16" i="63"/>
  <c r="C23" i="104" l="1"/>
  <c r="D23" i="104" s="1"/>
  <c r="C23" i="56"/>
  <c r="D23" i="56" s="1"/>
  <c r="C23" i="54"/>
  <c r="D23" i="54" s="1"/>
  <c r="C16" i="25" l="1"/>
  <c r="D16" i="25" s="1"/>
  <c r="C24" i="116"/>
  <c r="C22" i="116"/>
  <c r="D22" i="116" s="1"/>
  <c r="C24" i="117"/>
  <c r="C22" i="117"/>
  <c r="D22" i="117" s="1"/>
  <c r="C24" i="115"/>
  <c r="C22" i="115"/>
  <c r="D22" i="115" s="1"/>
  <c r="C24" i="114"/>
  <c r="C22" i="114"/>
  <c r="D22" i="114" s="1"/>
  <c r="C24" i="113"/>
  <c r="C22" i="113"/>
  <c r="D22" i="113" s="1"/>
  <c r="C24" i="112"/>
  <c r="C22" i="112"/>
  <c r="D22" i="112" s="1"/>
  <c r="C19" i="116"/>
  <c r="D19" i="116" s="1"/>
  <c r="C19" i="117"/>
  <c r="D19" i="117" s="1"/>
  <c r="C19" i="115"/>
  <c r="D19" i="115" s="1"/>
  <c r="C19" i="114"/>
  <c r="D19" i="114" s="1"/>
  <c r="C19" i="113"/>
  <c r="D19" i="113" s="1"/>
  <c r="C19" i="112"/>
  <c r="D19" i="112" s="1"/>
  <c r="C22" i="50" l="1"/>
  <c r="D22" i="50" s="1"/>
  <c r="C22" i="48"/>
  <c r="D22" i="48" s="1"/>
  <c r="C22" i="49"/>
  <c r="D22" i="49" s="1"/>
  <c r="C22" i="54"/>
  <c r="D22" i="54" s="1"/>
  <c r="C22" i="56"/>
  <c r="D22" i="56" s="1"/>
  <c r="C22" i="104"/>
  <c r="D22" i="104" s="1"/>
  <c r="C22" i="62"/>
  <c r="D22" i="62" s="1"/>
  <c r="C22" i="61"/>
  <c r="D22" i="61" s="1"/>
  <c r="C22" i="60"/>
  <c r="D22" i="60" s="1"/>
  <c r="C16" i="67"/>
  <c r="D16" i="67" s="1"/>
  <c r="C16" i="66"/>
  <c r="D16" i="66" s="1"/>
  <c r="C16" i="65"/>
  <c r="D16" i="65" s="1"/>
  <c r="C19" i="71"/>
  <c r="D19" i="71" s="1"/>
  <c r="C19" i="5"/>
  <c r="D19" i="5" s="1"/>
  <c r="C19" i="72"/>
  <c r="D19" i="72" s="1"/>
  <c r="C19" i="76"/>
  <c r="D19" i="76" s="1"/>
  <c r="C19" i="78"/>
  <c r="D19" i="78" s="1"/>
  <c r="C19" i="77"/>
  <c r="D19" i="77" s="1"/>
  <c r="C19" i="50"/>
  <c r="D19" i="50" s="1"/>
  <c r="C19" i="49"/>
  <c r="D19" i="49" s="1"/>
  <c r="C19" i="48"/>
  <c r="D19" i="48" s="1"/>
  <c r="C19" i="54"/>
  <c r="D19" i="54" s="1"/>
  <c r="C19" i="104"/>
  <c r="D19" i="104" s="1"/>
  <c r="C19" i="56"/>
  <c r="D19" i="56" s="1"/>
  <c r="C19" i="60"/>
  <c r="D19" i="60" s="1"/>
  <c r="C19" i="61"/>
  <c r="D19" i="61" s="1"/>
  <c r="C19" i="62"/>
  <c r="D19" i="62" s="1"/>
  <c r="C15" i="65"/>
  <c r="D15" i="65" s="1"/>
  <c r="C15" i="66"/>
  <c r="D15" i="66" s="1"/>
  <c r="C15" i="67"/>
  <c r="D15" i="67" s="1"/>
  <c r="C16" i="72"/>
  <c r="D16" i="72" s="1"/>
  <c r="C16" i="71"/>
  <c r="D16" i="71" s="1"/>
  <c r="C16" i="5"/>
  <c r="D16" i="5" s="1"/>
  <c r="C16" i="76"/>
  <c r="D16" i="76" s="1"/>
  <c r="C16" i="77"/>
  <c r="D16" i="77" s="1"/>
  <c r="C16" i="78"/>
  <c r="D16" i="78" s="1"/>
  <c r="C24" i="49"/>
  <c r="D24" i="49" s="1"/>
  <c r="C24" i="50"/>
  <c r="D24" i="50" s="1"/>
  <c r="C24" i="48"/>
  <c r="D24" i="48" s="1"/>
  <c r="C24" i="54"/>
  <c r="D24" i="54" s="1"/>
  <c r="C24" i="104"/>
  <c r="D24" i="104" s="1"/>
  <c r="C24" i="56"/>
  <c r="D24" i="56" s="1"/>
  <c r="C24" i="61"/>
  <c r="D24" i="61" s="1"/>
  <c r="C24" i="60"/>
  <c r="D24" i="60" s="1"/>
  <c r="C24" i="62"/>
  <c r="D24" i="62" s="1"/>
  <c r="C18" i="66"/>
  <c r="C18" i="65"/>
  <c r="D18" i="65" s="1"/>
  <c r="C18" i="67"/>
  <c r="D18" i="67" s="1"/>
  <c r="C21" i="5"/>
  <c r="D21" i="5" s="1"/>
  <c r="C21" i="71"/>
  <c r="C21" i="72"/>
  <c r="D21" i="72" s="1"/>
  <c r="C21" i="77"/>
  <c r="C21" i="76"/>
  <c r="D21" i="76" s="1"/>
  <c r="C21" i="78"/>
  <c r="D21" i="78" s="1"/>
  <c r="C22" i="46"/>
  <c r="D22" i="46" s="1"/>
  <c r="C22" i="47"/>
  <c r="D22" i="47" s="1"/>
  <c r="C22" i="4"/>
  <c r="D22" i="4" s="1"/>
  <c r="C22" i="53"/>
  <c r="D22" i="53" s="1"/>
  <c r="C22" i="52"/>
  <c r="D22" i="52" s="1"/>
  <c r="C22" i="51"/>
  <c r="D22" i="51" s="1"/>
  <c r="C22" i="57"/>
  <c r="D22" i="57" s="1"/>
  <c r="C22" i="58"/>
  <c r="D22" i="58" s="1"/>
  <c r="C22" i="59"/>
  <c r="D22" i="59" s="1"/>
  <c r="C16" i="70"/>
  <c r="D16" i="70" s="1"/>
  <c r="C16" i="68"/>
  <c r="D16" i="68" s="1"/>
  <c r="C16" i="69"/>
  <c r="D16" i="69" s="1"/>
  <c r="C19" i="73"/>
  <c r="D19" i="73" s="1"/>
  <c r="C19" i="74"/>
  <c r="D19" i="74" s="1"/>
  <c r="C19" i="75"/>
  <c r="D19" i="75" s="1"/>
  <c r="C17" i="80"/>
  <c r="D17" i="80" s="1"/>
  <c r="C17" i="81"/>
  <c r="D17" i="81" s="1"/>
  <c r="C17" i="79"/>
  <c r="D17" i="79" s="1"/>
  <c r="C19" i="47"/>
  <c r="D19" i="47" s="1"/>
  <c r="C19" i="46"/>
  <c r="D19" i="46" s="1"/>
  <c r="C19" i="4"/>
  <c r="D19" i="4" s="1"/>
  <c r="C19" i="53"/>
  <c r="D19" i="53" s="1"/>
  <c r="C19" i="52"/>
  <c r="D19" i="52" s="1"/>
  <c r="C19" i="51"/>
  <c r="D19" i="51" s="1"/>
  <c r="C19" i="58"/>
  <c r="D19" i="58" s="1"/>
  <c r="C19" i="59"/>
  <c r="D19" i="59" s="1"/>
  <c r="C19" i="57"/>
  <c r="D19" i="57" s="1"/>
  <c r="C15" i="25"/>
  <c r="D15" i="25" s="1"/>
  <c r="C15" i="64"/>
  <c r="D15" i="64" s="1"/>
  <c r="C15" i="63"/>
  <c r="D15" i="63" s="1"/>
  <c r="C15" i="69"/>
  <c r="D15" i="69" s="1"/>
  <c r="C15" i="68"/>
  <c r="D15" i="68" s="1"/>
  <c r="C15" i="70"/>
  <c r="D15" i="70" s="1"/>
  <c r="C16" i="74"/>
  <c r="D16" i="74" s="1"/>
  <c r="C16" i="75"/>
  <c r="D16" i="75" s="1"/>
  <c r="C16" i="73"/>
  <c r="D16" i="73" s="1"/>
  <c r="C24" i="46"/>
  <c r="D24" i="46" s="1"/>
  <c r="C24" i="47"/>
  <c r="D24" i="47" s="1"/>
  <c r="C24" i="4"/>
  <c r="D24" i="4" s="1"/>
  <c r="C24" i="53"/>
  <c r="D24" i="53" s="1"/>
  <c r="C24" i="51"/>
  <c r="D24" i="51" s="1"/>
  <c r="C24" i="52"/>
  <c r="D24" i="52" s="1"/>
  <c r="C24" i="57"/>
  <c r="D24" i="57" s="1"/>
  <c r="C24" i="58"/>
  <c r="D24" i="58" s="1"/>
  <c r="C24" i="59"/>
  <c r="D24" i="59" s="1"/>
  <c r="C18" i="64"/>
  <c r="D18" i="64" s="1"/>
  <c r="C18" i="25"/>
  <c r="D18" i="25" s="1"/>
  <c r="C18" i="63"/>
  <c r="C18" i="68"/>
  <c r="D18" i="68" s="1"/>
  <c r="C18" i="70"/>
  <c r="D18" i="70" s="1"/>
  <c r="C18" i="69"/>
  <c r="C21" i="73"/>
  <c r="D21" i="73" s="1"/>
  <c r="C21" i="74"/>
  <c r="C21" i="75"/>
  <c r="D21" i="75" s="1"/>
  <c r="C19" i="81"/>
  <c r="D19" i="81" s="1"/>
  <c r="C19" i="80"/>
  <c r="C19" i="79"/>
  <c r="D19" i="79" s="1"/>
  <c r="D23" i="72" l="1"/>
  <c r="D23" i="75"/>
  <c r="D21" i="79"/>
  <c r="D23" i="76"/>
  <c r="D20" i="65"/>
  <c r="D20" i="25"/>
  <c r="D20" i="64"/>
  <c r="D21" i="81"/>
  <c r="D23" i="78"/>
  <c r="D23" i="5"/>
  <c r="D20" i="67"/>
  <c r="D20" i="68"/>
  <c r="D23" i="73"/>
  <c r="D20" i="70"/>
  <c r="D25" i="4"/>
  <c r="D25" i="59"/>
  <c r="D25" i="52"/>
  <c r="D25" i="46"/>
  <c r="D25" i="61"/>
  <c r="D25" i="50"/>
  <c r="D25" i="51"/>
  <c r="D25" i="104"/>
  <c r="D25" i="58"/>
  <c r="D25" i="53"/>
  <c r="D25" i="47"/>
  <c r="D25" i="60"/>
  <c r="D25" i="54"/>
  <c r="D25" i="62"/>
  <c r="D25" i="49"/>
  <c r="D25" i="57"/>
  <c r="D25" i="56"/>
  <c r="D25" i="48"/>
  <c r="C32" i="116"/>
  <c r="C31" i="116"/>
  <c r="C32" i="117"/>
  <c r="C31" i="117"/>
  <c r="C32" i="115"/>
  <c r="C31" i="115"/>
  <c r="C32" i="114"/>
  <c r="C31" i="114"/>
  <c r="C32" i="113"/>
  <c r="C31" i="113"/>
  <c r="C32" i="112"/>
  <c r="C31" i="112"/>
  <c r="C32" i="104" l="1"/>
  <c r="D32" i="104" s="1"/>
  <c r="H32" i="104" s="1"/>
  <c r="I32" i="104" s="1"/>
  <c r="C32" i="56"/>
  <c r="D32" i="56" s="1"/>
  <c r="H32" i="56" s="1"/>
  <c r="I32" i="56" s="1"/>
  <c r="C32" i="54"/>
  <c r="D32" i="54" s="1"/>
  <c r="H32" i="54" s="1"/>
  <c r="I32" i="54" s="1"/>
  <c r="C24" i="68"/>
  <c r="D24" i="68" s="1"/>
  <c r="H24" i="68" s="1"/>
  <c r="I24" i="68" s="1"/>
  <c r="C24" i="70"/>
  <c r="D24" i="70" s="1"/>
  <c r="H24" i="70" s="1"/>
  <c r="I24" i="70" s="1"/>
  <c r="C24" i="69"/>
  <c r="C31" i="47"/>
  <c r="D31" i="47" s="1"/>
  <c r="C31" i="4"/>
  <c r="D31" i="4" s="1"/>
  <c r="C31" i="46"/>
  <c r="D31" i="46" s="1"/>
  <c r="C31" i="53"/>
  <c r="D31" i="53" s="1"/>
  <c r="C31" i="51"/>
  <c r="D31" i="51" s="1"/>
  <c r="C31" i="52"/>
  <c r="D31" i="52" s="1"/>
  <c r="C31" i="59"/>
  <c r="D31" i="59" s="1"/>
  <c r="C31" i="58"/>
  <c r="D31" i="58" s="1"/>
  <c r="C31" i="57"/>
  <c r="D31" i="57" s="1"/>
  <c r="C23" i="63"/>
  <c r="C23" i="64"/>
  <c r="D23" i="64" s="1"/>
  <c r="C23" i="25"/>
  <c r="D23" i="25" s="1"/>
  <c r="C24" i="71"/>
  <c r="C24" i="5"/>
  <c r="D24" i="5" s="1"/>
  <c r="C24" i="72"/>
  <c r="D24" i="72" s="1"/>
  <c r="C24" i="76"/>
  <c r="D24" i="76" s="1"/>
  <c r="C24" i="78"/>
  <c r="D24" i="78" s="1"/>
  <c r="C24" i="77"/>
  <c r="C32" i="46"/>
  <c r="D32" i="46" s="1"/>
  <c r="H32" i="46" s="1"/>
  <c r="I32" i="46" s="1"/>
  <c r="C32" i="4"/>
  <c r="D32" i="4" s="1"/>
  <c r="H32" i="4" s="1"/>
  <c r="I32" i="4" s="1"/>
  <c r="C32" i="47"/>
  <c r="D32" i="47" s="1"/>
  <c r="H32" i="47" s="1"/>
  <c r="I32" i="47" s="1"/>
  <c r="C32" i="53"/>
  <c r="D32" i="53" s="1"/>
  <c r="H32" i="53" s="1"/>
  <c r="I32" i="53" s="1"/>
  <c r="C32" i="51"/>
  <c r="D32" i="51" s="1"/>
  <c r="H32" i="51" s="1"/>
  <c r="I32" i="51" s="1"/>
  <c r="C32" i="52"/>
  <c r="D32" i="52" s="1"/>
  <c r="H32" i="52" s="1"/>
  <c r="I32" i="52" s="1"/>
  <c r="C32" i="57"/>
  <c r="D32" i="57" s="1"/>
  <c r="H32" i="57" s="1"/>
  <c r="I32" i="57" s="1"/>
  <c r="C32" i="59"/>
  <c r="D32" i="59" s="1"/>
  <c r="H32" i="59" s="1"/>
  <c r="I32" i="59" s="1"/>
  <c r="C32" i="58"/>
  <c r="D32" i="58" s="1"/>
  <c r="H32" i="58" s="1"/>
  <c r="I32" i="58" s="1"/>
  <c r="C24" i="63"/>
  <c r="C24" i="25"/>
  <c r="D24" i="25" s="1"/>
  <c r="H24" i="25" s="1"/>
  <c r="I24" i="25" s="1"/>
  <c r="C24" i="64"/>
  <c r="D24" i="64" s="1"/>
  <c r="H24" i="64" s="1"/>
  <c r="I24" i="64" s="1"/>
  <c r="C25" i="5"/>
  <c r="D25" i="5" s="1"/>
  <c r="H25" i="5" s="1"/>
  <c r="I25" i="5" s="1"/>
  <c r="C25" i="71"/>
  <c r="C25" i="72"/>
  <c r="D25" i="72" s="1"/>
  <c r="H25" i="72" s="1"/>
  <c r="I25" i="72" s="1"/>
  <c r="C25" i="77"/>
  <c r="C25" i="76"/>
  <c r="D25" i="76" s="1"/>
  <c r="H25" i="76" s="1"/>
  <c r="I25" i="76" s="1"/>
  <c r="C25" i="78"/>
  <c r="D25" i="78" s="1"/>
  <c r="H25" i="78" s="1"/>
  <c r="I25" i="78" s="1"/>
  <c r="D29" i="48"/>
  <c r="D30" i="48"/>
  <c r="D29" i="62"/>
  <c r="D30" i="62"/>
  <c r="D29" i="60"/>
  <c r="D30" i="60"/>
  <c r="D22" i="67"/>
  <c r="D30" i="47"/>
  <c r="D29" i="47"/>
  <c r="D30" i="58"/>
  <c r="D29" i="58"/>
  <c r="D22" i="68"/>
  <c r="D30" i="61"/>
  <c r="D29" i="61"/>
  <c r="D29" i="52"/>
  <c r="D30" i="52"/>
  <c r="D22" i="25"/>
  <c r="C31" i="48"/>
  <c r="D31" i="48" s="1"/>
  <c r="C31" i="50"/>
  <c r="D31" i="50" s="1"/>
  <c r="C31" i="49"/>
  <c r="D31" i="49" s="1"/>
  <c r="C31" i="104"/>
  <c r="D31" i="104" s="1"/>
  <c r="C31" i="54"/>
  <c r="D31" i="54" s="1"/>
  <c r="C31" i="56"/>
  <c r="D31" i="56" s="1"/>
  <c r="C31" i="61"/>
  <c r="D31" i="61" s="1"/>
  <c r="C31" i="60"/>
  <c r="D31" i="60" s="1"/>
  <c r="C31" i="62"/>
  <c r="D31" i="62" s="1"/>
  <c r="C23" i="68"/>
  <c r="D23" i="68" s="1"/>
  <c r="C23" i="70"/>
  <c r="D23" i="70" s="1"/>
  <c r="C23" i="69"/>
  <c r="C24" i="73"/>
  <c r="D24" i="73" s="1"/>
  <c r="C24" i="74"/>
  <c r="C24" i="75"/>
  <c r="D24" i="75" s="1"/>
  <c r="C22" i="80"/>
  <c r="C22" i="79"/>
  <c r="D22" i="79" s="1"/>
  <c r="C22" i="81"/>
  <c r="D22" i="81" s="1"/>
  <c r="C32" i="49"/>
  <c r="D32" i="49" s="1"/>
  <c r="H32" i="49" s="1"/>
  <c r="I32" i="49" s="1"/>
  <c r="C32" i="50"/>
  <c r="D32" i="50" s="1"/>
  <c r="H32" i="50" s="1"/>
  <c r="I32" i="50" s="1"/>
  <c r="C32" i="48"/>
  <c r="D32" i="48" s="1"/>
  <c r="H32" i="48" s="1"/>
  <c r="I32" i="48" s="1"/>
  <c r="C32" i="62"/>
  <c r="D32" i="62" s="1"/>
  <c r="H32" i="62" s="1"/>
  <c r="I32" i="62" s="1"/>
  <c r="C32" i="61"/>
  <c r="D32" i="61" s="1"/>
  <c r="H32" i="61" s="1"/>
  <c r="I32" i="61" s="1"/>
  <c r="C32" i="60"/>
  <c r="D32" i="60" s="1"/>
  <c r="H32" i="60" s="1"/>
  <c r="I32" i="60" s="1"/>
  <c r="C25" i="75"/>
  <c r="D25" i="75" s="1"/>
  <c r="H25" i="75" s="1"/>
  <c r="I25" i="75" s="1"/>
  <c r="C25" i="74"/>
  <c r="C25" i="73"/>
  <c r="D25" i="73" s="1"/>
  <c r="H25" i="73" s="1"/>
  <c r="I25" i="73" s="1"/>
  <c r="C23" i="79"/>
  <c r="D23" i="79" s="1"/>
  <c r="H23" i="79" s="1"/>
  <c r="I23" i="79" s="1"/>
  <c r="C23" i="80"/>
  <c r="C23" i="81"/>
  <c r="D23" i="81" s="1"/>
  <c r="H23" i="81" s="1"/>
  <c r="I23" i="81" s="1"/>
  <c r="D29" i="56"/>
  <c r="D30" i="56"/>
  <c r="D30" i="57"/>
  <c r="D29" i="57"/>
  <c r="D22" i="70"/>
  <c r="D30" i="49"/>
  <c r="D29" i="49"/>
  <c r="D22" i="64"/>
  <c r="D30" i="54"/>
  <c r="D29" i="54"/>
  <c r="D29" i="53"/>
  <c r="D30" i="53"/>
  <c r="D22" i="65"/>
  <c r="D29" i="104"/>
  <c r="D30" i="104"/>
  <c r="D29" i="51"/>
  <c r="D30" i="51"/>
  <c r="D30" i="50"/>
  <c r="D29" i="50"/>
  <c r="D30" i="46"/>
  <c r="D29" i="46"/>
  <c r="D29" i="59"/>
  <c r="D30" i="59"/>
  <c r="D30" i="4"/>
  <c r="D29" i="4"/>
  <c r="D24" i="81" l="1"/>
  <c r="H22" i="81"/>
  <c r="I22" i="81" s="1"/>
  <c r="D33" i="61"/>
  <c r="D34" i="61" s="1"/>
  <c r="H31" i="61"/>
  <c r="I31" i="61" s="1"/>
  <c r="D26" i="5"/>
  <c r="D27" i="5" s="1"/>
  <c r="H24" i="5"/>
  <c r="I24" i="5" s="1"/>
  <c r="D33" i="57"/>
  <c r="D34" i="57" s="1"/>
  <c r="H31" i="57"/>
  <c r="I31" i="57" s="1"/>
  <c r="D24" i="79"/>
  <c r="H22" i="79"/>
  <c r="I22" i="79" s="1"/>
  <c r="D26" i="75"/>
  <c r="D27" i="75" s="1"/>
  <c r="H24" i="75"/>
  <c r="I24" i="75" s="1"/>
  <c r="D33" i="54"/>
  <c r="D35" i="54" s="1"/>
  <c r="H31" i="54"/>
  <c r="I31" i="54" s="1"/>
  <c r="D33" i="48"/>
  <c r="H31" i="48"/>
  <c r="I31" i="48" s="1"/>
  <c r="D25" i="64"/>
  <c r="H25" i="64" s="1"/>
  <c r="I25" i="64" s="1"/>
  <c r="H23" i="64"/>
  <c r="I23" i="64" s="1"/>
  <c r="D33" i="58"/>
  <c r="D34" i="58" s="1"/>
  <c r="H31" i="58"/>
  <c r="I31" i="58" s="1"/>
  <c r="D33" i="52"/>
  <c r="D34" i="52" s="1"/>
  <c r="H31" i="52"/>
  <c r="I31" i="52" s="1"/>
  <c r="D33" i="46"/>
  <c r="D35" i="46" s="1"/>
  <c r="H31" i="46"/>
  <c r="I31" i="46" s="1"/>
  <c r="D33" i="50"/>
  <c r="D34" i="50" s="1"/>
  <c r="H31" i="50"/>
  <c r="I31" i="50" s="1"/>
  <c r="D33" i="62"/>
  <c r="D34" i="62" s="1"/>
  <c r="H31" i="62"/>
  <c r="I31" i="62" s="1"/>
  <c r="D33" i="104"/>
  <c r="D34" i="104" s="1"/>
  <c r="H31" i="104"/>
  <c r="I31" i="104" s="1"/>
  <c r="D33" i="59"/>
  <c r="D34" i="59" s="1"/>
  <c r="H31" i="59"/>
  <c r="I31" i="59" s="1"/>
  <c r="D33" i="51"/>
  <c r="D34" i="51" s="1"/>
  <c r="H31" i="51"/>
  <c r="I31" i="51" s="1"/>
  <c r="D33" i="4"/>
  <c r="D35" i="4" s="1"/>
  <c r="H31" i="4"/>
  <c r="I31" i="4" s="1"/>
  <c r="D25" i="68"/>
  <c r="H25" i="68" s="1"/>
  <c r="I25" i="68" s="1"/>
  <c r="H23" i="68"/>
  <c r="I23" i="68" s="1"/>
  <c r="D26" i="76"/>
  <c r="D27" i="76" s="1"/>
  <c r="H24" i="76"/>
  <c r="I24" i="76" s="1"/>
  <c r="D25" i="25"/>
  <c r="H25" i="25" s="1"/>
  <c r="I25" i="25" s="1"/>
  <c r="H23" i="25"/>
  <c r="I23" i="25" s="1"/>
  <c r="D26" i="73"/>
  <c r="D27" i="73" s="1"/>
  <c r="H24" i="73"/>
  <c r="I24" i="73" s="1"/>
  <c r="D25" i="70"/>
  <c r="H25" i="70" s="1"/>
  <c r="I25" i="70" s="1"/>
  <c r="H23" i="70"/>
  <c r="I23" i="70" s="1"/>
  <c r="D33" i="60"/>
  <c r="D35" i="60" s="1"/>
  <c r="H31" i="60"/>
  <c r="I31" i="60" s="1"/>
  <c r="D33" i="56"/>
  <c r="D35" i="56" s="1"/>
  <c r="H31" i="56"/>
  <c r="I31" i="56" s="1"/>
  <c r="D33" i="49"/>
  <c r="D34" i="49" s="1"/>
  <c r="H31" i="49"/>
  <c r="I31" i="49" s="1"/>
  <c r="D26" i="78"/>
  <c r="D27" i="78" s="1"/>
  <c r="H24" i="78"/>
  <c r="I24" i="78" s="1"/>
  <c r="D26" i="72"/>
  <c r="D27" i="72" s="1"/>
  <c r="H24" i="72"/>
  <c r="I24" i="72" s="1"/>
  <c r="D33" i="53"/>
  <c r="D35" i="53" s="1"/>
  <c r="H31" i="53"/>
  <c r="I31" i="53" s="1"/>
  <c r="D33" i="47"/>
  <c r="H31" i="47"/>
  <c r="I31" i="47" s="1"/>
  <c r="D34" i="4" l="1"/>
  <c r="D34" i="60"/>
  <c r="D26" i="25"/>
  <c r="D35" i="61"/>
  <c r="D35" i="62"/>
  <c r="D34" i="46"/>
  <c r="D33" i="68"/>
  <c r="D36" i="68" s="1"/>
  <c r="D35" i="58"/>
  <c r="D35" i="57"/>
  <c r="D35" i="59"/>
  <c r="H26" i="78"/>
  <c r="I26" i="78" s="1"/>
  <c r="D34" i="78"/>
  <c r="D37" i="78" s="1"/>
  <c r="D33" i="64"/>
  <c r="D36" i="64" s="1"/>
  <c r="H33" i="56"/>
  <c r="I33" i="56" s="1"/>
  <c r="D42" i="56"/>
  <c r="D45" i="56" s="1"/>
  <c r="D47" i="56"/>
  <c r="D50" i="56" s="1"/>
  <c r="D26" i="68"/>
  <c r="H26" i="5"/>
  <c r="I26" i="5" s="1"/>
  <c r="D34" i="5"/>
  <c r="D37" i="5" s="1"/>
  <c r="H24" i="81"/>
  <c r="I24" i="81" s="1"/>
  <c r="D32" i="81"/>
  <c r="D35" i="81" s="1"/>
  <c r="D25" i="81"/>
  <c r="H33" i="52"/>
  <c r="I33" i="52" s="1"/>
  <c r="D47" i="52"/>
  <c r="D50" i="52" s="1"/>
  <c r="D42" i="52"/>
  <c r="D45" i="52" s="1"/>
  <c r="H33" i="48"/>
  <c r="I33" i="48" s="1"/>
  <c r="D42" i="48"/>
  <c r="D45" i="48" s="1"/>
  <c r="D47" i="48"/>
  <c r="D50" i="48" s="1"/>
  <c r="H26" i="75"/>
  <c r="I26" i="75" s="1"/>
  <c r="D34" i="75"/>
  <c r="D37" i="75" s="1"/>
  <c r="H33" i="47"/>
  <c r="I33" i="47" s="1"/>
  <c r="D47" i="47"/>
  <c r="D50" i="47" s="1"/>
  <c r="D42" i="47"/>
  <c r="D45" i="47" s="1"/>
  <c r="H26" i="72"/>
  <c r="I26" i="72" s="1"/>
  <c r="D34" i="72"/>
  <c r="D37" i="72" s="1"/>
  <c r="D35" i="48"/>
  <c r="D34" i="53"/>
  <c r="H33" i="4"/>
  <c r="I33" i="4" s="1"/>
  <c r="D42" i="4"/>
  <c r="D45" i="4" s="1"/>
  <c r="D47" i="4"/>
  <c r="D50" i="4" s="1"/>
  <c r="H33" i="59"/>
  <c r="I33" i="59" s="1"/>
  <c r="D42" i="59"/>
  <c r="D45" i="59" s="1"/>
  <c r="D47" i="59"/>
  <c r="D50" i="59" s="1"/>
  <c r="H33" i="104"/>
  <c r="I33" i="104" s="1"/>
  <c r="D47" i="104"/>
  <c r="D50" i="104" s="1"/>
  <c r="D42" i="104"/>
  <c r="D45" i="104" s="1"/>
  <c r="H33" i="62"/>
  <c r="I33" i="62" s="1"/>
  <c r="D47" i="62"/>
  <c r="D50" i="62" s="1"/>
  <c r="D42" i="62"/>
  <c r="D45" i="62" s="1"/>
  <c r="D34" i="56"/>
  <c r="H33" i="50"/>
  <c r="I33" i="50" s="1"/>
  <c r="D47" i="50"/>
  <c r="D50" i="50" s="1"/>
  <c r="D42" i="50"/>
  <c r="D45" i="50" s="1"/>
  <c r="H33" i="46"/>
  <c r="I33" i="46" s="1"/>
  <c r="D47" i="46"/>
  <c r="D50" i="46" s="1"/>
  <c r="D42" i="46"/>
  <c r="D45" i="46" s="1"/>
  <c r="H33" i="58"/>
  <c r="I33" i="58" s="1"/>
  <c r="D47" i="58"/>
  <c r="D50" i="58" s="1"/>
  <c r="D42" i="58"/>
  <c r="D45" i="58" s="1"/>
  <c r="D34" i="48"/>
  <c r="D34" i="47"/>
  <c r="H33" i="54"/>
  <c r="I33" i="54" s="1"/>
  <c r="D47" i="54"/>
  <c r="D50" i="54" s="1"/>
  <c r="D42" i="54"/>
  <c r="D45" i="54" s="1"/>
  <c r="H24" i="79"/>
  <c r="I24" i="79" s="1"/>
  <c r="D25" i="79"/>
  <c r="D32" i="79"/>
  <c r="D35" i="79" s="1"/>
  <c r="D34" i="54"/>
  <c r="D33" i="70"/>
  <c r="D36" i="70" s="1"/>
  <c r="H33" i="53"/>
  <c r="I33" i="53" s="1"/>
  <c r="D47" i="53"/>
  <c r="D50" i="53" s="1"/>
  <c r="D42" i="53"/>
  <c r="D45" i="53" s="1"/>
  <c r="H33" i="51"/>
  <c r="I33" i="51" s="1"/>
  <c r="D42" i="51"/>
  <c r="D45" i="51" s="1"/>
  <c r="D47" i="51"/>
  <c r="D50" i="51" s="1"/>
  <c r="D35" i="51"/>
  <c r="D33" i="25"/>
  <c r="D36" i="25" s="1"/>
  <c r="H33" i="49"/>
  <c r="I33" i="49" s="1"/>
  <c r="D42" i="49"/>
  <c r="D45" i="49" s="1"/>
  <c r="D47" i="49"/>
  <c r="D50" i="49" s="1"/>
  <c r="H33" i="60"/>
  <c r="I33" i="60" s="1"/>
  <c r="D47" i="60"/>
  <c r="D50" i="60" s="1"/>
  <c r="D42" i="60"/>
  <c r="D45" i="60" s="1"/>
  <c r="H26" i="73"/>
  <c r="I26" i="73" s="1"/>
  <c r="D34" i="73"/>
  <c r="D37" i="73" s="1"/>
  <c r="H26" i="76"/>
  <c r="I26" i="76" s="1"/>
  <c r="D34" i="76"/>
  <c r="D37" i="76" s="1"/>
  <c r="D35" i="49"/>
  <c r="D35" i="47"/>
  <c r="D35" i="52"/>
  <c r="D35" i="104"/>
  <c r="D26" i="64"/>
  <c r="D35" i="50"/>
  <c r="H33" i="57"/>
  <c r="I33" i="57" s="1"/>
  <c r="D47" i="57"/>
  <c r="D50" i="57" s="1"/>
  <c r="D42" i="57"/>
  <c r="D45" i="57" s="1"/>
  <c r="H33" i="61"/>
  <c r="I33" i="61" s="1"/>
  <c r="D42" i="61"/>
  <c r="D45" i="61" s="1"/>
  <c r="D47" i="61"/>
  <c r="D50" i="61" s="1"/>
  <c r="D26" i="70"/>
  <c r="D34" i="68" l="1"/>
  <c r="D35" i="68" s="1"/>
  <c r="D48" i="61"/>
  <c r="D48" i="60"/>
  <c r="D33" i="81"/>
  <c r="D35" i="73"/>
  <c r="D34" i="25"/>
  <c r="D43" i="51"/>
  <c r="D43" i="53"/>
  <c r="D33" i="79"/>
  <c r="D48" i="54"/>
  <c r="D43" i="46"/>
  <c r="D48" i="50"/>
  <c r="D48" i="4"/>
  <c r="D35" i="72"/>
  <c r="D43" i="52"/>
  <c r="D35" i="75"/>
  <c r="D43" i="57"/>
  <c r="D48" i="49"/>
  <c r="D48" i="53"/>
  <c r="D34" i="70"/>
  <c r="D43" i="58"/>
  <c r="D48" i="46"/>
  <c r="D43" i="104"/>
  <c r="D48" i="59"/>
  <c r="D43" i="4"/>
  <c r="D48" i="48"/>
  <c r="D48" i="52"/>
  <c r="D35" i="5"/>
  <c r="D48" i="56"/>
  <c r="D34" i="64"/>
  <c r="D35" i="78"/>
  <c r="D35" i="76"/>
  <c r="D36" i="76" s="1"/>
  <c r="D48" i="51"/>
  <c r="D43" i="54"/>
  <c r="D43" i="50"/>
  <c r="D48" i="62"/>
  <c r="D48" i="47"/>
  <c r="D43" i="61"/>
  <c r="D48" i="57"/>
  <c r="D43" i="60"/>
  <c r="D43" i="49"/>
  <c r="D48" i="58"/>
  <c r="D43" i="62"/>
  <c r="D48" i="104"/>
  <c r="D43" i="59"/>
  <c r="D43" i="47"/>
  <c r="D43" i="48"/>
  <c r="D43" i="56"/>
  <c r="D49" i="47" l="1"/>
  <c r="D44" i="49"/>
  <c r="D44" i="54"/>
  <c r="D49" i="54"/>
  <c r="D44" i="48"/>
  <c r="D49" i="48"/>
  <c r="D36" i="5"/>
  <c r="D36" i="72"/>
  <c r="D44" i="62"/>
  <c r="D35" i="70"/>
  <c r="D49" i="49"/>
  <c r="D49" i="4"/>
  <c r="D44" i="46"/>
  <c r="D44" i="56"/>
  <c r="D44" i="47"/>
  <c r="D49" i="56"/>
  <c r="D44" i="4"/>
  <c r="D44" i="57"/>
  <c r="D44" i="59"/>
  <c r="D49" i="58"/>
  <c r="D49" i="57"/>
  <c r="D44" i="50"/>
  <c r="D49" i="46"/>
  <c r="D34" i="79"/>
  <c r="D49" i="53"/>
  <c r="D44" i="53"/>
  <c r="D35" i="25"/>
  <c r="D44" i="52"/>
  <c r="D35" i="64"/>
  <c r="D44" i="104"/>
  <c r="D34" i="81"/>
  <c r="D49" i="60"/>
  <c r="D49" i="61"/>
  <c r="D44" i="60"/>
  <c r="D49" i="51"/>
  <c r="D49" i="104"/>
  <c r="D44" i="61"/>
  <c r="D49" i="62"/>
  <c r="D36" i="78"/>
  <c r="D49" i="52"/>
  <c r="D49" i="59"/>
  <c r="D44" i="58"/>
  <c r="D37" i="68"/>
  <c r="D36" i="75"/>
  <c r="D49" i="50"/>
  <c r="D44" i="51"/>
  <c r="D36" i="73"/>
  <c r="D38" i="72" l="1"/>
  <c r="E28" i="7" s="1"/>
  <c r="D51" i="56"/>
  <c r="E17" i="7" s="1"/>
  <c r="D46" i="48"/>
  <c r="D51" i="49"/>
  <c r="E7" i="7" s="1"/>
  <c r="D46" i="4"/>
  <c r="D46" i="56"/>
  <c r="D51" i="58"/>
  <c r="E19" i="7" s="1"/>
  <c r="D46" i="50"/>
  <c r="D51" i="54"/>
  <c r="D51" i="48"/>
  <c r="E6" i="7" s="1"/>
  <c r="D38" i="76"/>
  <c r="E41" i="7" s="1"/>
  <c r="D46" i="47"/>
  <c r="D36" i="79"/>
  <c r="D51" i="57"/>
  <c r="D46" i="46"/>
  <c r="D38" i="5"/>
  <c r="E38" i="7"/>
  <c r="D37" i="70"/>
  <c r="D51" i="47"/>
  <c r="D46" i="49"/>
  <c r="D51" i="46" l="1"/>
  <c r="E3" i="7" s="1"/>
  <c r="D46" i="54"/>
  <c r="D51" i="4"/>
  <c r="E2" i="7" s="1"/>
  <c r="D46" i="57"/>
  <c r="E14" i="7"/>
  <c r="D51" i="61"/>
  <c r="E23" i="7" s="1"/>
  <c r="D36" i="81"/>
  <c r="E46" i="7" s="1"/>
  <c r="D38" i="75"/>
  <c r="E31" i="7" s="1"/>
  <c r="E44" i="7"/>
  <c r="D46" i="60"/>
  <c r="D46" i="52"/>
  <c r="D46" i="58"/>
  <c r="D51" i="52"/>
  <c r="D51" i="104"/>
  <c r="D38" i="78"/>
  <c r="D38" i="73"/>
  <c r="D51" i="60"/>
  <c r="D51" i="51"/>
  <c r="D46" i="53"/>
  <c r="D46" i="104"/>
  <c r="E26" i="7"/>
  <c r="E18" i="7"/>
  <c r="D37" i="25"/>
  <c r="E5" i="7"/>
  <c r="E40" i="7"/>
  <c r="D51" i="50"/>
  <c r="D46" i="61"/>
  <c r="D46" i="51"/>
  <c r="D51" i="53"/>
  <c r="D37" i="64"/>
  <c r="E10" i="7" l="1"/>
  <c r="E29" i="7"/>
  <c r="E11" i="7"/>
  <c r="E13" i="7"/>
  <c r="E9" i="7"/>
  <c r="D51" i="62"/>
  <c r="E15" i="7"/>
  <c r="E34" i="7"/>
  <c r="E32" i="7"/>
  <c r="E43" i="7"/>
  <c r="D46" i="59"/>
  <c r="E22" i="7"/>
  <c r="D46" i="62"/>
  <c r="D51" i="59"/>
  <c r="E25" i="7" l="1"/>
  <c r="E21" i="7"/>
  <c r="C24" i="65" l="1"/>
  <c r="D24" i="65" s="1"/>
  <c r="H24" i="65" s="1"/>
  <c r="I24" i="65" s="1"/>
  <c r="C24" i="67"/>
  <c r="D24" i="67" s="1"/>
  <c r="H24" i="67" s="1"/>
  <c r="I24" i="67" s="1"/>
  <c r="C24" i="66"/>
  <c r="C23" i="66"/>
  <c r="C23" i="65"/>
  <c r="D23" i="65" s="1"/>
  <c r="C23" i="67"/>
  <c r="D23" i="67" s="1"/>
  <c r="D25" i="67" l="1"/>
  <c r="H23" i="67"/>
  <c r="I23" i="67" s="1"/>
  <c r="D25" i="65"/>
  <c r="H23" i="65"/>
  <c r="I23" i="65" s="1"/>
  <c r="H25" i="65" l="1"/>
  <c r="I25" i="65" s="1"/>
  <c r="D33" i="65"/>
  <c r="D36" i="65" s="1"/>
  <c r="D26" i="65"/>
  <c r="H25" i="67"/>
  <c r="I25" i="67" s="1"/>
  <c r="D26" i="67"/>
  <c r="D33" i="67"/>
  <c r="D36" i="67" s="1"/>
  <c r="D34" i="67" l="1"/>
  <c r="D34" i="65"/>
  <c r="D35" i="67" l="1"/>
  <c r="D35" i="65"/>
  <c r="D37" i="65" l="1"/>
  <c r="E35" i="7" s="1"/>
  <c r="D37" i="67"/>
  <c r="E37" i="7" l="1"/>
  <c r="F19" i="81" l="1"/>
  <c r="G19" i="81" s="1"/>
  <c r="F19" i="80"/>
  <c r="F19" i="79"/>
  <c r="G19" i="79" s="1"/>
  <c r="H19" i="79" l="1"/>
  <c r="I19" i="79" s="1"/>
  <c r="H19" i="81"/>
  <c r="I19" i="81" s="1"/>
  <c r="F19" i="66" l="1"/>
  <c r="F19" i="67"/>
  <c r="G19" i="67" s="1"/>
  <c r="F19" i="65"/>
  <c r="G19" i="65" s="1"/>
  <c r="F20" i="80"/>
  <c r="F20" i="81"/>
  <c r="G20" i="81" s="1"/>
  <c r="H20" i="81" s="1"/>
  <c r="I20" i="81" s="1"/>
  <c r="F20" i="79"/>
  <c r="G20" i="79" s="1"/>
  <c r="H20" i="79" s="1"/>
  <c r="I20" i="79" s="1"/>
  <c r="F19" i="63"/>
  <c r="F19" i="64"/>
  <c r="G19" i="64" s="1"/>
  <c r="F19" i="25"/>
  <c r="G19" i="25" s="1"/>
  <c r="F19" i="69"/>
  <c r="F19" i="70"/>
  <c r="G19" i="70" s="1"/>
  <c r="H19" i="70" s="1"/>
  <c r="I19" i="70" s="1"/>
  <c r="F19" i="68"/>
  <c r="G19" i="68" s="1"/>
  <c r="H19" i="68" s="1"/>
  <c r="I19" i="68" s="1"/>
  <c r="H19" i="67" l="1"/>
  <c r="I19" i="67" s="1"/>
  <c r="H19" i="64"/>
  <c r="I19" i="64" s="1"/>
  <c r="H19" i="65"/>
  <c r="I19" i="65" s="1"/>
  <c r="H19" i="25"/>
  <c r="I19" i="25" s="1"/>
  <c r="F24" i="115"/>
  <c r="F16" i="63"/>
  <c r="G16" i="63" s="1"/>
  <c r="F18" i="64"/>
  <c r="G18" i="64" s="1"/>
  <c r="F16" i="65"/>
  <c r="G16" i="65" s="1"/>
  <c r="H16" i="65" s="1"/>
  <c r="I16" i="65" s="1"/>
  <c r="F16" i="69"/>
  <c r="G16" i="69" s="1"/>
  <c r="F18" i="68"/>
  <c r="G18" i="68" s="1"/>
  <c r="H18" i="68" s="1"/>
  <c r="I18" i="68" s="1"/>
  <c r="F19" i="74"/>
  <c r="G19" i="74" s="1"/>
  <c r="F21" i="73"/>
  <c r="G21" i="73" s="1"/>
  <c r="F19" i="77"/>
  <c r="G19" i="77" s="1"/>
  <c r="F17" i="79"/>
  <c r="G17" i="79" s="1"/>
  <c r="F24" i="4" l="1"/>
  <c r="G24" i="4" s="1"/>
  <c r="H24" i="4" s="1"/>
  <c r="I24" i="4" s="1"/>
  <c r="F22" i="117"/>
  <c r="G22" i="117" s="1"/>
  <c r="F22" i="47"/>
  <c r="G22" i="47" s="1"/>
  <c r="H22" i="47" s="1"/>
  <c r="I22" i="47" s="1"/>
  <c r="F22" i="112"/>
  <c r="G22" i="112" s="1"/>
  <c r="F22" i="61"/>
  <c r="G22" i="61" s="1"/>
  <c r="H22" i="61" s="1"/>
  <c r="I22" i="61" s="1"/>
  <c r="F22" i="116"/>
  <c r="G22" i="116" s="1"/>
  <c r="F22" i="56"/>
  <c r="G22" i="56" s="1"/>
  <c r="H22" i="56" s="1"/>
  <c r="I22" i="56" s="1"/>
  <c r="F22" i="115"/>
  <c r="G22" i="115" s="1"/>
  <c r="F22" i="113"/>
  <c r="G22" i="113" s="1"/>
  <c r="F22" i="53"/>
  <c r="G22" i="53" s="1"/>
  <c r="H22" i="53" s="1"/>
  <c r="I22" i="53" s="1"/>
  <c r="F22" i="114"/>
  <c r="G22" i="114" s="1"/>
  <c r="F24" i="116"/>
  <c r="F24" i="113"/>
  <c r="F24" i="117"/>
  <c r="F24" i="53"/>
  <c r="G24" i="53" s="1"/>
  <c r="H24" i="53" s="1"/>
  <c r="I24" i="53" s="1"/>
  <c r="F24" i="114"/>
  <c r="F24" i="47"/>
  <c r="G24" i="47" s="1"/>
  <c r="H24" i="47" s="1"/>
  <c r="I24" i="47" s="1"/>
  <c r="F24" i="112"/>
  <c r="F18" i="70"/>
  <c r="G18" i="70" s="1"/>
  <c r="H18" i="70" s="1"/>
  <c r="I18" i="70" s="1"/>
  <c r="F19" i="73"/>
  <c r="G19" i="73" s="1"/>
  <c r="F16" i="67"/>
  <c r="G16" i="67" s="1"/>
  <c r="F22" i="58"/>
  <c r="G22" i="58" s="1"/>
  <c r="H22" i="58" s="1"/>
  <c r="I22" i="58" s="1"/>
  <c r="F18" i="69"/>
  <c r="F22" i="46"/>
  <c r="G22" i="46" s="1"/>
  <c r="H22" i="46" s="1"/>
  <c r="I22" i="46" s="1"/>
  <c r="F16" i="66"/>
  <c r="G16" i="66" s="1"/>
  <c r="H16" i="66" s="1"/>
  <c r="I16" i="66" s="1"/>
  <c r="F22" i="62"/>
  <c r="G22" i="62" s="1"/>
  <c r="H22" i="62" s="1"/>
  <c r="I22" i="62" s="1"/>
  <c r="F22" i="4"/>
  <c r="G22" i="4" s="1"/>
  <c r="H17" i="79"/>
  <c r="I17" i="79" s="1"/>
  <c r="H16" i="63"/>
  <c r="I16" i="63" s="1"/>
  <c r="H19" i="77"/>
  <c r="I19" i="77" s="1"/>
  <c r="F19" i="76"/>
  <c r="G19" i="76" s="1"/>
  <c r="F19" i="78"/>
  <c r="G19" i="78" s="1"/>
  <c r="H21" i="73"/>
  <c r="I21" i="73" s="1"/>
  <c r="H19" i="74"/>
  <c r="I19" i="74" s="1"/>
  <c r="H18" i="64"/>
  <c r="I18" i="64" s="1"/>
  <c r="F17" i="81"/>
  <c r="G17" i="81" s="1"/>
  <c r="F17" i="80"/>
  <c r="G17" i="80" s="1"/>
  <c r="H16" i="69"/>
  <c r="I16" i="69" s="1"/>
  <c r="F21" i="71"/>
  <c r="F21" i="72"/>
  <c r="G21" i="72" s="1"/>
  <c r="F18" i="66"/>
  <c r="F18" i="67"/>
  <c r="G18" i="67" s="1"/>
  <c r="F18" i="65"/>
  <c r="G18" i="65" s="1"/>
  <c r="F24" i="60"/>
  <c r="G24" i="60" s="1"/>
  <c r="F24" i="61"/>
  <c r="G24" i="61" s="1"/>
  <c r="F24" i="56"/>
  <c r="G24" i="56" s="1"/>
  <c r="F24" i="54"/>
  <c r="G24" i="54" s="1"/>
  <c r="F24" i="104"/>
  <c r="G24" i="104" s="1"/>
  <c r="F24" i="49"/>
  <c r="G24" i="49" s="1"/>
  <c r="F24" i="50"/>
  <c r="G24" i="50" s="1"/>
  <c r="F24" i="48"/>
  <c r="G24" i="48" s="1"/>
  <c r="F24" i="46"/>
  <c r="G24" i="46" s="1"/>
  <c r="F18" i="25"/>
  <c r="G18" i="25" s="1"/>
  <c r="F18" i="63"/>
  <c r="F21" i="5"/>
  <c r="G21" i="5" s="1"/>
  <c r="F24" i="59"/>
  <c r="G24" i="59" s="1"/>
  <c r="F24" i="58"/>
  <c r="G24" i="58" s="1"/>
  <c r="F24" i="51"/>
  <c r="G24" i="51" s="1"/>
  <c r="F24" i="52"/>
  <c r="G24" i="52" s="1"/>
  <c r="F24" i="62"/>
  <c r="G24" i="62" s="1"/>
  <c r="F21" i="75"/>
  <c r="G21" i="75" s="1"/>
  <c r="F21" i="74"/>
  <c r="F24" i="57"/>
  <c r="G24" i="57" s="1"/>
  <c r="F21" i="77"/>
  <c r="F21" i="78"/>
  <c r="G21" i="78" s="1"/>
  <c r="F21" i="76"/>
  <c r="G21" i="76" s="1"/>
  <c r="F22" i="59"/>
  <c r="G22" i="59" s="1"/>
  <c r="F22" i="57"/>
  <c r="G22" i="57" s="1"/>
  <c r="F22" i="51"/>
  <c r="G22" i="51" s="1"/>
  <c r="F22" i="52"/>
  <c r="G22" i="52" s="1"/>
  <c r="F22" i="60"/>
  <c r="G22" i="60" s="1"/>
  <c r="F19" i="75"/>
  <c r="G19" i="75" s="1"/>
  <c r="F16" i="25"/>
  <c r="G16" i="25" s="1"/>
  <c r="F16" i="64"/>
  <c r="G16" i="64" s="1"/>
  <c r="F22" i="104"/>
  <c r="G22" i="104" s="1"/>
  <c r="F19" i="5"/>
  <c r="G19" i="5" s="1"/>
  <c r="F19" i="71"/>
  <c r="G19" i="71" s="1"/>
  <c r="F19" i="72"/>
  <c r="G19" i="72" s="1"/>
  <c r="F22" i="49"/>
  <c r="G22" i="49" s="1"/>
  <c r="F22" i="50"/>
  <c r="G22" i="50" s="1"/>
  <c r="F16" i="68"/>
  <c r="G16" i="68" s="1"/>
  <c r="F16" i="70"/>
  <c r="G16" i="70" s="1"/>
  <c r="F22" i="54"/>
  <c r="G22" i="54" s="1"/>
  <c r="F22" i="48"/>
  <c r="G22" i="48" s="1"/>
  <c r="H22" i="112" l="1"/>
  <c r="I22" i="112" s="1"/>
  <c r="H22" i="113"/>
  <c r="I22" i="113" s="1"/>
  <c r="H22" i="116"/>
  <c r="I22" i="116" s="1"/>
  <c r="H22" i="117"/>
  <c r="I22" i="117" s="1"/>
  <c r="H22" i="115"/>
  <c r="I22" i="115" s="1"/>
  <c r="H22" i="114"/>
  <c r="I22" i="114" s="1"/>
  <c r="H22" i="4"/>
  <c r="I22" i="4" s="1"/>
  <c r="H16" i="67"/>
  <c r="I16" i="67" s="1"/>
  <c r="H19" i="73"/>
  <c r="I19" i="73" s="1"/>
  <c r="H19" i="72"/>
  <c r="I19" i="72" s="1"/>
  <c r="H16" i="64"/>
  <c r="I16" i="64" s="1"/>
  <c r="H22" i="52"/>
  <c r="I22" i="52" s="1"/>
  <c r="H24" i="59"/>
  <c r="I24" i="59" s="1"/>
  <c r="H24" i="46"/>
  <c r="I24" i="46" s="1"/>
  <c r="H24" i="60"/>
  <c r="I24" i="60" s="1"/>
  <c r="H19" i="71"/>
  <c r="I19" i="71" s="1"/>
  <c r="H22" i="51"/>
  <c r="I22" i="51" s="1"/>
  <c r="H18" i="25"/>
  <c r="I18" i="25" s="1"/>
  <c r="H24" i="54"/>
  <c r="I24" i="54" s="1"/>
  <c r="H19" i="76"/>
  <c r="I19" i="76" s="1"/>
  <c r="H22" i="54"/>
  <c r="I22" i="54" s="1"/>
  <c r="H22" i="49"/>
  <c r="I22" i="49" s="1"/>
  <c r="H22" i="104"/>
  <c r="I22" i="104" s="1"/>
  <c r="H22" i="60"/>
  <c r="I22" i="60" s="1"/>
  <c r="H22" i="59"/>
  <c r="I22" i="59" s="1"/>
  <c r="H21" i="75"/>
  <c r="I21" i="75" s="1"/>
  <c r="H24" i="58"/>
  <c r="I24" i="58" s="1"/>
  <c r="H24" i="49"/>
  <c r="I24" i="49" s="1"/>
  <c r="H24" i="61"/>
  <c r="I24" i="61" s="1"/>
  <c r="H17" i="81"/>
  <c r="I17" i="81" s="1"/>
  <c r="H16" i="70"/>
  <c r="I16" i="70" s="1"/>
  <c r="H21" i="76"/>
  <c r="I21" i="76" s="1"/>
  <c r="H24" i="62"/>
  <c r="I24" i="62" s="1"/>
  <c r="H24" i="104"/>
  <c r="I24" i="104" s="1"/>
  <c r="H21" i="72"/>
  <c r="I21" i="72" s="1"/>
  <c r="H19" i="78"/>
  <c r="I19" i="78" s="1"/>
  <c r="H16" i="68"/>
  <c r="I16" i="68" s="1"/>
  <c r="H16" i="25"/>
  <c r="I16" i="25" s="1"/>
  <c r="H21" i="78"/>
  <c r="I21" i="78" s="1"/>
  <c r="H24" i="52"/>
  <c r="I24" i="52" s="1"/>
  <c r="H21" i="5"/>
  <c r="I21" i="5" s="1"/>
  <c r="H24" i="48"/>
  <c r="I24" i="48" s="1"/>
  <c r="H18" i="65"/>
  <c r="I18" i="65" s="1"/>
  <c r="H22" i="48"/>
  <c r="I22" i="48" s="1"/>
  <c r="H22" i="50"/>
  <c r="I22" i="50" s="1"/>
  <c r="H19" i="5"/>
  <c r="I19" i="5" s="1"/>
  <c r="H19" i="75"/>
  <c r="I19" i="75" s="1"/>
  <c r="H22" i="57"/>
  <c r="I22" i="57" s="1"/>
  <c r="H24" i="57"/>
  <c r="I24" i="57" s="1"/>
  <c r="H24" i="51"/>
  <c r="I24" i="51" s="1"/>
  <c r="H24" i="50"/>
  <c r="I24" i="50" s="1"/>
  <c r="H24" i="56"/>
  <c r="I24" i="56" s="1"/>
  <c r="H18" i="67"/>
  <c r="I18" i="67" s="1"/>
  <c r="H17" i="80"/>
  <c r="I17" i="80" s="1"/>
  <c r="B5" i="77" l="1"/>
  <c r="B5" i="74"/>
  <c r="B5" i="71"/>
  <c r="D42" i="7" l="1"/>
  <c r="B24" i="77"/>
  <c r="B21" i="77"/>
  <c r="B20" i="77"/>
  <c r="B25" i="77"/>
  <c r="D30" i="7"/>
  <c r="B20" i="74"/>
  <c r="B24" i="74"/>
  <c r="B25" i="74"/>
  <c r="B21" i="74"/>
  <c r="D27" i="7"/>
  <c r="B25" i="71"/>
  <c r="B20" i="71"/>
  <c r="B24" i="71"/>
  <c r="B21" i="71"/>
  <c r="B5" i="80"/>
  <c r="E21" i="74" l="1"/>
  <c r="G21" i="74" s="1"/>
  <c r="D21" i="74"/>
  <c r="E21" i="77"/>
  <c r="G21" i="77" s="1"/>
  <c r="D21" i="77"/>
  <c r="D45" i="7"/>
  <c r="B18" i="80"/>
  <c r="B19" i="80"/>
  <c r="B23" i="80"/>
  <c r="B22" i="80"/>
  <c r="E25" i="71"/>
  <c r="G25" i="71" s="1"/>
  <c r="D25" i="71"/>
  <c r="E25" i="74"/>
  <c r="G25" i="74" s="1"/>
  <c r="D25" i="74"/>
  <c r="E24" i="77"/>
  <c r="G24" i="77" s="1"/>
  <c r="D24" i="77"/>
  <c r="E21" i="71"/>
  <c r="G21" i="71" s="1"/>
  <c r="D21" i="71"/>
  <c r="E24" i="74"/>
  <c r="G24" i="74" s="1"/>
  <c r="D24" i="74"/>
  <c r="E25" i="77"/>
  <c r="G25" i="77" s="1"/>
  <c r="D25" i="77"/>
  <c r="E20" i="71"/>
  <c r="D20" i="71"/>
  <c r="E24" i="71"/>
  <c r="G24" i="71" s="1"/>
  <c r="D24" i="71"/>
  <c r="E20" i="74"/>
  <c r="D20" i="74"/>
  <c r="D20" i="77"/>
  <c r="E20" i="77"/>
  <c r="B4" i="80"/>
  <c r="B4" i="77"/>
  <c r="B4" i="69"/>
  <c r="B4" i="66"/>
  <c r="B4" i="63"/>
  <c r="B4" i="74"/>
  <c r="B4" i="116"/>
  <c r="B4" i="71"/>
  <c r="B4" i="117"/>
  <c r="B4" i="115"/>
  <c r="B4" i="114"/>
  <c r="B4" i="113"/>
  <c r="B4" i="112"/>
  <c r="H25" i="71" l="1"/>
  <c r="I25" i="71" s="1"/>
  <c r="D26" i="74"/>
  <c r="D26" i="77"/>
  <c r="C8" i="7"/>
  <c r="B15" i="113"/>
  <c r="C27" i="113"/>
  <c r="F27" i="113" s="1"/>
  <c r="B16" i="113"/>
  <c r="B12" i="113"/>
  <c r="B41" i="113"/>
  <c r="B24" i="113"/>
  <c r="B23" i="113"/>
  <c r="B13" i="113"/>
  <c r="B17" i="113"/>
  <c r="B8" i="113"/>
  <c r="B15" i="117"/>
  <c r="B24" i="117"/>
  <c r="C27" i="117"/>
  <c r="F27" i="117" s="1"/>
  <c r="B16" i="117"/>
  <c r="B17" i="117"/>
  <c r="C20" i="7"/>
  <c r="B8" i="117"/>
  <c r="B13" i="117"/>
  <c r="B41" i="117"/>
  <c r="B23" i="117"/>
  <c r="B12" i="117"/>
  <c r="C42" i="7"/>
  <c r="B7" i="77"/>
  <c r="B33" i="77"/>
  <c r="B9" i="77"/>
  <c r="E19" i="80"/>
  <c r="G19" i="80" s="1"/>
  <c r="D19" i="80"/>
  <c r="C30" i="7"/>
  <c r="B33" i="74"/>
  <c r="B7" i="74"/>
  <c r="B9" i="74"/>
  <c r="G26" i="74"/>
  <c r="H24" i="74"/>
  <c r="I24" i="74" s="1"/>
  <c r="G26" i="77"/>
  <c r="H24" i="77"/>
  <c r="I24" i="77" s="1"/>
  <c r="E18" i="80"/>
  <c r="D18" i="80"/>
  <c r="H21" i="77"/>
  <c r="I21" i="77" s="1"/>
  <c r="B17" i="114"/>
  <c r="B8" i="114"/>
  <c r="B16" i="114"/>
  <c r="B13" i="114"/>
  <c r="B23" i="114"/>
  <c r="B15" i="114"/>
  <c r="B41" i="114"/>
  <c r="B12" i="114"/>
  <c r="B24" i="114"/>
  <c r="C27" i="114"/>
  <c r="F27" i="114" s="1"/>
  <c r="C12" i="7"/>
  <c r="B17" i="116"/>
  <c r="B8" i="116"/>
  <c r="B41" i="116"/>
  <c r="B12" i="116"/>
  <c r="B15" i="116"/>
  <c r="B24" i="116"/>
  <c r="B23" i="116"/>
  <c r="B13" i="116"/>
  <c r="C24" i="7"/>
  <c r="B16" i="116"/>
  <c r="C27" i="116"/>
  <c r="F27" i="116" s="1"/>
  <c r="D26" i="71"/>
  <c r="H25" i="77"/>
  <c r="I25" i="77" s="1"/>
  <c r="H25" i="74"/>
  <c r="I25" i="74" s="1"/>
  <c r="E22" i="80"/>
  <c r="G22" i="80" s="1"/>
  <c r="D22" i="80"/>
  <c r="B41" i="115"/>
  <c r="B15" i="115"/>
  <c r="B12" i="115"/>
  <c r="B24" i="115"/>
  <c r="C16" i="7"/>
  <c r="B8" i="115"/>
  <c r="C27" i="115"/>
  <c r="F27" i="115" s="1"/>
  <c r="B16" i="115"/>
  <c r="B17" i="115"/>
  <c r="B13" i="115"/>
  <c r="B23" i="115"/>
  <c r="C33" i="7"/>
  <c r="B32" i="63"/>
  <c r="B18" i="63"/>
  <c r="B12" i="63"/>
  <c r="B17" i="63"/>
  <c r="C21" i="63"/>
  <c r="F21" i="63" s="1"/>
  <c r="B13" i="63"/>
  <c r="B8" i="63"/>
  <c r="B15" i="112"/>
  <c r="C27" i="112"/>
  <c r="F27" i="112" s="1"/>
  <c r="B24" i="112"/>
  <c r="B41" i="112"/>
  <c r="B16" i="112"/>
  <c r="B13" i="112"/>
  <c r="C4" i="7"/>
  <c r="B17" i="112"/>
  <c r="B23" i="112"/>
  <c r="B12" i="112"/>
  <c r="B8" i="112"/>
  <c r="C27" i="7"/>
  <c r="B33" i="71"/>
  <c r="B7" i="71"/>
  <c r="B9" i="71"/>
  <c r="C36" i="7"/>
  <c r="B32" i="66"/>
  <c r="B12" i="66"/>
  <c r="B18" i="66"/>
  <c r="B13" i="66"/>
  <c r="B17" i="66"/>
  <c r="B8" i="66"/>
  <c r="C21" i="66"/>
  <c r="F21" i="66" s="1"/>
  <c r="C39" i="7"/>
  <c r="B32" i="69"/>
  <c r="B8" i="69"/>
  <c r="C21" i="69"/>
  <c r="F21" i="69" s="1"/>
  <c r="B12" i="69"/>
  <c r="B13" i="69"/>
  <c r="B17" i="69"/>
  <c r="B18" i="69"/>
  <c r="C45" i="7"/>
  <c r="B31" i="80"/>
  <c r="B7" i="80"/>
  <c r="B9" i="80"/>
  <c r="G26" i="71"/>
  <c r="H24" i="71"/>
  <c r="I24" i="71" s="1"/>
  <c r="H21" i="71"/>
  <c r="I21" i="71" s="1"/>
  <c r="E23" i="80"/>
  <c r="G23" i="80" s="1"/>
  <c r="D23" i="80"/>
  <c r="H21" i="74"/>
  <c r="I21" i="74" s="1"/>
  <c r="D32" i="69" l="1"/>
  <c r="E32" i="69"/>
  <c r="G32" i="69" s="1"/>
  <c r="E12" i="66"/>
  <c r="G12" i="66" s="1"/>
  <c r="D12" i="66"/>
  <c r="E17" i="112"/>
  <c r="G17" i="112" s="1"/>
  <c r="D17" i="112"/>
  <c r="E41" i="115"/>
  <c r="G41" i="115" s="1"/>
  <c r="D41" i="115"/>
  <c r="E12" i="114"/>
  <c r="G12" i="114" s="1"/>
  <c r="D12" i="114"/>
  <c r="D41" i="117"/>
  <c r="E41" i="117"/>
  <c r="G41" i="117" s="1"/>
  <c r="D17" i="117"/>
  <c r="E17" i="117"/>
  <c r="G17" i="117" s="1"/>
  <c r="D15" i="117"/>
  <c r="E15" i="117"/>
  <c r="G15" i="117" s="1"/>
  <c r="E23" i="113"/>
  <c r="D23" i="113"/>
  <c r="B28" i="80"/>
  <c r="B26" i="80"/>
  <c r="B13" i="80"/>
  <c r="B20" i="80"/>
  <c r="B27" i="80"/>
  <c r="E12" i="69"/>
  <c r="G12" i="69" s="1"/>
  <c r="D12" i="69"/>
  <c r="E17" i="66"/>
  <c r="D17" i="66"/>
  <c r="D32" i="66"/>
  <c r="E32" i="66"/>
  <c r="G32" i="66" s="1"/>
  <c r="B31" i="112"/>
  <c r="B27" i="112"/>
  <c r="B38" i="112"/>
  <c r="B28" i="112"/>
  <c r="B32" i="112"/>
  <c r="B37" i="112"/>
  <c r="B36" i="112"/>
  <c r="E24" i="112"/>
  <c r="G24" i="112" s="1"/>
  <c r="D24" i="112"/>
  <c r="B29" i="63"/>
  <c r="B21" i="63"/>
  <c r="B24" i="63"/>
  <c r="B19" i="63"/>
  <c r="B28" i="63"/>
  <c r="B27" i="63"/>
  <c r="B23" i="63"/>
  <c r="E12" i="63"/>
  <c r="G12" i="63" s="1"/>
  <c r="D12" i="63"/>
  <c r="D16" i="115"/>
  <c r="E16" i="115"/>
  <c r="G16" i="115" s="1"/>
  <c r="E24" i="115"/>
  <c r="G24" i="115" s="1"/>
  <c r="D24" i="115"/>
  <c r="D24" i="80"/>
  <c r="D13" i="116"/>
  <c r="E13" i="116"/>
  <c r="G13" i="116" s="1"/>
  <c r="E12" i="116"/>
  <c r="G12" i="116" s="1"/>
  <c r="D12" i="116"/>
  <c r="D41" i="114"/>
  <c r="E41" i="114"/>
  <c r="G41" i="114" s="1"/>
  <c r="D16" i="114"/>
  <c r="E16" i="114"/>
  <c r="G16" i="114" s="1"/>
  <c r="E33" i="74"/>
  <c r="G33" i="74" s="1"/>
  <c r="D33" i="74"/>
  <c r="H19" i="80"/>
  <c r="I19" i="80" s="1"/>
  <c r="B13" i="77"/>
  <c r="B28" i="77"/>
  <c r="B29" i="77"/>
  <c r="B30" i="77"/>
  <c r="B22" i="77"/>
  <c r="E13" i="117"/>
  <c r="G13" i="117" s="1"/>
  <c r="D13" i="117"/>
  <c r="D16" i="117"/>
  <c r="E16" i="117"/>
  <c r="G16" i="117" s="1"/>
  <c r="B31" i="113"/>
  <c r="B28" i="113"/>
  <c r="B38" i="113"/>
  <c r="B36" i="113"/>
  <c r="B32" i="113"/>
  <c r="B27" i="113"/>
  <c r="B37" i="113"/>
  <c r="E24" i="113"/>
  <c r="G24" i="113" s="1"/>
  <c r="D24" i="113"/>
  <c r="E18" i="69"/>
  <c r="G18" i="69" s="1"/>
  <c r="D18" i="69"/>
  <c r="E13" i="66"/>
  <c r="G13" i="66" s="1"/>
  <c r="D13" i="66"/>
  <c r="D33" i="71"/>
  <c r="E33" i="71"/>
  <c r="G33" i="71" s="1"/>
  <c r="E12" i="112"/>
  <c r="G12" i="112" s="1"/>
  <c r="D12" i="112"/>
  <c r="D13" i="112"/>
  <c r="E13" i="112"/>
  <c r="G13" i="112" s="1"/>
  <c r="D13" i="63"/>
  <c r="E13" i="63"/>
  <c r="G13" i="63" s="1"/>
  <c r="E18" i="63"/>
  <c r="G18" i="63" s="1"/>
  <c r="D18" i="63"/>
  <c r="E23" i="115"/>
  <c r="D23" i="115"/>
  <c r="D12" i="115"/>
  <c r="E12" i="115"/>
  <c r="G12" i="115" s="1"/>
  <c r="G24" i="80"/>
  <c r="H22" i="80"/>
  <c r="I22" i="80" s="1"/>
  <c r="E23" i="116"/>
  <c r="D23" i="116"/>
  <c r="E41" i="116"/>
  <c r="G41" i="116" s="1"/>
  <c r="D41" i="116"/>
  <c r="D15" i="114"/>
  <c r="E15" i="114"/>
  <c r="G15" i="114" s="1"/>
  <c r="B38" i="114"/>
  <c r="B28" i="114"/>
  <c r="B32" i="114"/>
  <c r="B31" i="114"/>
  <c r="B27" i="114"/>
  <c r="B37" i="114"/>
  <c r="B36" i="114"/>
  <c r="H26" i="74"/>
  <c r="I26" i="74" s="1"/>
  <c r="D33" i="77"/>
  <c r="E33" i="77"/>
  <c r="G33" i="77" s="1"/>
  <c r="D12" i="117"/>
  <c r="D14" i="117" s="1"/>
  <c r="E12" i="117"/>
  <c r="G12" i="117" s="1"/>
  <c r="B37" i="117"/>
  <c r="B32" i="117"/>
  <c r="B38" i="117"/>
  <c r="B27" i="117"/>
  <c r="B28" i="117"/>
  <c r="B36" i="117"/>
  <c r="B31" i="117"/>
  <c r="E17" i="113"/>
  <c r="G17" i="113" s="1"/>
  <c r="D17" i="113"/>
  <c r="D41" i="113"/>
  <c r="E41" i="113"/>
  <c r="G41" i="113" s="1"/>
  <c r="E15" i="113"/>
  <c r="G15" i="113" s="1"/>
  <c r="D15" i="113"/>
  <c r="E13" i="69"/>
  <c r="G13" i="69" s="1"/>
  <c r="D13" i="69"/>
  <c r="B29" i="66"/>
  <c r="B28" i="66"/>
  <c r="B23" i="66"/>
  <c r="B21" i="66"/>
  <c r="B19" i="66"/>
  <c r="B27" i="66"/>
  <c r="B24" i="66"/>
  <c r="B22" i="71"/>
  <c r="B30" i="71"/>
  <c r="B28" i="71"/>
  <c r="B29" i="71"/>
  <c r="B13" i="71"/>
  <c r="E41" i="112"/>
  <c r="G41" i="112" s="1"/>
  <c r="D41" i="112"/>
  <c r="E17" i="63"/>
  <c r="D17" i="63"/>
  <c r="D17" i="115"/>
  <c r="E17" i="115"/>
  <c r="G17" i="115" s="1"/>
  <c r="E15" i="116"/>
  <c r="G15" i="116" s="1"/>
  <c r="D15" i="116"/>
  <c r="E17" i="116"/>
  <c r="G17" i="116" s="1"/>
  <c r="D17" i="116"/>
  <c r="E13" i="114"/>
  <c r="G13" i="114" s="1"/>
  <c r="D13" i="114"/>
  <c r="D16" i="113"/>
  <c r="E16" i="113"/>
  <c r="G16" i="113" s="1"/>
  <c r="H23" i="80"/>
  <c r="I23" i="80" s="1"/>
  <c r="H26" i="71"/>
  <c r="I26" i="71" s="1"/>
  <c r="E31" i="80"/>
  <c r="G31" i="80" s="1"/>
  <c r="D31" i="80"/>
  <c r="E17" i="69"/>
  <c r="D17" i="69"/>
  <c r="B27" i="69"/>
  <c r="B24" i="69"/>
  <c r="B29" i="69"/>
  <c r="B21" i="69"/>
  <c r="B19" i="69"/>
  <c r="B23" i="69"/>
  <c r="B28" i="69"/>
  <c r="E18" i="66"/>
  <c r="G18" i="66" s="1"/>
  <c r="D18" i="66"/>
  <c r="E23" i="112"/>
  <c r="D23" i="112"/>
  <c r="D16" i="112"/>
  <c r="E16" i="112"/>
  <c r="G16" i="112" s="1"/>
  <c r="E15" i="112"/>
  <c r="G15" i="112" s="1"/>
  <c r="D15" i="112"/>
  <c r="D32" i="63"/>
  <c r="E32" i="63"/>
  <c r="G32" i="63" s="1"/>
  <c r="E13" i="115"/>
  <c r="G13" i="115" s="1"/>
  <c r="D13" i="115"/>
  <c r="B36" i="115"/>
  <c r="B28" i="115"/>
  <c r="B38" i="115"/>
  <c r="B27" i="115"/>
  <c r="B32" i="115"/>
  <c r="B37" i="115"/>
  <c r="B31" i="115"/>
  <c r="E15" i="115"/>
  <c r="G15" i="115" s="1"/>
  <c r="D15" i="115"/>
  <c r="D16" i="116"/>
  <c r="E16" i="116"/>
  <c r="G16" i="116" s="1"/>
  <c r="E24" i="116"/>
  <c r="G24" i="116" s="1"/>
  <c r="D24" i="116"/>
  <c r="B32" i="116"/>
  <c r="B38" i="116"/>
  <c r="B31" i="116"/>
  <c r="B37" i="116"/>
  <c r="B36" i="116"/>
  <c r="B27" i="116"/>
  <c r="B28" i="116"/>
  <c r="E24" i="114"/>
  <c r="G24" i="114" s="1"/>
  <c r="D24" i="114"/>
  <c r="E23" i="114"/>
  <c r="D23" i="114"/>
  <c r="D17" i="114"/>
  <c r="E17" i="114"/>
  <c r="G17" i="114" s="1"/>
  <c r="H26" i="77"/>
  <c r="I26" i="77" s="1"/>
  <c r="B22" i="74"/>
  <c r="B29" i="74"/>
  <c r="B13" i="74"/>
  <c r="B30" i="74"/>
  <c r="B28" i="74"/>
  <c r="E23" i="117"/>
  <c r="D23" i="117"/>
  <c r="E24" i="117"/>
  <c r="G24" i="117" s="1"/>
  <c r="D24" i="117"/>
  <c r="D13" i="113"/>
  <c r="E13" i="113"/>
  <c r="G13" i="113" s="1"/>
  <c r="D12" i="113"/>
  <c r="E12" i="113"/>
  <c r="G12" i="113" s="1"/>
  <c r="D18" i="112" l="1"/>
  <c r="D14" i="113"/>
  <c r="D25" i="112"/>
  <c r="D14" i="112"/>
  <c r="D18" i="117"/>
  <c r="D18" i="115"/>
  <c r="D18" i="116"/>
  <c r="D25" i="117"/>
  <c r="D25" i="116"/>
  <c r="D14" i="63"/>
  <c r="H13" i="69"/>
  <c r="I13" i="69" s="1"/>
  <c r="D25" i="114"/>
  <c r="D25" i="115"/>
  <c r="H13" i="66"/>
  <c r="I13" i="66" s="1"/>
  <c r="H24" i="117"/>
  <c r="I24" i="117" s="1"/>
  <c r="E31" i="116"/>
  <c r="G31" i="116" s="1"/>
  <c r="D31" i="116"/>
  <c r="H24" i="116"/>
  <c r="I24" i="116" s="1"/>
  <c r="D27" i="115"/>
  <c r="E27" i="115"/>
  <c r="G27" i="115" s="1"/>
  <c r="E29" i="69"/>
  <c r="G29" i="69" s="1"/>
  <c r="D29" i="69"/>
  <c r="H41" i="113"/>
  <c r="I41" i="113" s="1"/>
  <c r="E31" i="117"/>
  <c r="G31" i="117" s="1"/>
  <c r="D31" i="117"/>
  <c r="E38" i="117"/>
  <c r="G38" i="117" s="1"/>
  <c r="D38" i="117"/>
  <c r="E38" i="114"/>
  <c r="G38" i="114" s="1"/>
  <c r="D38" i="114"/>
  <c r="H13" i="117"/>
  <c r="I13" i="117" s="1"/>
  <c r="E28" i="63"/>
  <c r="G28" i="63" s="1"/>
  <c r="D28" i="63"/>
  <c r="E29" i="63"/>
  <c r="G29" i="63" s="1"/>
  <c r="D29" i="63"/>
  <c r="E27" i="112"/>
  <c r="G27" i="112" s="1"/>
  <c r="D27" i="112"/>
  <c r="D27" i="80"/>
  <c r="E27" i="80"/>
  <c r="G27" i="80" s="1"/>
  <c r="E28" i="80"/>
  <c r="G28" i="80" s="1"/>
  <c r="D28" i="80"/>
  <c r="H41" i="115"/>
  <c r="I41" i="115" s="1"/>
  <c r="E13" i="74"/>
  <c r="G13" i="74" s="1"/>
  <c r="D13" i="74"/>
  <c r="D15" i="74" s="1"/>
  <c r="H16" i="116"/>
  <c r="I16" i="116" s="1"/>
  <c r="H15" i="112"/>
  <c r="I15" i="112" s="1"/>
  <c r="G18" i="112"/>
  <c r="H15" i="116"/>
  <c r="I15" i="116" s="1"/>
  <c r="G18" i="116"/>
  <c r="E29" i="71"/>
  <c r="G29" i="71" s="1"/>
  <c r="D29" i="71"/>
  <c r="E24" i="66"/>
  <c r="G24" i="66" s="1"/>
  <c r="D24" i="66"/>
  <c r="E23" i="66"/>
  <c r="G23" i="66" s="1"/>
  <c r="D23" i="66"/>
  <c r="E32" i="117"/>
  <c r="G32" i="117" s="1"/>
  <c r="D32" i="117"/>
  <c r="H33" i="77"/>
  <c r="I33" i="77" s="1"/>
  <c r="E31" i="114"/>
  <c r="G31" i="114" s="1"/>
  <c r="D31" i="114"/>
  <c r="H15" i="114"/>
  <c r="I15" i="114" s="1"/>
  <c r="G18" i="114"/>
  <c r="H24" i="80"/>
  <c r="I24" i="80" s="1"/>
  <c r="H24" i="113"/>
  <c r="I24" i="113" s="1"/>
  <c r="H16" i="117"/>
  <c r="I16" i="117" s="1"/>
  <c r="E13" i="77"/>
  <c r="G13" i="77" s="1"/>
  <c r="D13" i="77"/>
  <c r="D15" i="77" s="1"/>
  <c r="H24" i="115"/>
  <c r="I24" i="115" s="1"/>
  <c r="E19" i="63"/>
  <c r="G19" i="63" s="1"/>
  <c r="D19" i="63"/>
  <c r="D20" i="63" s="1"/>
  <c r="E32" i="112"/>
  <c r="G32" i="112" s="1"/>
  <c r="D32" i="112"/>
  <c r="E31" i="112"/>
  <c r="G31" i="112" s="1"/>
  <c r="D31" i="112"/>
  <c r="E20" i="80"/>
  <c r="G20" i="80" s="1"/>
  <c r="D20" i="80"/>
  <c r="D21" i="80" s="1"/>
  <c r="D25" i="80" s="1"/>
  <c r="D25" i="113"/>
  <c r="H17" i="117"/>
  <c r="I17" i="117" s="1"/>
  <c r="D14" i="114"/>
  <c r="H32" i="69"/>
  <c r="I32" i="69" s="1"/>
  <c r="D29" i="74"/>
  <c r="E29" i="74"/>
  <c r="G29" i="74" s="1"/>
  <c r="H17" i="114"/>
  <c r="I17" i="114" s="1"/>
  <c r="D36" i="116"/>
  <c r="E36" i="116"/>
  <c r="G36" i="116" s="1"/>
  <c r="E32" i="116"/>
  <c r="G32" i="116" s="1"/>
  <c r="D32" i="116"/>
  <c r="D37" i="115"/>
  <c r="E37" i="115"/>
  <c r="G37" i="115" s="1"/>
  <c r="D28" i="115"/>
  <c r="E28" i="115"/>
  <c r="G28" i="115" s="1"/>
  <c r="H32" i="63"/>
  <c r="I32" i="63" s="1"/>
  <c r="H16" i="112"/>
  <c r="I16" i="112" s="1"/>
  <c r="E19" i="69"/>
  <c r="G19" i="69" s="1"/>
  <c r="D19" i="69"/>
  <c r="D20" i="69" s="1"/>
  <c r="E27" i="69"/>
  <c r="G27" i="69" s="1"/>
  <c r="D27" i="69"/>
  <c r="H31" i="80"/>
  <c r="I31" i="80" s="1"/>
  <c r="H16" i="113"/>
  <c r="I16" i="113" s="1"/>
  <c r="H17" i="115"/>
  <c r="I17" i="115" s="1"/>
  <c r="H41" i="112"/>
  <c r="I41" i="112" s="1"/>
  <c r="E28" i="71"/>
  <c r="G28" i="71" s="1"/>
  <c r="D28" i="71"/>
  <c r="D27" i="66"/>
  <c r="E27" i="66"/>
  <c r="G27" i="66" s="1"/>
  <c r="E28" i="66"/>
  <c r="G28" i="66" s="1"/>
  <c r="D28" i="66"/>
  <c r="H15" i="113"/>
  <c r="I15" i="113" s="1"/>
  <c r="D18" i="113"/>
  <c r="H17" i="113"/>
  <c r="I17" i="113" s="1"/>
  <c r="D28" i="117"/>
  <c r="E28" i="117"/>
  <c r="G28" i="117" s="1"/>
  <c r="E37" i="117"/>
  <c r="G37" i="117" s="1"/>
  <c r="D37" i="117"/>
  <c r="D36" i="114"/>
  <c r="E36" i="114"/>
  <c r="G36" i="114" s="1"/>
  <c r="E32" i="114"/>
  <c r="G32" i="114" s="1"/>
  <c r="D32" i="114"/>
  <c r="G14" i="115"/>
  <c r="H12" i="115"/>
  <c r="I12" i="115" s="1"/>
  <c r="H13" i="112"/>
  <c r="I13" i="112" s="1"/>
  <c r="H33" i="71"/>
  <c r="I33" i="71" s="1"/>
  <c r="D37" i="113"/>
  <c r="E37" i="113"/>
  <c r="G37" i="113" s="1"/>
  <c r="D38" i="113"/>
  <c r="E38" i="113"/>
  <c r="G38" i="113" s="1"/>
  <c r="D30" i="77"/>
  <c r="E30" i="77"/>
  <c r="G30" i="77" s="1"/>
  <c r="H16" i="114"/>
  <c r="I16" i="114" s="1"/>
  <c r="D14" i="116"/>
  <c r="H16" i="115"/>
  <c r="I16" i="115" s="1"/>
  <c r="E23" i="63"/>
  <c r="G23" i="63" s="1"/>
  <c r="D23" i="63"/>
  <c r="E24" i="63"/>
  <c r="G24" i="63" s="1"/>
  <c r="D24" i="63"/>
  <c r="H24" i="112"/>
  <c r="I24" i="112" s="1"/>
  <c r="E28" i="112"/>
  <c r="G28" i="112" s="1"/>
  <c r="D28" i="112"/>
  <c r="H32" i="66"/>
  <c r="I32" i="66" s="1"/>
  <c r="D14" i="69"/>
  <c r="D13" i="80"/>
  <c r="D15" i="80" s="1"/>
  <c r="E13" i="80"/>
  <c r="G13" i="80" s="1"/>
  <c r="H12" i="114"/>
  <c r="I12" i="114" s="1"/>
  <c r="G14" i="114"/>
  <c r="H17" i="112"/>
  <c r="I17" i="112" s="1"/>
  <c r="D30" i="74"/>
  <c r="E30" i="74"/>
  <c r="G30" i="74" s="1"/>
  <c r="E28" i="116"/>
  <c r="G28" i="116" s="1"/>
  <c r="D28" i="116"/>
  <c r="H15" i="115"/>
  <c r="I15" i="115" s="1"/>
  <c r="G18" i="115"/>
  <c r="E28" i="69"/>
  <c r="G28" i="69" s="1"/>
  <c r="D28" i="69"/>
  <c r="E13" i="71"/>
  <c r="G13" i="71" s="1"/>
  <c r="D13" i="71"/>
  <c r="D15" i="71" s="1"/>
  <c r="E22" i="71"/>
  <c r="G22" i="71" s="1"/>
  <c r="D22" i="71"/>
  <c r="D23" i="71" s="1"/>
  <c r="D27" i="71" s="1"/>
  <c r="E21" i="66"/>
  <c r="G21" i="66" s="1"/>
  <c r="D21" i="66"/>
  <c r="D27" i="114"/>
  <c r="E27" i="114"/>
  <c r="G27" i="114" s="1"/>
  <c r="H41" i="116"/>
  <c r="I41" i="116" s="1"/>
  <c r="H13" i="63"/>
  <c r="I13" i="63" s="1"/>
  <c r="E32" i="113"/>
  <c r="G32" i="113" s="1"/>
  <c r="D32" i="113"/>
  <c r="E31" i="113"/>
  <c r="G31" i="113" s="1"/>
  <c r="D31" i="113"/>
  <c r="E28" i="77"/>
  <c r="G28" i="77" s="1"/>
  <c r="D28" i="77"/>
  <c r="H41" i="114"/>
  <c r="I41" i="114" s="1"/>
  <c r="H13" i="116"/>
  <c r="I13" i="116" s="1"/>
  <c r="E37" i="112"/>
  <c r="G37" i="112" s="1"/>
  <c r="D37" i="112"/>
  <c r="G14" i="66"/>
  <c r="H12" i="66"/>
  <c r="I12" i="66" s="1"/>
  <c r="H13" i="113"/>
  <c r="I13" i="113" s="1"/>
  <c r="D27" i="116"/>
  <c r="E27" i="116"/>
  <c r="G27" i="116" s="1"/>
  <c r="E38" i="116"/>
  <c r="G38" i="116" s="1"/>
  <c r="D38" i="116"/>
  <c r="E31" i="115"/>
  <c r="G31" i="115" s="1"/>
  <c r="D31" i="115"/>
  <c r="E38" i="115"/>
  <c r="G38" i="115" s="1"/>
  <c r="D38" i="115"/>
  <c r="H13" i="115"/>
  <c r="I13" i="115" s="1"/>
  <c r="E23" i="69"/>
  <c r="G23" i="69" s="1"/>
  <c r="D23" i="69"/>
  <c r="E24" i="69"/>
  <c r="G24" i="69" s="1"/>
  <c r="D24" i="69"/>
  <c r="H13" i="114"/>
  <c r="I13" i="114" s="1"/>
  <c r="E36" i="117"/>
  <c r="G36" i="117" s="1"/>
  <c r="D36" i="117"/>
  <c r="G14" i="112"/>
  <c r="H12" i="112"/>
  <c r="I12" i="112" s="1"/>
  <c r="E36" i="113"/>
  <c r="G36" i="113" s="1"/>
  <c r="D36" i="113"/>
  <c r="D22" i="77"/>
  <c r="D23" i="77" s="1"/>
  <c r="D27" i="77" s="1"/>
  <c r="E22" i="77"/>
  <c r="G22" i="77" s="1"/>
  <c r="H33" i="74"/>
  <c r="I33" i="74" s="1"/>
  <c r="H12" i="63"/>
  <c r="I12" i="63" s="1"/>
  <c r="G14" i="63"/>
  <c r="H12" i="113"/>
  <c r="I12" i="113" s="1"/>
  <c r="G14" i="113"/>
  <c r="E28" i="74"/>
  <c r="G28" i="74" s="1"/>
  <c r="D28" i="74"/>
  <c r="D22" i="74"/>
  <c r="D23" i="74" s="1"/>
  <c r="D27" i="74" s="1"/>
  <c r="E22" i="74"/>
  <c r="G22" i="74" s="1"/>
  <c r="H24" i="114"/>
  <c r="I24" i="114" s="1"/>
  <c r="D37" i="116"/>
  <c r="E37" i="116"/>
  <c r="G37" i="116" s="1"/>
  <c r="E32" i="115"/>
  <c r="G32" i="115" s="1"/>
  <c r="D32" i="115"/>
  <c r="E36" i="115"/>
  <c r="G36" i="115" s="1"/>
  <c r="D36" i="115"/>
  <c r="H18" i="66"/>
  <c r="I18" i="66" s="1"/>
  <c r="D21" i="69"/>
  <c r="E21" i="69"/>
  <c r="G21" i="69" s="1"/>
  <c r="H17" i="116"/>
  <c r="I17" i="116" s="1"/>
  <c r="D30" i="71"/>
  <c r="E30" i="71"/>
  <c r="G30" i="71" s="1"/>
  <c r="E19" i="66"/>
  <c r="G19" i="66" s="1"/>
  <c r="D19" i="66"/>
  <c r="D20" i="66" s="1"/>
  <c r="E29" i="66"/>
  <c r="G29" i="66" s="1"/>
  <c r="D29" i="66"/>
  <c r="G18" i="113"/>
  <c r="D27" i="117"/>
  <c r="E27" i="117"/>
  <c r="G27" i="117" s="1"/>
  <c r="G14" i="117"/>
  <c r="H12" i="117"/>
  <c r="I12" i="117" s="1"/>
  <c r="D37" i="114"/>
  <c r="E37" i="114"/>
  <c r="G37" i="114" s="1"/>
  <c r="D28" i="114"/>
  <c r="E28" i="114"/>
  <c r="G28" i="114" s="1"/>
  <c r="D14" i="115"/>
  <c r="H18" i="63"/>
  <c r="I18" i="63" s="1"/>
  <c r="H18" i="69"/>
  <c r="I18" i="69" s="1"/>
  <c r="E27" i="113"/>
  <c r="G27" i="113" s="1"/>
  <c r="D27" i="113"/>
  <c r="E28" i="113"/>
  <c r="G28" i="113" s="1"/>
  <c r="D28" i="113"/>
  <c r="E29" i="77"/>
  <c r="G29" i="77" s="1"/>
  <c r="D29" i="77"/>
  <c r="D18" i="114"/>
  <c r="H12" i="116"/>
  <c r="I12" i="116" s="1"/>
  <c r="G14" i="116"/>
  <c r="D27" i="63"/>
  <c r="E27" i="63"/>
  <c r="G27" i="63" s="1"/>
  <c r="D21" i="63"/>
  <c r="E21" i="63"/>
  <c r="G21" i="63" s="1"/>
  <c r="E36" i="112"/>
  <c r="G36" i="112" s="1"/>
  <c r="D36" i="112"/>
  <c r="E38" i="112"/>
  <c r="G38" i="112" s="1"/>
  <c r="D38" i="112"/>
  <c r="H12" i="69"/>
  <c r="I12" i="69" s="1"/>
  <c r="G14" i="69"/>
  <c r="D26" i="80"/>
  <c r="E26" i="80"/>
  <c r="G26" i="80" s="1"/>
  <c r="H15" i="117"/>
  <c r="I15" i="117" s="1"/>
  <c r="G18" i="117"/>
  <c r="H41" i="117"/>
  <c r="I41" i="117" s="1"/>
  <c r="D14" i="66"/>
  <c r="D29" i="116" l="1"/>
  <c r="H28" i="116"/>
  <c r="I28" i="116" s="1"/>
  <c r="H32" i="117"/>
  <c r="I32" i="117" s="1"/>
  <c r="H24" i="66"/>
  <c r="I24" i="66" s="1"/>
  <c r="H27" i="112"/>
  <c r="I27" i="112" s="1"/>
  <c r="D22" i="66"/>
  <c r="D33" i="116"/>
  <c r="H29" i="77"/>
  <c r="I29" i="77" s="1"/>
  <c r="D29" i="117"/>
  <c r="D33" i="115"/>
  <c r="D29" i="115"/>
  <c r="D30" i="114"/>
  <c r="D29" i="114"/>
  <c r="D31" i="66"/>
  <c r="D33" i="114"/>
  <c r="D30" i="115"/>
  <c r="H38" i="112"/>
  <c r="I38" i="112" s="1"/>
  <c r="D32" i="74"/>
  <c r="D34" i="74" s="1"/>
  <c r="D37" i="74" s="1"/>
  <c r="H24" i="69"/>
  <c r="I24" i="69" s="1"/>
  <c r="H37" i="112"/>
  <c r="I37" i="112" s="1"/>
  <c r="H24" i="63"/>
  <c r="I24" i="63" s="1"/>
  <c r="D32" i="71"/>
  <c r="D34" i="71" s="1"/>
  <c r="D37" i="71" s="1"/>
  <c r="D22" i="69"/>
  <c r="H29" i="69"/>
  <c r="I29" i="69" s="1"/>
  <c r="D31" i="63"/>
  <c r="D30" i="80"/>
  <c r="D32" i="80" s="1"/>
  <c r="D35" i="80" s="1"/>
  <c r="H29" i="66"/>
  <c r="I29" i="66" s="1"/>
  <c r="D40" i="113"/>
  <c r="D22" i="63"/>
  <c r="H26" i="80"/>
  <c r="I26" i="80" s="1"/>
  <c r="G30" i="80"/>
  <c r="G40" i="112"/>
  <c r="H19" i="66"/>
  <c r="I19" i="66" s="1"/>
  <c r="G40" i="117"/>
  <c r="H28" i="117"/>
  <c r="I28" i="117" s="1"/>
  <c r="H37" i="115"/>
  <c r="I37" i="115" s="1"/>
  <c r="H36" i="116"/>
  <c r="I36" i="116" s="1"/>
  <c r="G40" i="116"/>
  <c r="H29" i="74"/>
  <c r="I29" i="74" s="1"/>
  <c r="H18" i="112"/>
  <c r="I18" i="112" s="1"/>
  <c r="H28" i="80"/>
  <c r="I28" i="80" s="1"/>
  <c r="H27" i="115"/>
  <c r="I27" i="115" s="1"/>
  <c r="H21" i="63"/>
  <c r="I21" i="63" s="1"/>
  <c r="H28" i="114"/>
  <c r="I28" i="114" s="1"/>
  <c r="H37" i="116"/>
  <c r="I37" i="116" s="1"/>
  <c r="D30" i="116"/>
  <c r="H31" i="113"/>
  <c r="I31" i="113" s="1"/>
  <c r="D33" i="113"/>
  <c r="H30" i="77"/>
  <c r="I30" i="77" s="1"/>
  <c r="D40" i="114"/>
  <c r="H20" i="80"/>
  <c r="I20" i="80" s="1"/>
  <c r="H32" i="112"/>
  <c r="I32" i="112" s="1"/>
  <c r="G33" i="114"/>
  <c r="H31" i="114"/>
  <c r="I31" i="114" s="1"/>
  <c r="H18" i="116"/>
  <c r="I18" i="116" s="1"/>
  <c r="G15" i="74"/>
  <c r="H13" i="74"/>
  <c r="I13" i="74" s="1"/>
  <c r="H27" i="80"/>
  <c r="I27" i="80" s="1"/>
  <c r="H28" i="63"/>
  <c r="I28" i="63" s="1"/>
  <c r="H38" i="117"/>
  <c r="I38" i="117" s="1"/>
  <c r="H18" i="117"/>
  <c r="I18" i="117" s="1"/>
  <c r="H14" i="116"/>
  <c r="I14" i="116" s="1"/>
  <c r="H27" i="113"/>
  <c r="I27" i="113" s="1"/>
  <c r="H32" i="115"/>
  <c r="I32" i="115" s="1"/>
  <c r="H22" i="74"/>
  <c r="I22" i="74" s="1"/>
  <c r="H14" i="63"/>
  <c r="I14" i="63" s="1"/>
  <c r="H22" i="77"/>
  <c r="I22" i="77" s="1"/>
  <c r="D25" i="69"/>
  <c r="D40" i="115"/>
  <c r="D40" i="116"/>
  <c r="H14" i="66"/>
  <c r="I14" i="66" s="1"/>
  <c r="G33" i="113"/>
  <c r="H22" i="71"/>
  <c r="I22" i="71" s="1"/>
  <c r="H18" i="115"/>
  <c r="I18" i="115" s="1"/>
  <c r="H30" i="74"/>
  <c r="I30" i="74" s="1"/>
  <c r="H13" i="80"/>
  <c r="I13" i="80" s="1"/>
  <c r="G15" i="80"/>
  <c r="D25" i="63"/>
  <c r="H32" i="114"/>
  <c r="I32" i="114" s="1"/>
  <c r="H28" i="66"/>
  <c r="I28" i="66" s="1"/>
  <c r="H28" i="71"/>
  <c r="I28" i="71" s="1"/>
  <c r="G32" i="71"/>
  <c r="D31" i="69"/>
  <c r="H28" i="115"/>
  <c r="I28" i="115" s="1"/>
  <c r="H32" i="116"/>
  <c r="I32" i="116" s="1"/>
  <c r="H31" i="112"/>
  <c r="I31" i="112" s="1"/>
  <c r="D33" i="112"/>
  <c r="H18" i="114"/>
  <c r="I18" i="114" s="1"/>
  <c r="D25" i="66"/>
  <c r="D30" i="117"/>
  <c r="D33" i="117"/>
  <c r="D29" i="112"/>
  <c r="G33" i="116"/>
  <c r="H31" i="116"/>
  <c r="I31" i="116" s="1"/>
  <c r="H27" i="117"/>
  <c r="I27" i="117" s="1"/>
  <c r="H18" i="113"/>
  <c r="I18" i="113" s="1"/>
  <c r="H21" i="69"/>
  <c r="I21" i="69" s="1"/>
  <c r="H14" i="112"/>
  <c r="I14" i="112" s="1"/>
  <c r="H27" i="116"/>
  <c r="I27" i="116" s="1"/>
  <c r="G32" i="77"/>
  <c r="H28" i="77"/>
  <c r="I28" i="77" s="1"/>
  <c r="H32" i="113"/>
  <c r="I32" i="113" s="1"/>
  <c r="H27" i="114"/>
  <c r="I27" i="114" s="1"/>
  <c r="H21" i="66"/>
  <c r="I21" i="66" s="1"/>
  <c r="G15" i="71"/>
  <c r="H13" i="71"/>
  <c r="I13" i="71" s="1"/>
  <c r="H14" i="114"/>
  <c r="I14" i="114" s="1"/>
  <c r="H36" i="114"/>
  <c r="I36" i="114" s="1"/>
  <c r="G40" i="114"/>
  <c r="H13" i="77"/>
  <c r="I13" i="77" s="1"/>
  <c r="G15" i="77"/>
  <c r="H30" i="71"/>
  <c r="I30" i="71" s="1"/>
  <c r="H36" i="115"/>
  <c r="I36" i="115" s="1"/>
  <c r="G40" i="115"/>
  <c r="G32" i="74"/>
  <c r="H28" i="74"/>
  <c r="I28" i="74" s="1"/>
  <c r="H36" i="113"/>
  <c r="I36" i="113" s="1"/>
  <c r="G40" i="113"/>
  <c r="G33" i="115"/>
  <c r="H31" i="115"/>
  <c r="I31" i="115" s="1"/>
  <c r="H37" i="113"/>
  <c r="I37" i="113" s="1"/>
  <c r="H14" i="115"/>
  <c r="I14" i="115" s="1"/>
  <c r="H19" i="69"/>
  <c r="I19" i="69" s="1"/>
  <c r="H14" i="69"/>
  <c r="I14" i="69" s="1"/>
  <c r="H36" i="112"/>
  <c r="I36" i="112" s="1"/>
  <c r="D40" i="112"/>
  <c r="H27" i="63"/>
  <c r="I27" i="63" s="1"/>
  <c r="G31" i="63"/>
  <c r="H28" i="113"/>
  <c r="I28" i="113" s="1"/>
  <c r="H37" i="114"/>
  <c r="I37" i="114" s="1"/>
  <c r="H14" i="117"/>
  <c r="I14" i="117" s="1"/>
  <c r="H14" i="113"/>
  <c r="I14" i="113" s="1"/>
  <c r="H36" i="117"/>
  <c r="I36" i="117" s="1"/>
  <c r="D40" i="117"/>
  <c r="G25" i="69"/>
  <c r="H23" i="69"/>
  <c r="I23" i="69" s="1"/>
  <c r="H38" i="115"/>
  <c r="I38" i="115" s="1"/>
  <c r="H38" i="116"/>
  <c r="I38" i="116" s="1"/>
  <c r="D32" i="77"/>
  <c r="H28" i="69"/>
  <c r="I28" i="69" s="1"/>
  <c r="H28" i="112"/>
  <c r="I28" i="112" s="1"/>
  <c r="G25" i="63"/>
  <c r="H23" i="63"/>
  <c r="I23" i="63" s="1"/>
  <c r="H38" i="113"/>
  <c r="I38" i="113" s="1"/>
  <c r="H37" i="117"/>
  <c r="I37" i="117" s="1"/>
  <c r="G31" i="66"/>
  <c r="H27" i="66"/>
  <c r="I27" i="66" s="1"/>
  <c r="G31" i="69"/>
  <c r="H27" i="69"/>
  <c r="I27" i="69" s="1"/>
  <c r="D30" i="113"/>
  <c r="D29" i="113"/>
  <c r="G33" i="112"/>
  <c r="H19" i="63"/>
  <c r="I19" i="63" s="1"/>
  <c r="G25" i="66"/>
  <c r="H23" i="66"/>
  <c r="I23" i="66" s="1"/>
  <c r="H29" i="71"/>
  <c r="I29" i="71" s="1"/>
  <c r="H29" i="63"/>
  <c r="I29" i="63" s="1"/>
  <c r="H38" i="114"/>
  <c r="I38" i="114" s="1"/>
  <c r="G33" i="117"/>
  <c r="H31" i="117"/>
  <c r="I31" i="117" s="1"/>
  <c r="D30" i="112"/>
  <c r="D34" i="116" l="1"/>
  <c r="D47" i="116"/>
  <c r="D35" i="116"/>
  <c r="D34" i="113"/>
  <c r="D34" i="115"/>
  <c r="D47" i="117"/>
  <c r="D42" i="112"/>
  <c r="D35" i="115"/>
  <c r="D26" i="66"/>
  <c r="D47" i="115"/>
  <c r="D35" i="114"/>
  <c r="H40" i="117"/>
  <c r="I40" i="117" s="1"/>
  <c r="D42" i="116"/>
  <c r="D34" i="114"/>
  <c r="D47" i="114"/>
  <c r="D42" i="117"/>
  <c r="D35" i="117"/>
  <c r="D35" i="112"/>
  <c r="H32" i="77"/>
  <c r="I32" i="77" s="1"/>
  <c r="H25" i="63"/>
  <c r="I25" i="63" s="1"/>
  <c r="H40" i="112"/>
  <c r="I40" i="112" s="1"/>
  <c r="D47" i="113"/>
  <c r="D34" i="117"/>
  <c r="H40" i="115"/>
  <c r="I40" i="115" s="1"/>
  <c r="H15" i="74"/>
  <c r="I15" i="74" s="1"/>
  <c r="H40" i="116"/>
  <c r="I40" i="116" s="1"/>
  <c r="H30" i="80"/>
  <c r="I30" i="80" s="1"/>
  <c r="H31" i="66"/>
  <c r="I31" i="66" s="1"/>
  <c r="H33" i="115"/>
  <c r="I33" i="115" s="1"/>
  <c r="H40" i="113"/>
  <c r="I40" i="113" s="1"/>
  <c r="H32" i="74"/>
  <c r="I32" i="74" s="1"/>
  <c r="D35" i="74"/>
  <c r="D36" i="74" s="1"/>
  <c r="D42" i="115"/>
  <c r="H33" i="116"/>
  <c r="I33" i="116" s="1"/>
  <c r="H25" i="69"/>
  <c r="I25" i="69" s="1"/>
  <c r="D33" i="66"/>
  <c r="D36" i="66" s="1"/>
  <c r="D33" i="63"/>
  <c r="D36" i="63" s="1"/>
  <c r="D34" i="77"/>
  <c r="D37" i="77" s="1"/>
  <c r="H31" i="69"/>
  <c r="I31" i="69" s="1"/>
  <c r="D35" i="71"/>
  <c r="D36" i="71" s="1"/>
  <c r="H15" i="71"/>
  <c r="I15" i="71" s="1"/>
  <c r="D34" i="112"/>
  <c r="D47" i="112"/>
  <c r="H32" i="71"/>
  <c r="I32" i="71" s="1"/>
  <c r="H15" i="80"/>
  <c r="I15" i="80" s="1"/>
  <c r="D33" i="69"/>
  <c r="D36" i="69" s="1"/>
  <c r="D26" i="69"/>
  <c r="D26" i="63"/>
  <c r="H31" i="63"/>
  <c r="I31" i="63" s="1"/>
  <c r="D35" i="113"/>
  <c r="D42" i="113"/>
  <c r="H25" i="66"/>
  <c r="I25" i="66" s="1"/>
  <c r="H33" i="117"/>
  <c r="I33" i="117" s="1"/>
  <c r="H33" i="112"/>
  <c r="I33" i="112" s="1"/>
  <c r="D33" i="80"/>
  <c r="D34" i="80" s="1"/>
  <c r="H15" i="77"/>
  <c r="I15" i="77" s="1"/>
  <c r="H40" i="114"/>
  <c r="I40" i="114" s="1"/>
  <c r="H33" i="113"/>
  <c r="I33" i="113" s="1"/>
  <c r="H33" i="114"/>
  <c r="I33" i="114" s="1"/>
  <c r="D42" i="114"/>
  <c r="D43" i="117" l="1"/>
  <c r="D44" i="117" s="1"/>
  <c r="D45" i="117"/>
  <c r="D43" i="113"/>
  <c r="D44" i="113" s="1"/>
  <c r="D45" i="113"/>
  <c r="D48" i="114"/>
  <c r="D49" i="114" s="1"/>
  <c r="D50" i="114"/>
  <c r="D43" i="112"/>
  <c r="D44" i="112" s="1"/>
  <c r="D45" i="112"/>
  <c r="D48" i="113"/>
  <c r="D49" i="113" s="1"/>
  <c r="D50" i="113"/>
  <c r="D48" i="115"/>
  <c r="D49" i="115" s="1"/>
  <c r="D50" i="115"/>
  <c r="D48" i="117"/>
  <c r="D49" i="117" s="1"/>
  <c r="D50" i="117"/>
  <c r="D48" i="116"/>
  <c r="D49" i="116" s="1"/>
  <c r="D50" i="116"/>
  <c r="D43" i="114"/>
  <c r="D44" i="114" s="1"/>
  <c r="D45" i="114"/>
  <c r="D48" i="112"/>
  <c r="D49" i="112" s="1"/>
  <c r="D50" i="112"/>
  <c r="D43" i="115"/>
  <c r="D44" i="115" s="1"/>
  <c r="D45" i="115"/>
  <c r="D43" i="116"/>
  <c r="D44" i="116" s="1"/>
  <c r="D45" i="116"/>
  <c r="D36" i="80"/>
  <c r="E45" i="7" s="1"/>
  <c r="D38" i="71"/>
  <c r="E27" i="7" s="1"/>
  <c r="D34" i="63"/>
  <c r="D35" i="63" s="1"/>
  <c r="D34" i="66"/>
  <c r="D35" i="66" s="1"/>
  <c r="D34" i="69"/>
  <c r="D35" i="69" s="1"/>
  <c r="D38" i="74"/>
  <c r="E30" i="7" s="1"/>
  <c r="D35" i="77"/>
  <c r="D36" i="77" s="1"/>
  <c r="D46" i="115" l="1"/>
  <c r="D46" i="114"/>
  <c r="D51" i="117"/>
  <c r="E20" i="7" s="1"/>
  <c r="D51" i="113"/>
  <c r="E8" i="7" s="1"/>
  <c r="D51" i="114"/>
  <c r="E12" i="7" s="1"/>
  <c r="D46" i="116"/>
  <c r="D51" i="116"/>
  <c r="E24" i="7" s="1"/>
  <c r="D51" i="115"/>
  <c r="E16" i="7" s="1"/>
  <c r="D46" i="112"/>
  <c r="D46" i="113"/>
  <c r="D51" i="112"/>
  <c r="E4" i="7" s="1"/>
  <c r="D46" i="117"/>
  <c r="D37" i="63"/>
  <c r="E33" i="7" s="1"/>
  <c r="D37" i="69"/>
  <c r="E39" i="7" s="1"/>
  <c r="D38" i="77"/>
  <c r="E42" i="7" s="1"/>
  <c r="D37" i="66"/>
  <c r="E36" i="7" s="1"/>
  <c r="F20" i="77" l="1"/>
  <c r="G20" i="77" s="1"/>
  <c r="F20" i="78"/>
  <c r="G20" i="78" s="1"/>
  <c r="F20" i="76"/>
  <c r="G20" i="76" s="1"/>
  <c r="F23" i="116"/>
  <c r="G23" i="116" s="1"/>
  <c r="F23" i="62"/>
  <c r="G23" i="62" s="1"/>
  <c r="F23" i="60"/>
  <c r="G23" i="60" s="1"/>
  <c r="F23" i="61"/>
  <c r="G23" i="61" s="1"/>
  <c r="F19" i="116"/>
  <c r="G19" i="116" s="1"/>
  <c r="F19" i="62"/>
  <c r="G19" i="62" s="1"/>
  <c r="F19" i="60"/>
  <c r="G19" i="60" s="1"/>
  <c r="F19" i="61"/>
  <c r="G19" i="61" s="1"/>
  <c r="F23" i="114"/>
  <c r="G23" i="114" s="1"/>
  <c r="F23" i="53"/>
  <c r="G23" i="53" s="1"/>
  <c r="F23" i="51"/>
  <c r="G23" i="51" s="1"/>
  <c r="F23" i="52"/>
  <c r="G23" i="52" s="1"/>
  <c r="F20" i="75"/>
  <c r="G20" i="75" s="1"/>
  <c r="F20" i="73"/>
  <c r="G20" i="73" s="1"/>
  <c r="F20" i="74"/>
  <c r="G20" i="74" s="1"/>
  <c r="F20" i="71"/>
  <c r="G20" i="71" s="1"/>
  <c r="F20" i="72"/>
  <c r="G20" i="72" s="1"/>
  <c r="F20" i="5"/>
  <c r="G20" i="5" s="1"/>
  <c r="F16" i="81"/>
  <c r="G16" i="81" s="1"/>
  <c r="F16" i="79"/>
  <c r="G16" i="79" s="1"/>
  <c r="F16" i="80"/>
  <c r="G16" i="80" s="1"/>
  <c r="F15" i="66"/>
  <c r="G15" i="66" s="1"/>
  <c r="F15" i="65"/>
  <c r="G15" i="65" s="1"/>
  <c r="F15" i="67"/>
  <c r="G15" i="67" s="1"/>
  <c r="F17" i="69"/>
  <c r="G17" i="69" s="1"/>
  <c r="F17" i="68"/>
  <c r="G17" i="68" s="1"/>
  <c r="F17" i="70"/>
  <c r="G17" i="70" s="1"/>
  <c r="F15" i="70"/>
  <c r="G15" i="70" s="1"/>
  <c r="F15" i="69"/>
  <c r="G15" i="69" s="1"/>
  <c r="F15" i="68"/>
  <c r="G15" i="68" s="1"/>
  <c r="F23" i="115"/>
  <c r="G23" i="115" s="1"/>
  <c r="F23" i="104"/>
  <c r="G23" i="104" s="1"/>
  <c r="F23" i="54"/>
  <c r="G23" i="54" s="1"/>
  <c r="F23" i="56"/>
  <c r="G23" i="56" s="1"/>
  <c r="F15" i="25"/>
  <c r="G15" i="25" s="1"/>
  <c r="F15" i="63"/>
  <c r="G15" i="63" s="1"/>
  <c r="F15" i="64"/>
  <c r="G15" i="64" s="1"/>
  <c r="F23" i="117"/>
  <c r="G23" i="117" s="1"/>
  <c r="F23" i="57"/>
  <c r="G23" i="57" s="1"/>
  <c r="F23" i="58"/>
  <c r="G23" i="58" s="1"/>
  <c r="F23" i="59"/>
  <c r="G23" i="59" s="1"/>
  <c r="F18" i="80"/>
  <c r="G18" i="80" s="1"/>
  <c r="F18" i="81"/>
  <c r="G18" i="81" s="1"/>
  <c r="F18" i="79"/>
  <c r="G18" i="79" s="1"/>
  <c r="F19" i="112"/>
  <c r="G19" i="112" s="1"/>
  <c r="F19" i="47"/>
  <c r="G19" i="47" s="1"/>
  <c r="F19" i="4"/>
  <c r="G19" i="4" s="1"/>
  <c r="F19" i="46"/>
  <c r="G19" i="46" s="1"/>
  <c r="F19" i="113"/>
  <c r="G19" i="113" s="1"/>
  <c r="F19" i="50"/>
  <c r="G19" i="50" s="1"/>
  <c r="F19" i="48"/>
  <c r="G19" i="48" s="1"/>
  <c r="F19" i="49"/>
  <c r="G19" i="49" s="1"/>
  <c r="F16" i="72"/>
  <c r="G16" i="72" s="1"/>
  <c r="F16" i="5"/>
  <c r="G16" i="5" s="1"/>
  <c r="F16" i="71"/>
  <c r="G16" i="71" s="1"/>
  <c r="F23" i="112"/>
  <c r="G23" i="112" s="1"/>
  <c r="F23" i="47"/>
  <c r="G23" i="47" s="1"/>
  <c r="F23" i="46"/>
  <c r="G23" i="46" s="1"/>
  <c r="F23" i="4"/>
  <c r="G23" i="4" s="1"/>
  <c r="F17" i="67"/>
  <c r="G17" i="67" s="1"/>
  <c r="F17" i="65"/>
  <c r="G17" i="65" s="1"/>
  <c r="F17" i="66"/>
  <c r="G17" i="66" s="1"/>
  <c r="F16" i="75"/>
  <c r="G16" i="75" s="1"/>
  <c r="F16" i="73"/>
  <c r="G16" i="73" s="1"/>
  <c r="F16" i="74"/>
  <c r="G16" i="74" s="1"/>
  <c r="F17" i="63"/>
  <c r="G17" i="63" s="1"/>
  <c r="F17" i="64"/>
  <c r="G17" i="64" s="1"/>
  <c r="F17" i="25"/>
  <c r="G17" i="25" s="1"/>
  <c r="F23" i="113"/>
  <c r="G23" i="113" s="1"/>
  <c r="F23" i="48"/>
  <c r="G23" i="48" s="1"/>
  <c r="F23" i="50"/>
  <c r="G23" i="50" s="1"/>
  <c r="F23" i="49"/>
  <c r="G23" i="49" s="1"/>
  <c r="F19" i="117"/>
  <c r="G19" i="117" s="1"/>
  <c r="F19" i="58"/>
  <c r="G19" i="58" s="1"/>
  <c r="F19" i="59"/>
  <c r="G19" i="59" s="1"/>
  <c r="F19" i="57"/>
  <c r="G19" i="57" s="1"/>
  <c r="F19" i="115"/>
  <c r="G19" i="115" s="1"/>
  <c r="F19" i="104"/>
  <c r="G19" i="104" s="1"/>
  <c r="F19" i="54"/>
  <c r="G19" i="54" s="1"/>
  <c r="F19" i="56"/>
  <c r="G19" i="56" s="1"/>
  <c r="F16" i="78"/>
  <c r="G16" i="78" s="1"/>
  <c r="F16" i="77"/>
  <c r="G16" i="77" s="1"/>
  <c r="F16" i="76"/>
  <c r="G16" i="76" s="1"/>
  <c r="H19" i="56" l="1"/>
  <c r="I19" i="56" s="1"/>
  <c r="G25" i="56"/>
  <c r="H23" i="48"/>
  <c r="I23" i="48" s="1"/>
  <c r="H16" i="74"/>
  <c r="I16" i="74" s="1"/>
  <c r="G23" i="74"/>
  <c r="H23" i="4"/>
  <c r="I23" i="4" s="1"/>
  <c r="H23" i="112"/>
  <c r="I23" i="112" s="1"/>
  <c r="H16" i="72"/>
  <c r="I16" i="72" s="1"/>
  <c r="G23" i="72"/>
  <c r="H19" i="50"/>
  <c r="I19" i="50" s="1"/>
  <c r="G25" i="50"/>
  <c r="H23" i="117"/>
  <c r="I23" i="117" s="1"/>
  <c r="H15" i="25"/>
  <c r="I15" i="25" s="1"/>
  <c r="G20" i="25"/>
  <c r="H15" i="70"/>
  <c r="I15" i="70" s="1"/>
  <c r="G20" i="70"/>
  <c r="H17" i="69"/>
  <c r="I17" i="69" s="1"/>
  <c r="H15" i="65"/>
  <c r="I15" i="65" s="1"/>
  <c r="G20" i="65"/>
  <c r="H16" i="79"/>
  <c r="I16" i="79" s="1"/>
  <c r="G21" i="79"/>
  <c r="H20" i="72"/>
  <c r="I20" i="72" s="1"/>
  <c r="H20" i="73"/>
  <c r="I20" i="73" s="1"/>
  <c r="H19" i="61"/>
  <c r="I19" i="61" s="1"/>
  <c r="G25" i="61"/>
  <c r="G23" i="76"/>
  <c r="H20" i="76"/>
  <c r="I20" i="76" s="1"/>
  <c r="H19" i="54"/>
  <c r="I19" i="54" s="1"/>
  <c r="G25" i="54"/>
  <c r="H19" i="117"/>
  <c r="I19" i="117" s="1"/>
  <c r="G25" i="117"/>
  <c r="H17" i="63"/>
  <c r="I17" i="63" s="1"/>
  <c r="H16" i="73"/>
  <c r="I16" i="73" s="1"/>
  <c r="G23" i="73"/>
  <c r="H23" i="46"/>
  <c r="I23" i="46" s="1"/>
  <c r="H16" i="71"/>
  <c r="I16" i="71" s="1"/>
  <c r="G23" i="71"/>
  <c r="H19" i="49"/>
  <c r="I19" i="49" s="1"/>
  <c r="G25" i="49"/>
  <c r="H19" i="113"/>
  <c r="I19" i="113" s="1"/>
  <c r="G25" i="113"/>
  <c r="H19" i="47"/>
  <c r="I19" i="47" s="1"/>
  <c r="G25" i="47"/>
  <c r="H15" i="64"/>
  <c r="I15" i="64" s="1"/>
  <c r="G20" i="64"/>
  <c r="H23" i="56"/>
  <c r="I23" i="56" s="1"/>
  <c r="H23" i="115"/>
  <c r="I23" i="115" s="1"/>
  <c r="H15" i="66"/>
  <c r="I15" i="66" s="1"/>
  <c r="G20" i="66"/>
  <c r="H16" i="81"/>
  <c r="I16" i="81" s="1"/>
  <c r="G21" i="81"/>
  <c r="H20" i="71"/>
  <c r="I20" i="71" s="1"/>
  <c r="H20" i="75"/>
  <c r="I20" i="75" s="1"/>
  <c r="H23" i="53"/>
  <c r="I23" i="53" s="1"/>
  <c r="H19" i="116"/>
  <c r="I19" i="116" s="1"/>
  <c r="G25" i="116"/>
  <c r="H23" i="60"/>
  <c r="I23" i="60" s="1"/>
  <c r="G23" i="78"/>
  <c r="H20" i="78"/>
  <c r="I20" i="78" s="1"/>
  <c r="H17" i="64"/>
  <c r="I17" i="64" s="1"/>
  <c r="H18" i="81"/>
  <c r="I18" i="81" s="1"/>
  <c r="H16" i="76"/>
  <c r="I16" i="76" s="1"/>
  <c r="H19" i="104"/>
  <c r="I19" i="104" s="1"/>
  <c r="G25" i="104"/>
  <c r="H19" i="57"/>
  <c r="I19" i="57" s="1"/>
  <c r="G25" i="57"/>
  <c r="H23" i="49"/>
  <c r="I23" i="49" s="1"/>
  <c r="H23" i="113"/>
  <c r="I23" i="113" s="1"/>
  <c r="H16" i="75"/>
  <c r="I16" i="75" s="1"/>
  <c r="G23" i="75"/>
  <c r="H17" i="67"/>
  <c r="I17" i="67" s="1"/>
  <c r="H23" i="47"/>
  <c r="I23" i="47" s="1"/>
  <c r="H19" i="46"/>
  <c r="I19" i="46" s="1"/>
  <c r="G25" i="46"/>
  <c r="H19" i="112"/>
  <c r="I19" i="112" s="1"/>
  <c r="G25" i="112"/>
  <c r="H18" i="80"/>
  <c r="I18" i="80" s="1"/>
  <c r="H23" i="54"/>
  <c r="I23" i="54" s="1"/>
  <c r="H15" i="68"/>
  <c r="I15" i="68" s="1"/>
  <c r="G20" i="68"/>
  <c r="H17" i="70"/>
  <c r="I17" i="70" s="1"/>
  <c r="H15" i="67"/>
  <c r="I15" i="67" s="1"/>
  <c r="G20" i="67"/>
  <c r="H16" i="80"/>
  <c r="I16" i="80" s="1"/>
  <c r="G21" i="80"/>
  <c r="H20" i="5"/>
  <c r="I20" i="5" s="1"/>
  <c r="H20" i="74"/>
  <c r="I20" i="74" s="1"/>
  <c r="H23" i="52"/>
  <c r="I23" i="52" s="1"/>
  <c r="H23" i="114"/>
  <c r="I23" i="114" s="1"/>
  <c r="H19" i="60"/>
  <c r="I19" i="60" s="1"/>
  <c r="G25" i="60"/>
  <c r="H23" i="62"/>
  <c r="I23" i="62" s="1"/>
  <c r="G23" i="77"/>
  <c r="H20" i="77"/>
  <c r="I20" i="77" s="1"/>
  <c r="H16" i="78"/>
  <c r="I16" i="78" s="1"/>
  <c r="H19" i="58"/>
  <c r="I19" i="58" s="1"/>
  <c r="G25" i="58"/>
  <c r="H17" i="65"/>
  <c r="I17" i="65" s="1"/>
  <c r="H23" i="58"/>
  <c r="I23" i="58" s="1"/>
  <c r="H16" i="77"/>
  <c r="I16" i="77" s="1"/>
  <c r="H19" i="115"/>
  <c r="I19" i="115" s="1"/>
  <c r="G25" i="115"/>
  <c r="H19" i="59"/>
  <c r="I19" i="59" s="1"/>
  <c r="G25" i="59"/>
  <c r="H23" i="50"/>
  <c r="I23" i="50" s="1"/>
  <c r="H17" i="25"/>
  <c r="I17" i="25" s="1"/>
  <c r="H17" i="66"/>
  <c r="I17" i="66" s="1"/>
  <c r="H16" i="5"/>
  <c r="I16" i="5" s="1"/>
  <c r="G23" i="5"/>
  <c r="H19" i="48"/>
  <c r="I19" i="48" s="1"/>
  <c r="G25" i="48"/>
  <c r="H19" i="4"/>
  <c r="I19" i="4" s="1"/>
  <c r="G25" i="4"/>
  <c r="H18" i="79"/>
  <c r="I18" i="79" s="1"/>
  <c r="H23" i="59"/>
  <c r="I23" i="59" s="1"/>
  <c r="H23" i="57"/>
  <c r="I23" i="57" s="1"/>
  <c r="H15" i="63"/>
  <c r="I15" i="63" s="1"/>
  <c r="G20" i="63"/>
  <c r="H23" i="104"/>
  <c r="I23" i="104" s="1"/>
  <c r="H15" i="69"/>
  <c r="I15" i="69" s="1"/>
  <c r="G20" i="69"/>
  <c r="H17" i="68"/>
  <c r="I17" i="68" s="1"/>
  <c r="H23" i="51"/>
  <c r="I23" i="51" s="1"/>
  <c r="H19" i="62"/>
  <c r="I19" i="62" s="1"/>
  <c r="G25" i="62"/>
  <c r="H23" i="61"/>
  <c r="I23" i="61" s="1"/>
  <c r="H23" i="116"/>
  <c r="I23" i="116" s="1"/>
  <c r="G27" i="75" l="1"/>
  <c r="G34" i="75"/>
  <c r="G37" i="75" s="1"/>
  <c r="H23" i="75"/>
  <c r="G47" i="57"/>
  <c r="G50" i="57" s="1"/>
  <c r="G29" i="57"/>
  <c r="G42" i="57"/>
  <c r="G45" i="57" s="1"/>
  <c r="G30" i="57"/>
  <c r="H25" i="57"/>
  <c r="H25" i="113"/>
  <c r="G29" i="113"/>
  <c r="G30" i="113"/>
  <c r="G47" i="113"/>
  <c r="G50" i="113" s="1"/>
  <c r="G42" i="113"/>
  <c r="G45" i="113" s="1"/>
  <c r="G30" i="117"/>
  <c r="G29" i="117"/>
  <c r="H25" i="117"/>
  <c r="G42" i="117"/>
  <c r="G45" i="117" s="1"/>
  <c r="G47" i="117"/>
  <c r="G50" i="117" s="1"/>
  <c r="H25" i="54"/>
  <c r="G42" i="54"/>
  <c r="G45" i="54" s="1"/>
  <c r="G29" i="54"/>
  <c r="G47" i="54"/>
  <c r="G50" i="54" s="1"/>
  <c r="G30" i="54"/>
  <c r="H20" i="69"/>
  <c r="G22" i="69"/>
  <c r="G29" i="60"/>
  <c r="H25" i="60"/>
  <c r="G30" i="60"/>
  <c r="G42" i="60"/>
  <c r="G45" i="60" s="1"/>
  <c r="G47" i="60"/>
  <c r="G50" i="60" s="1"/>
  <c r="H20" i="67"/>
  <c r="G22" i="67"/>
  <c r="H25" i="112"/>
  <c r="G29" i="112"/>
  <c r="G30" i="112"/>
  <c r="G42" i="112"/>
  <c r="G45" i="112" s="1"/>
  <c r="G47" i="112"/>
  <c r="G50" i="112" s="1"/>
  <c r="H25" i="46"/>
  <c r="G30" i="46"/>
  <c r="G42" i="46"/>
  <c r="G45" i="46" s="1"/>
  <c r="G29" i="46"/>
  <c r="G47" i="46"/>
  <c r="G50" i="46" s="1"/>
  <c r="H20" i="66"/>
  <c r="G22" i="66"/>
  <c r="H25" i="61"/>
  <c r="G47" i="61"/>
  <c r="G50" i="61" s="1"/>
  <c r="G30" i="61"/>
  <c r="G42" i="61"/>
  <c r="G45" i="61" s="1"/>
  <c r="G29" i="61"/>
  <c r="G22" i="25"/>
  <c r="H20" i="25"/>
  <c r="G29" i="104"/>
  <c r="H25" i="104"/>
  <c r="G30" i="104"/>
  <c r="G42" i="104"/>
  <c r="G45" i="104" s="1"/>
  <c r="G47" i="104"/>
  <c r="G50" i="104" s="1"/>
  <c r="G30" i="116"/>
  <c r="G29" i="116"/>
  <c r="H25" i="116"/>
  <c r="G47" i="116"/>
  <c r="G50" i="116" s="1"/>
  <c r="G42" i="116"/>
  <c r="G45" i="116" s="1"/>
  <c r="G47" i="47"/>
  <c r="G50" i="47" s="1"/>
  <c r="H25" i="47"/>
  <c r="G30" i="47"/>
  <c r="G42" i="47"/>
  <c r="G45" i="47" s="1"/>
  <c r="G29" i="47"/>
  <c r="G29" i="49"/>
  <c r="H25" i="49"/>
  <c r="G47" i="49"/>
  <c r="G50" i="49" s="1"/>
  <c r="G42" i="49"/>
  <c r="G45" i="49" s="1"/>
  <c r="G30" i="49"/>
  <c r="G29" i="50"/>
  <c r="G47" i="50"/>
  <c r="G50" i="50" s="1"/>
  <c r="H25" i="50"/>
  <c r="G30" i="50"/>
  <c r="G42" i="50"/>
  <c r="G45" i="50" s="1"/>
  <c r="G22" i="63"/>
  <c r="H20" i="63"/>
  <c r="G27" i="5"/>
  <c r="G34" i="5"/>
  <c r="G37" i="5" s="1"/>
  <c r="H23" i="5"/>
  <c r="H25" i="58"/>
  <c r="G42" i="58"/>
  <c r="G45" i="58" s="1"/>
  <c r="G30" i="58"/>
  <c r="G29" i="58"/>
  <c r="G47" i="58"/>
  <c r="G50" i="58" s="1"/>
  <c r="G25" i="80"/>
  <c r="H21" i="80"/>
  <c r="G32" i="80"/>
  <c r="G35" i="80" s="1"/>
  <c r="H20" i="68"/>
  <c r="G22" i="68"/>
  <c r="G27" i="78"/>
  <c r="H23" i="78"/>
  <c r="G34" i="78"/>
  <c r="G37" i="78" s="1"/>
  <c r="G25" i="81"/>
  <c r="G32" i="81"/>
  <c r="G35" i="81" s="1"/>
  <c r="H21" i="81"/>
  <c r="G22" i="65"/>
  <c r="H20" i="65"/>
  <c r="H23" i="77"/>
  <c r="G27" i="77"/>
  <c r="G34" i="77"/>
  <c r="G37" i="77" s="1"/>
  <c r="G29" i="62"/>
  <c r="H25" i="62"/>
  <c r="G30" i="62"/>
  <c r="G42" i="62"/>
  <c r="G45" i="62" s="1"/>
  <c r="G47" i="62"/>
  <c r="G50" i="62" s="1"/>
  <c r="G29" i="4"/>
  <c r="G30" i="4"/>
  <c r="G47" i="4"/>
  <c r="G50" i="4" s="1"/>
  <c r="H25" i="4"/>
  <c r="G42" i="4"/>
  <c r="G45" i="4" s="1"/>
  <c r="G29" i="48"/>
  <c r="H25" i="48"/>
  <c r="G30" i="48"/>
  <c r="G47" i="48"/>
  <c r="G50" i="48" s="1"/>
  <c r="G42" i="48"/>
  <c r="G45" i="48" s="1"/>
  <c r="G42" i="59"/>
  <c r="G45" i="59" s="1"/>
  <c r="G30" i="59"/>
  <c r="H25" i="59"/>
  <c r="G29" i="59"/>
  <c r="G47" i="59"/>
  <c r="G50" i="59" s="1"/>
  <c r="H25" i="115"/>
  <c r="G30" i="115"/>
  <c r="G29" i="115"/>
  <c r="G47" i="115"/>
  <c r="G50" i="115" s="1"/>
  <c r="G42" i="115"/>
  <c r="G45" i="115" s="1"/>
  <c r="H20" i="64"/>
  <c r="G22" i="64"/>
  <c r="G27" i="71"/>
  <c r="H23" i="71"/>
  <c r="G34" i="71"/>
  <c r="G37" i="71" s="1"/>
  <c r="G27" i="73"/>
  <c r="H23" i="73"/>
  <c r="G34" i="73"/>
  <c r="G37" i="73" s="1"/>
  <c r="H23" i="76"/>
  <c r="G27" i="76"/>
  <c r="G34" i="76"/>
  <c r="G37" i="76" s="1"/>
  <c r="G25" i="79"/>
  <c r="H21" i="79"/>
  <c r="G32" i="79"/>
  <c r="G35" i="79" s="1"/>
  <c r="H20" i="70"/>
  <c r="G22" i="70"/>
  <c r="H23" i="72"/>
  <c r="G27" i="72"/>
  <c r="G34" i="72"/>
  <c r="G37" i="72" s="1"/>
  <c r="H23" i="74"/>
  <c r="G27" i="74"/>
  <c r="G34" i="74"/>
  <c r="G37" i="74" s="1"/>
  <c r="G47" i="56"/>
  <c r="G50" i="56" s="1"/>
  <c r="G42" i="56"/>
  <c r="G45" i="56" s="1"/>
  <c r="G29" i="56"/>
  <c r="H25" i="56"/>
  <c r="G30" i="56"/>
  <c r="H27" i="76" l="1"/>
  <c r="I27" i="76" s="1"/>
  <c r="I23" i="71"/>
  <c r="F27" i="7"/>
  <c r="G43" i="48"/>
  <c r="H42" i="48"/>
  <c r="I42" i="48" s="1"/>
  <c r="G48" i="62"/>
  <c r="G49" i="62" s="1"/>
  <c r="H47" i="62"/>
  <c r="I47" i="62" s="1"/>
  <c r="H34" i="78"/>
  <c r="I34" i="78" s="1"/>
  <c r="G35" i="78"/>
  <c r="I20" i="68"/>
  <c r="F38" i="7"/>
  <c r="H30" i="47"/>
  <c r="I30" i="47" s="1"/>
  <c r="G35" i="47"/>
  <c r="H42" i="112"/>
  <c r="I42" i="112" s="1"/>
  <c r="G43" i="112"/>
  <c r="G44" i="112" s="1"/>
  <c r="I20" i="67"/>
  <c r="F37" i="7"/>
  <c r="G33" i="69"/>
  <c r="G36" i="69" s="1"/>
  <c r="H22" i="69"/>
  <c r="I22" i="69" s="1"/>
  <c r="G26" i="69"/>
  <c r="G35" i="54"/>
  <c r="H30" i="54"/>
  <c r="I30" i="54" s="1"/>
  <c r="F14" i="7"/>
  <c r="I25" i="54"/>
  <c r="H42" i="113"/>
  <c r="I42" i="113" s="1"/>
  <c r="G43" i="113"/>
  <c r="H30" i="113"/>
  <c r="I30" i="113" s="1"/>
  <c r="G35" i="113"/>
  <c r="G34" i="57"/>
  <c r="H29" i="57"/>
  <c r="I29" i="57" s="1"/>
  <c r="H42" i="56"/>
  <c r="I42" i="56" s="1"/>
  <c r="G43" i="56"/>
  <c r="H27" i="74"/>
  <c r="I27" i="74" s="1"/>
  <c r="H27" i="72"/>
  <c r="I27" i="72" s="1"/>
  <c r="F40" i="7"/>
  <c r="I20" i="70"/>
  <c r="H25" i="79"/>
  <c r="I25" i="79" s="1"/>
  <c r="F41" i="7"/>
  <c r="I23" i="76"/>
  <c r="H27" i="73"/>
  <c r="I27" i="73" s="1"/>
  <c r="H27" i="71"/>
  <c r="I27" i="71" s="1"/>
  <c r="H47" i="115"/>
  <c r="I47" i="115" s="1"/>
  <c r="G48" i="115"/>
  <c r="H30" i="115"/>
  <c r="I30" i="115" s="1"/>
  <c r="G35" i="115"/>
  <c r="G48" i="59"/>
  <c r="H47" i="59"/>
  <c r="I47" i="59" s="1"/>
  <c r="G43" i="59"/>
  <c r="H42" i="59"/>
  <c r="I42" i="59" s="1"/>
  <c r="G48" i="48"/>
  <c r="H47" i="48"/>
  <c r="I47" i="48" s="1"/>
  <c r="G48" i="4"/>
  <c r="H47" i="4"/>
  <c r="I47" i="4" s="1"/>
  <c r="G43" i="62"/>
  <c r="H42" i="62"/>
  <c r="I42" i="62" s="1"/>
  <c r="G35" i="77"/>
  <c r="H34" i="77"/>
  <c r="I34" i="77" s="1"/>
  <c r="G33" i="81"/>
  <c r="G34" i="81" s="1"/>
  <c r="H32" i="81"/>
  <c r="I32" i="81" s="1"/>
  <c r="I23" i="78"/>
  <c r="F43" i="7"/>
  <c r="G33" i="80"/>
  <c r="H32" i="80"/>
  <c r="I32" i="80" s="1"/>
  <c r="G35" i="58"/>
  <c r="H30" i="58"/>
  <c r="I30" i="58" s="1"/>
  <c r="F26" i="7"/>
  <c r="I23" i="5"/>
  <c r="F33" i="7"/>
  <c r="I20" i="63"/>
  <c r="H42" i="50"/>
  <c r="I42" i="50" s="1"/>
  <c r="G43" i="50"/>
  <c r="H29" i="50"/>
  <c r="I29" i="50" s="1"/>
  <c r="G34" i="50"/>
  <c r="H47" i="49"/>
  <c r="I47" i="49" s="1"/>
  <c r="G48" i="49"/>
  <c r="F5" i="7"/>
  <c r="I25" i="47"/>
  <c r="H42" i="116"/>
  <c r="I42" i="116" s="1"/>
  <c r="G43" i="116"/>
  <c r="I25" i="116"/>
  <c r="G24" i="7" s="1"/>
  <c r="F24" i="7"/>
  <c r="I25" i="104"/>
  <c r="F15" i="7"/>
  <c r="H47" i="61"/>
  <c r="I47" i="61" s="1"/>
  <c r="G48" i="61"/>
  <c r="H30" i="46"/>
  <c r="I30" i="46" s="1"/>
  <c r="G35" i="46"/>
  <c r="I25" i="112"/>
  <c r="G4" i="7" s="1"/>
  <c r="F4" i="7"/>
  <c r="F22" i="7"/>
  <c r="I25" i="60"/>
  <c r="F39" i="7"/>
  <c r="I20" i="69"/>
  <c r="G48" i="54"/>
  <c r="H47" i="54"/>
  <c r="I47" i="54" s="1"/>
  <c r="G48" i="117"/>
  <c r="H47" i="117"/>
  <c r="I47" i="117" s="1"/>
  <c r="F20" i="7"/>
  <c r="I25" i="117"/>
  <c r="G20" i="7" s="1"/>
  <c r="H47" i="113"/>
  <c r="I47" i="113" s="1"/>
  <c r="G48" i="113"/>
  <c r="G49" i="113" s="1"/>
  <c r="H29" i="113"/>
  <c r="I29" i="113" s="1"/>
  <c r="G34" i="113"/>
  <c r="F18" i="7"/>
  <c r="I25" i="57"/>
  <c r="H47" i="57"/>
  <c r="I47" i="57" s="1"/>
  <c r="G48" i="57"/>
  <c r="G49" i="57" s="1"/>
  <c r="H27" i="75"/>
  <c r="I27" i="75" s="1"/>
  <c r="H29" i="56"/>
  <c r="I29" i="56" s="1"/>
  <c r="G34" i="56"/>
  <c r="G33" i="70"/>
  <c r="G36" i="70" s="1"/>
  <c r="G26" i="70"/>
  <c r="H22" i="70"/>
  <c r="I22" i="70" s="1"/>
  <c r="I21" i="79"/>
  <c r="F44" i="7"/>
  <c r="I23" i="73"/>
  <c r="F29" i="7"/>
  <c r="F34" i="7"/>
  <c r="I20" i="64"/>
  <c r="H29" i="115"/>
  <c r="I29" i="115" s="1"/>
  <c r="G34" i="115"/>
  <c r="H30" i="59"/>
  <c r="I30" i="59" s="1"/>
  <c r="G35" i="59"/>
  <c r="I25" i="4"/>
  <c r="F2" i="7"/>
  <c r="I23" i="77"/>
  <c r="F42" i="7"/>
  <c r="H25" i="80"/>
  <c r="I25" i="80" s="1"/>
  <c r="H47" i="50"/>
  <c r="I47" i="50" s="1"/>
  <c r="G48" i="50"/>
  <c r="H30" i="104"/>
  <c r="I30" i="104" s="1"/>
  <c r="G35" i="104"/>
  <c r="H22" i="25"/>
  <c r="I22" i="25" s="1"/>
  <c r="G33" i="25"/>
  <c r="G36" i="25" s="1"/>
  <c r="G26" i="25"/>
  <c r="G43" i="46"/>
  <c r="H42" i="46"/>
  <c r="I42" i="46" s="1"/>
  <c r="H29" i="112"/>
  <c r="I29" i="112" s="1"/>
  <c r="G34" i="112"/>
  <c r="G35" i="60"/>
  <c r="H30" i="60"/>
  <c r="I30" i="60" s="1"/>
  <c r="H34" i="75"/>
  <c r="I34" i="75" s="1"/>
  <c r="G35" i="75"/>
  <c r="H30" i="56"/>
  <c r="I30" i="56" s="1"/>
  <c r="G35" i="56"/>
  <c r="G48" i="56"/>
  <c r="H47" i="56"/>
  <c r="I47" i="56" s="1"/>
  <c r="I23" i="74"/>
  <c r="F30" i="7"/>
  <c r="F28" i="7"/>
  <c r="I23" i="72"/>
  <c r="H34" i="71"/>
  <c r="I34" i="71" s="1"/>
  <c r="G35" i="71"/>
  <c r="G36" i="71" s="1"/>
  <c r="F16" i="7"/>
  <c r="I25" i="115"/>
  <c r="G16" i="7" s="1"/>
  <c r="H29" i="59"/>
  <c r="I29" i="59" s="1"/>
  <c r="G34" i="59"/>
  <c r="G35" i="48"/>
  <c r="H30" i="48"/>
  <c r="I30" i="48" s="1"/>
  <c r="H30" i="4"/>
  <c r="I30" i="4" s="1"/>
  <c r="G35" i="4"/>
  <c r="G35" i="62"/>
  <c r="H30" i="62"/>
  <c r="I30" i="62" s="1"/>
  <c r="F35" i="7"/>
  <c r="I20" i="65"/>
  <c r="H25" i="81"/>
  <c r="I25" i="81" s="1"/>
  <c r="H27" i="78"/>
  <c r="I27" i="78" s="1"/>
  <c r="G43" i="58"/>
  <c r="H42" i="58"/>
  <c r="I42" i="58" s="1"/>
  <c r="H34" i="5"/>
  <c r="I34" i="5" s="1"/>
  <c r="G35" i="5"/>
  <c r="G26" i="63"/>
  <c r="H22" i="63"/>
  <c r="I22" i="63" s="1"/>
  <c r="G33" i="63"/>
  <c r="G36" i="63" s="1"/>
  <c r="G35" i="50"/>
  <c r="H30" i="50"/>
  <c r="I30" i="50" s="1"/>
  <c r="I25" i="49"/>
  <c r="F7" i="7"/>
  <c r="H29" i="47"/>
  <c r="I29" i="47" s="1"/>
  <c r="G34" i="47"/>
  <c r="H47" i="47"/>
  <c r="I47" i="47" s="1"/>
  <c r="G48" i="47"/>
  <c r="G49" i="47" s="1"/>
  <c r="G48" i="116"/>
  <c r="G49" i="116" s="1"/>
  <c r="H47" i="116"/>
  <c r="I47" i="116" s="1"/>
  <c r="H29" i="116"/>
  <c r="I29" i="116" s="1"/>
  <c r="G34" i="116"/>
  <c r="G48" i="104"/>
  <c r="H47" i="104"/>
  <c r="I47" i="104" s="1"/>
  <c r="H29" i="104"/>
  <c r="I29" i="104" s="1"/>
  <c r="G34" i="104"/>
  <c r="G34" i="61"/>
  <c r="H29" i="61"/>
  <c r="I29" i="61" s="1"/>
  <c r="F23" i="7"/>
  <c r="I25" i="61"/>
  <c r="G48" i="46"/>
  <c r="H47" i="46"/>
  <c r="I47" i="46" s="1"/>
  <c r="F3" i="7"/>
  <c r="I25" i="46"/>
  <c r="H47" i="60"/>
  <c r="I47" i="60" s="1"/>
  <c r="G48" i="60"/>
  <c r="H29" i="60"/>
  <c r="I29" i="60" s="1"/>
  <c r="G34" i="60"/>
  <c r="G34" i="54"/>
  <c r="H29" i="54"/>
  <c r="I29" i="54" s="1"/>
  <c r="G43" i="117"/>
  <c r="G44" i="117" s="1"/>
  <c r="H42" i="117"/>
  <c r="I42" i="117" s="1"/>
  <c r="G34" i="117"/>
  <c r="H29" i="117"/>
  <c r="I29" i="117" s="1"/>
  <c r="F8" i="7"/>
  <c r="I25" i="113"/>
  <c r="G8" i="7" s="1"/>
  <c r="G35" i="57"/>
  <c r="H30" i="57"/>
  <c r="I30" i="57" s="1"/>
  <c r="G35" i="72"/>
  <c r="H34" i="72"/>
  <c r="I34" i="72" s="1"/>
  <c r="H42" i="115"/>
  <c r="I42" i="115" s="1"/>
  <c r="G43" i="115"/>
  <c r="G34" i="48"/>
  <c r="H29" i="48"/>
  <c r="I29" i="48" s="1"/>
  <c r="H29" i="62"/>
  <c r="I29" i="62" s="1"/>
  <c r="G34" i="62"/>
  <c r="I21" i="81"/>
  <c r="F46" i="7"/>
  <c r="G34" i="58"/>
  <c r="H29" i="58"/>
  <c r="I29" i="58" s="1"/>
  <c r="H42" i="49"/>
  <c r="I42" i="49" s="1"/>
  <c r="G43" i="49"/>
  <c r="G44" i="49" s="1"/>
  <c r="G35" i="61"/>
  <c r="H30" i="61"/>
  <c r="I30" i="61" s="1"/>
  <c r="I20" i="66"/>
  <c r="F36" i="7"/>
  <c r="F17" i="7"/>
  <c r="I25" i="56"/>
  <c r="H34" i="74"/>
  <c r="I34" i="74" s="1"/>
  <c r="G35" i="74"/>
  <c r="G33" i="79"/>
  <c r="H32" i="79"/>
  <c r="I32" i="79" s="1"/>
  <c r="H34" i="76"/>
  <c r="I34" i="76" s="1"/>
  <c r="G35" i="76"/>
  <c r="G36" i="76" s="1"/>
  <c r="G35" i="73"/>
  <c r="H34" i="73"/>
  <c r="I34" i="73" s="1"/>
  <c r="H22" i="64"/>
  <c r="I22" i="64" s="1"/>
  <c r="G33" i="64"/>
  <c r="G36" i="64" s="1"/>
  <c r="G26" i="64"/>
  <c r="I25" i="59"/>
  <c r="F21" i="7"/>
  <c r="F6" i="7"/>
  <c r="I25" i="48"/>
  <c r="H42" i="4"/>
  <c r="I42" i="4" s="1"/>
  <c r="G43" i="4"/>
  <c r="G34" i="4"/>
  <c r="H29" i="4"/>
  <c r="I29" i="4" s="1"/>
  <c r="F25" i="7"/>
  <c r="I25" i="62"/>
  <c r="H27" i="77"/>
  <c r="I27" i="77" s="1"/>
  <c r="G26" i="65"/>
  <c r="H22" i="65"/>
  <c r="I22" i="65" s="1"/>
  <c r="G33" i="65"/>
  <c r="G36" i="65" s="1"/>
  <c r="G26" i="68"/>
  <c r="H22" i="68"/>
  <c r="I22" i="68" s="1"/>
  <c r="G33" i="68"/>
  <c r="G36" i="68" s="1"/>
  <c r="I21" i="80"/>
  <c r="F45" i="7"/>
  <c r="H47" i="58"/>
  <c r="I47" i="58" s="1"/>
  <c r="G48" i="58"/>
  <c r="I25" i="58"/>
  <c r="F19" i="7"/>
  <c r="H27" i="5"/>
  <c r="I27" i="5" s="1"/>
  <c r="I25" i="50"/>
  <c r="F9" i="7"/>
  <c r="G35" i="49"/>
  <c r="H30" i="49"/>
  <c r="I30" i="49" s="1"/>
  <c r="G34" i="49"/>
  <c r="H29" i="49"/>
  <c r="I29" i="49" s="1"/>
  <c r="G43" i="47"/>
  <c r="H42" i="47"/>
  <c r="I42" i="47" s="1"/>
  <c r="G35" i="116"/>
  <c r="H30" i="116"/>
  <c r="I30" i="116" s="1"/>
  <c r="H42" i="104"/>
  <c r="I42" i="104" s="1"/>
  <c r="G43" i="104"/>
  <c r="I20" i="25"/>
  <c r="F32" i="7"/>
  <c r="H42" i="61"/>
  <c r="I42" i="61" s="1"/>
  <c r="G43" i="61"/>
  <c r="G44" i="61" s="1"/>
  <c r="G26" i="66"/>
  <c r="H22" i="66"/>
  <c r="I22" i="66" s="1"/>
  <c r="G33" i="66"/>
  <c r="G36" i="66" s="1"/>
  <c r="H29" i="46"/>
  <c r="I29" i="46" s="1"/>
  <c r="G34" i="46"/>
  <c r="H47" i="112"/>
  <c r="I47" i="112" s="1"/>
  <c r="G48" i="112"/>
  <c r="H30" i="112"/>
  <c r="I30" i="112" s="1"/>
  <c r="G35" i="112"/>
  <c r="G33" i="67"/>
  <c r="G36" i="67" s="1"/>
  <c r="G26" i="67"/>
  <c r="H22" i="67"/>
  <c r="I22" i="67" s="1"/>
  <c r="H42" i="60"/>
  <c r="I42" i="60" s="1"/>
  <c r="G43" i="60"/>
  <c r="H42" i="54"/>
  <c r="I42" i="54" s="1"/>
  <c r="G43" i="54"/>
  <c r="G44" i="54" s="1"/>
  <c r="H30" i="117"/>
  <c r="I30" i="117" s="1"/>
  <c r="G35" i="117"/>
  <c r="G43" i="57"/>
  <c r="H42" i="57"/>
  <c r="I42" i="57" s="1"/>
  <c r="F31" i="7"/>
  <c r="I23" i="75"/>
  <c r="H34" i="47" l="1"/>
  <c r="I34" i="47" s="1"/>
  <c r="H35" i="116"/>
  <c r="I35" i="116" s="1"/>
  <c r="G36" i="72"/>
  <c r="H35" i="72"/>
  <c r="I35" i="72" s="1"/>
  <c r="H44" i="117"/>
  <c r="I44" i="117" s="1"/>
  <c r="H34" i="60"/>
  <c r="I34" i="60" s="1"/>
  <c r="G44" i="58"/>
  <c r="H43" i="58"/>
  <c r="I43" i="58" s="1"/>
  <c r="H35" i="48"/>
  <c r="I35" i="48" s="1"/>
  <c r="H36" i="71"/>
  <c r="I36" i="71" s="1"/>
  <c r="G30" i="7"/>
  <c r="H26" i="25"/>
  <c r="I26" i="25" s="1"/>
  <c r="G49" i="61"/>
  <c r="H48" i="61"/>
  <c r="I48" i="61" s="1"/>
  <c r="G19" i="7"/>
  <c r="H36" i="76"/>
  <c r="I36" i="76" s="1"/>
  <c r="G46" i="7"/>
  <c r="G51" i="116"/>
  <c r="K35" i="116" s="1"/>
  <c r="H49" i="116"/>
  <c r="I49" i="116" s="1"/>
  <c r="H35" i="50"/>
  <c r="I35" i="50" s="1"/>
  <c r="H48" i="57"/>
  <c r="I48" i="57" s="1"/>
  <c r="G36" i="77"/>
  <c r="H35" i="77"/>
  <c r="I35" i="77" s="1"/>
  <c r="G44" i="113"/>
  <c r="H43" i="113"/>
  <c r="I43" i="113" s="1"/>
  <c r="G34" i="68"/>
  <c r="H33" i="68"/>
  <c r="I33" i="68" s="1"/>
  <c r="G6" i="7"/>
  <c r="H43" i="49"/>
  <c r="I43" i="49" s="1"/>
  <c r="H48" i="47"/>
  <c r="I48" i="47" s="1"/>
  <c r="G44" i="46"/>
  <c r="H43" i="46"/>
  <c r="I43" i="46" s="1"/>
  <c r="G22" i="7"/>
  <c r="G44" i="116"/>
  <c r="H43" i="116"/>
  <c r="I43" i="116" s="1"/>
  <c r="G49" i="49"/>
  <c r="H48" i="49"/>
  <c r="I48" i="49" s="1"/>
  <c r="G33" i="7"/>
  <c r="G41" i="7"/>
  <c r="G44" i="60"/>
  <c r="H43" i="60"/>
  <c r="I43" i="60" s="1"/>
  <c r="G7" i="7"/>
  <c r="G44" i="57"/>
  <c r="H43" i="57"/>
  <c r="I43" i="57" s="1"/>
  <c r="H26" i="66"/>
  <c r="I26" i="66" s="1"/>
  <c r="G25" i="7"/>
  <c r="H34" i="4"/>
  <c r="I34" i="4" s="1"/>
  <c r="H34" i="48"/>
  <c r="I34" i="48" s="1"/>
  <c r="H35" i="57"/>
  <c r="I35" i="57" s="1"/>
  <c r="H26" i="63"/>
  <c r="I26" i="63" s="1"/>
  <c r="H34" i="112"/>
  <c r="I34" i="112" s="1"/>
  <c r="G42" i="7"/>
  <c r="G49" i="54"/>
  <c r="H48" i="54"/>
  <c r="I48" i="54" s="1"/>
  <c r="G15" i="7"/>
  <c r="G44" i="59"/>
  <c r="H43" i="59"/>
  <c r="I43" i="59" s="1"/>
  <c r="H35" i="54"/>
  <c r="I35" i="54" s="1"/>
  <c r="G34" i="69"/>
  <c r="G35" i="69" s="1"/>
  <c r="H33" i="69"/>
  <c r="I33" i="69" s="1"/>
  <c r="H49" i="62"/>
  <c r="I49" i="62" s="1"/>
  <c r="G49" i="112"/>
  <c r="H48" i="112"/>
  <c r="I48" i="112" s="1"/>
  <c r="H34" i="46"/>
  <c r="I34" i="46" s="1"/>
  <c r="H33" i="66"/>
  <c r="I33" i="66" s="1"/>
  <c r="G34" i="66"/>
  <c r="G32" i="7"/>
  <c r="H26" i="65"/>
  <c r="I26" i="65" s="1"/>
  <c r="G21" i="7"/>
  <c r="H35" i="76"/>
  <c r="I35" i="76" s="1"/>
  <c r="G34" i="79"/>
  <c r="H33" i="79"/>
  <c r="I33" i="79" s="1"/>
  <c r="H34" i="58"/>
  <c r="I34" i="58" s="1"/>
  <c r="H34" i="61"/>
  <c r="I34" i="61" s="1"/>
  <c r="H34" i="116"/>
  <c r="I34" i="116" s="1"/>
  <c r="G34" i="63"/>
  <c r="H33" i="63"/>
  <c r="I33" i="63" s="1"/>
  <c r="H35" i="62"/>
  <c r="I35" i="62" s="1"/>
  <c r="H35" i="71"/>
  <c r="I35" i="71" s="1"/>
  <c r="G36" i="75"/>
  <c r="H35" i="75"/>
  <c r="I35" i="75" s="1"/>
  <c r="G34" i="25"/>
  <c r="H33" i="25"/>
  <c r="I33" i="25" s="1"/>
  <c r="H35" i="104"/>
  <c r="I35" i="104" s="1"/>
  <c r="G2" i="7"/>
  <c r="H35" i="59"/>
  <c r="I35" i="59" s="1"/>
  <c r="H34" i="115"/>
  <c r="I34" i="115" s="1"/>
  <c r="G49" i="117"/>
  <c r="H48" i="117"/>
  <c r="I48" i="117" s="1"/>
  <c r="G39" i="7"/>
  <c r="G5" i="7"/>
  <c r="G43" i="7"/>
  <c r="H33" i="81"/>
  <c r="I33" i="81" s="1"/>
  <c r="G49" i="48"/>
  <c r="H48" i="48"/>
  <c r="I48" i="48" s="1"/>
  <c r="G49" i="115"/>
  <c r="H48" i="115"/>
  <c r="I48" i="115" s="1"/>
  <c r="G40" i="7"/>
  <c r="G44" i="56"/>
  <c r="H43" i="56"/>
  <c r="I43" i="56" s="1"/>
  <c r="H35" i="113"/>
  <c r="I35" i="113" s="1"/>
  <c r="H44" i="112"/>
  <c r="I44" i="112" s="1"/>
  <c r="G46" i="112"/>
  <c r="J44" i="112" s="1"/>
  <c r="G36" i="78"/>
  <c r="H35" i="78"/>
  <c r="I35" i="78" s="1"/>
  <c r="G44" i="48"/>
  <c r="H43" i="48"/>
  <c r="I43" i="48" s="1"/>
  <c r="G27" i="7"/>
  <c r="H44" i="54"/>
  <c r="I44" i="54" s="1"/>
  <c r="H26" i="67"/>
  <c r="I26" i="67" s="1"/>
  <c r="H35" i="112"/>
  <c r="I35" i="112" s="1"/>
  <c r="H44" i="61"/>
  <c r="I44" i="61" s="1"/>
  <c r="G49" i="58"/>
  <c r="H48" i="58"/>
  <c r="I48" i="58" s="1"/>
  <c r="G45" i="7"/>
  <c r="H26" i="68"/>
  <c r="I26" i="68" s="1"/>
  <c r="G44" i="4"/>
  <c r="H43" i="4"/>
  <c r="I43" i="4" s="1"/>
  <c r="H26" i="64"/>
  <c r="I26" i="64" s="1"/>
  <c r="G17" i="7"/>
  <c r="G36" i="7"/>
  <c r="H35" i="61"/>
  <c r="I35" i="61" s="1"/>
  <c r="G44" i="115"/>
  <c r="H43" i="115"/>
  <c r="I43" i="115" s="1"/>
  <c r="H34" i="117"/>
  <c r="I34" i="117" s="1"/>
  <c r="H43" i="117"/>
  <c r="I43" i="117" s="1"/>
  <c r="H34" i="54"/>
  <c r="I34" i="54" s="1"/>
  <c r="G3" i="7"/>
  <c r="G49" i="46"/>
  <c r="H48" i="46"/>
  <c r="I48" i="46" s="1"/>
  <c r="H34" i="104"/>
  <c r="I34" i="104" s="1"/>
  <c r="G49" i="104"/>
  <c r="H48" i="104"/>
  <c r="I48" i="104" s="1"/>
  <c r="H48" i="116"/>
  <c r="I48" i="116" s="1"/>
  <c r="G36" i="5"/>
  <c r="H35" i="5"/>
  <c r="I35" i="5" s="1"/>
  <c r="H35" i="56"/>
  <c r="I35" i="56" s="1"/>
  <c r="H35" i="60"/>
  <c r="I35" i="60" s="1"/>
  <c r="G44" i="7"/>
  <c r="H26" i="70"/>
  <c r="I26" i="70" s="1"/>
  <c r="H34" i="56"/>
  <c r="I34" i="56" s="1"/>
  <c r="G18" i="7"/>
  <c r="H49" i="113"/>
  <c r="I49" i="113" s="1"/>
  <c r="H35" i="46"/>
  <c r="I35" i="46" s="1"/>
  <c r="G44" i="50"/>
  <c r="H43" i="50"/>
  <c r="I43" i="50" s="1"/>
  <c r="G34" i="80"/>
  <c r="H33" i="80"/>
  <c r="I33" i="80" s="1"/>
  <c r="G49" i="4"/>
  <c r="H48" i="4"/>
  <c r="I48" i="4" s="1"/>
  <c r="H35" i="115"/>
  <c r="I35" i="115" s="1"/>
  <c r="H34" i="57"/>
  <c r="I34" i="57" s="1"/>
  <c r="H26" i="69"/>
  <c r="I26" i="69" s="1"/>
  <c r="H43" i="112"/>
  <c r="I43" i="112" s="1"/>
  <c r="H48" i="62"/>
  <c r="I48" i="62" s="1"/>
  <c r="G31" i="7"/>
  <c r="H35" i="117"/>
  <c r="I35" i="117" s="1"/>
  <c r="H43" i="54"/>
  <c r="I43" i="54" s="1"/>
  <c r="G34" i="67"/>
  <c r="H33" i="67"/>
  <c r="I33" i="67" s="1"/>
  <c r="H43" i="61"/>
  <c r="I43" i="61" s="1"/>
  <c r="G44" i="104"/>
  <c r="H43" i="104"/>
  <c r="I43" i="104" s="1"/>
  <c r="G44" i="47"/>
  <c r="H43" i="47"/>
  <c r="I43" i="47" s="1"/>
  <c r="H34" i="49"/>
  <c r="I34" i="49" s="1"/>
  <c r="H35" i="49"/>
  <c r="I35" i="49" s="1"/>
  <c r="G9" i="7"/>
  <c r="H33" i="65"/>
  <c r="I33" i="65" s="1"/>
  <c r="G34" i="65"/>
  <c r="H33" i="64"/>
  <c r="I33" i="64" s="1"/>
  <c r="G34" i="64"/>
  <c r="G36" i="73"/>
  <c r="H35" i="73"/>
  <c r="I35" i="73" s="1"/>
  <c r="G36" i="74"/>
  <c r="H35" i="74"/>
  <c r="I35" i="74" s="1"/>
  <c r="H45" i="49"/>
  <c r="I45" i="49" s="1"/>
  <c r="H44" i="49"/>
  <c r="I44" i="49" s="1"/>
  <c r="H34" i="62"/>
  <c r="I34" i="62" s="1"/>
  <c r="G49" i="60"/>
  <c r="H48" i="60"/>
  <c r="I48" i="60" s="1"/>
  <c r="G23" i="7"/>
  <c r="H49" i="47"/>
  <c r="I49" i="47" s="1"/>
  <c r="G35" i="7"/>
  <c r="H35" i="4"/>
  <c r="I35" i="4" s="1"/>
  <c r="H34" i="59"/>
  <c r="I34" i="59" s="1"/>
  <c r="G28" i="7"/>
  <c r="G49" i="56"/>
  <c r="H48" i="56"/>
  <c r="I48" i="56" s="1"/>
  <c r="G49" i="50"/>
  <c r="H48" i="50"/>
  <c r="I48" i="50" s="1"/>
  <c r="G34" i="7"/>
  <c r="G29" i="7"/>
  <c r="H33" i="70"/>
  <c r="I33" i="70" s="1"/>
  <c r="G34" i="70"/>
  <c r="H49" i="57"/>
  <c r="I49" i="57" s="1"/>
  <c r="H34" i="113"/>
  <c r="I34" i="113" s="1"/>
  <c r="H48" i="113"/>
  <c r="I48" i="113" s="1"/>
  <c r="H34" i="50"/>
  <c r="I34" i="50" s="1"/>
  <c r="G26" i="7"/>
  <c r="H35" i="58"/>
  <c r="I35" i="58" s="1"/>
  <c r="H34" i="81"/>
  <c r="I34" i="81" s="1"/>
  <c r="G44" i="62"/>
  <c r="H43" i="62"/>
  <c r="I43" i="62" s="1"/>
  <c r="G49" i="59"/>
  <c r="H48" i="59"/>
  <c r="I48" i="59" s="1"/>
  <c r="G14" i="7"/>
  <c r="G37" i="7"/>
  <c r="H35" i="47"/>
  <c r="I35" i="47" s="1"/>
  <c r="G38" i="7"/>
  <c r="J35" i="112" l="1"/>
  <c r="G46" i="49"/>
  <c r="J35" i="49" s="1"/>
  <c r="H44" i="47"/>
  <c r="I44" i="47" s="1"/>
  <c r="H49" i="117"/>
  <c r="I49" i="117" s="1"/>
  <c r="G51" i="117"/>
  <c r="H44" i="59"/>
  <c r="I44" i="59" s="1"/>
  <c r="H49" i="54"/>
  <c r="I49" i="54" s="1"/>
  <c r="H49" i="60"/>
  <c r="I49" i="60" s="1"/>
  <c r="G35" i="65"/>
  <c r="H34" i="65"/>
  <c r="I34" i="65" s="1"/>
  <c r="H44" i="104"/>
  <c r="I44" i="104" s="1"/>
  <c r="H44" i="50"/>
  <c r="I44" i="50" s="1"/>
  <c r="G46" i="50"/>
  <c r="G38" i="5"/>
  <c r="H36" i="5"/>
  <c r="I36" i="5" s="1"/>
  <c r="J39" i="112"/>
  <c r="J46" i="112"/>
  <c r="J26" i="112"/>
  <c r="J20" i="112"/>
  <c r="J21" i="112"/>
  <c r="J22" i="112"/>
  <c r="H46" i="112"/>
  <c r="I46" i="112" s="1"/>
  <c r="J41" i="112"/>
  <c r="J13" i="112"/>
  <c r="J24" i="112"/>
  <c r="J12" i="112"/>
  <c r="J18" i="112"/>
  <c r="J31" i="112"/>
  <c r="J37" i="112"/>
  <c r="J27" i="112"/>
  <c r="J14" i="112"/>
  <c r="J36" i="112"/>
  <c r="J28" i="112"/>
  <c r="J32" i="112"/>
  <c r="J38" i="112"/>
  <c r="J33" i="112"/>
  <c r="J40" i="112"/>
  <c r="J19" i="112"/>
  <c r="J23" i="112"/>
  <c r="J25" i="112"/>
  <c r="J29" i="112"/>
  <c r="J42" i="112"/>
  <c r="J30" i="112"/>
  <c r="H49" i="115"/>
  <c r="I49" i="115" s="1"/>
  <c r="G35" i="66"/>
  <c r="H34" i="66"/>
  <c r="I34" i="66" s="1"/>
  <c r="G46" i="62"/>
  <c r="J44" i="62" s="1"/>
  <c r="G35" i="68"/>
  <c r="H34" i="68"/>
  <c r="I34" i="68" s="1"/>
  <c r="H36" i="77"/>
  <c r="I36" i="77" s="1"/>
  <c r="G38" i="77"/>
  <c r="J36" i="77" s="1"/>
  <c r="G38" i="76"/>
  <c r="J37" i="76" s="1"/>
  <c r="H37" i="76"/>
  <c r="I37" i="76" s="1"/>
  <c r="G38" i="71"/>
  <c r="J37" i="71" s="1"/>
  <c r="H37" i="71"/>
  <c r="I37" i="71" s="1"/>
  <c r="H49" i="59"/>
  <c r="I49" i="59" s="1"/>
  <c r="H49" i="4"/>
  <c r="I49" i="4" s="1"/>
  <c r="H49" i="58"/>
  <c r="I49" i="58" s="1"/>
  <c r="H44" i="48"/>
  <c r="I44" i="48" s="1"/>
  <c r="H44" i="56"/>
  <c r="I44" i="56" s="1"/>
  <c r="G35" i="25"/>
  <c r="H34" i="25"/>
  <c r="I34" i="25" s="1"/>
  <c r="H35" i="69"/>
  <c r="I35" i="69" s="1"/>
  <c r="G46" i="57"/>
  <c r="H44" i="57"/>
  <c r="I44" i="57" s="1"/>
  <c r="H44" i="60"/>
  <c r="I44" i="60" s="1"/>
  <c r="K21" i="116"/>
  <c r="K39" i="116"/>
  <c r="K22" i="116"/>
  <c r="K20" i="116"/>
  <c r="K51" i="116"/>
  <c r="H51" i="116"/>
  <c r="K26" i="116"/>
  <c r="K41" i="116"/>
  <c r="K24" i="116"/>
  <c r="K16" i="116"/>
  <c r="K17" i="116"/>
  <c r="K15" i="116"/>
  <c r="K38" i="116"/>
  <c r="K36" i="116"/>
  <c r="K31" i="116"/>
  <c r="K27" i="116"/>
  <c r="K32" i="116"/>
  <c r="K37" i="116"/>
  <c r="K28" i="116"/>
  <c r="K18" i="116"/>
  <c r="K40" i="116"/>
  <c r="K33" i="116"/>
  <c r="K23" i="116"/>
  <c r="K19" i="116"/>
  <c r="K25" i="116"/>
  <c r="K47" i="116"/>
  <c r="K29" i="116"/>
  <c r="K30" i="116"/>
  <c r="G35" i="70"/>
  <c r="H34" i="70"/>
  <c r="I34" i="70" s="1"/>
  <c r="H44" i="62"/>
  <c r="I44" i="62" s="1"/>
  <c r="H49" i="56"/>
  <c r="I49" i="56" s="1"/>
  <c r="H36" i="73"/>
  <c r="I36" i="73" s="1"/>
  <c r="G38" i="73"/>
  <c r="J43" i="112"/>
  <c r="G36" i="80"/>
  <c r="J34" i="80" s="1"/>
  <c r="H34" i="80"/>
  <c r="I34" i="80" s="1"/>
  <c r="K48" i="116"/>
  <c r="H49" i="104"/>
  <c r="I49" i="104" s="1"/>
  <c r="H44" i="4"/>
  <c r="I44" i="4" s="1"/>
  <c r="G46" i="61"/>
  <c r="J45" i="61" s="1"/>
  <c r="H45" i="61"/>
  <c r="I45" i="61" s="1"/>
  <c r="G46" i="54"/>
  <c r="J45" i="54" s="1"/>
  <c r="H45" i="54"/>
  <c r="I45" i="54" s="1"/>
  <c r="H45" i="112"/>
  <c r="I45" i="112" s="1"/>
  <c r="J45" i="112"/>
  <c r="H36" i="75"/>
  <c r="I36" i="75" s="1"/>
  <c r="G35" i="63"/>
  <c r="H34" i="63"/>
  <c r="I34" i="63" s="1"/>
  <c r="H34" i="79"/>
  <c r="I34" i="79" s="1"/>
  <c r="H34" i="69"/>
  <c r="I34" i="69" s="1"/>
  <c r="J34" i="112"/>
  <c r="G46" i="116"/>
  <c r="H44" i="116"/>
  <c r="I44" i="116" s="1"/>
  <c r="H44" i="113"/>
  <c r="I44" i="113" s="1"/>
  <c r="H50" i="116"/>
  <c r="I50" i="116" s="1"/>
  <c r="K50" i="116"/>
  <c r="H44" i="58"/>
  <c r="I44" i="58" s="1"/>
  <c r="G38" i="72"/>
  <c r="J36" i="72" s="1"/>
  <c r="H36" i="72"/>
  <c r="I36" i="72" s="1"/>
  <c r="G35" i="64"/>
  <c r="H34" i="64"/>
  <c r="I34" i="64" s="1"/>
  <c r="G35" i="67"/>
  <c r="H34" i="67"/>
  <c r="I34" i="67" s="1"/>
  <c r="G51" i="113"/>
  <c r="H50" i="113"/>
  <c r="I50" i="113" s="1"/>
  <c r="G46" i="115"/>
  <c r="H44" i="115"/>
  <c r="I44" i="115" s="1"/>
  <c r="H49" i="48"/>
  <c r="I49" i="48" s="1"/>
  <c r="G36" i="81"/>
  <c r="J35" i="81" s="1"/>
  <c r="H35" i="81"/>
  <c r="I35" i="81" s="1"/>
  <c r="G51" i="57"/>
  <c r="K50" i="57" s="1"/>
  <c r="H50" i="57"/>
  <c r="I50" i="57" s="1"/>
  <c r="H49" i="50"/>
  <c r="I49" i="50" s="1"/>
  <c r="G51" i="47"/>
  <c r="K50" i="47" s="1"/>
  <c r="H50" i="47"/>
  <c r="I50" i="47" s="1"/>
  <c r="H36" i="74"/>
  <c r="I36" i="74" s="1"/>
  <c r="G38" i="74"/>
  <c r="J36" i="74" s="1"/>
  <c r="H49" i="46"/>
  <c r="I49" i="46" s="1"/>
  <c r="H36" i="78"/>
  <c r="I36" i="78" s="1"/>
  <c r="K34" i="116"/>
  <c r="H49" i="112"/>
  <c r="I49" i="112" s="1"/>
  <c r="H49" i="49"/>
  <c r="I49" i="49" s="1"/>
  <c r="H44" i="46"/>
  <c r="I44" i="46" s="1"/>
  <c r="K49" i="116"/>
  <c r="H49" i="61"/>
  <c r="I49" i="61" s="1"/>
  <c r="G46" i="117"/>
  <c r="J45" i="117" s="1"/>
  <c r="H45" i="117"/>
  <c r="I45" i="117" s="1"/>
  <c r="J20" i="49" l="1"/>
  <c r="J41" i="49"/>
  <c r="J45" i="49"/>
  <c r="J19" i="49"/>
  <c r="J30" i="49"/>
  <c r="J36" i="49"/>
  <c r="J18" i="49"/>
  <c r="J39" i="49"/>
  <c r="J34" i="49"/>
  <c r="J23" i="49"/>
  <c r="J24" i="49"/>
  <c r="H46" i="49"/>
  <c r="I46" i="49" s="1"/>
  <c r="J29" i="49"/>
  <c r="J22" i="49"/>
  <c r="J32" i="49"/>
  <c r="J13" i="49"/>
  <c r="J42" i="49"/>
  <c r="J38" i="49"/>
  <c r="J33" i="49"/>
  <c r="J26" i="49"/>
  <c r="J21" i="49"/>
  <c r="J12" i="49"/>
  <c r="J27" i="49"/>
  <c r="J25" i="49"/>
  <c r="J46" i="49"/>
  <c r="J37" i="49"/>
  <c r="J28" i="49"/>
  <c r="J31" i="49"/>
  <c r="J40" i="49"/>
  <c r="J14" i="49"/>
  <c r="J43" i="49"/>
  <c r="J44" i="49"/>
  <c r="H46" i="115"/>
  <c r="I46" i="115" s="1"/>
  <c r="J39" i="115"/>
  <c r="J20" i="115"/>
  <c r="J46" i="115"/>
  <c r="J26" i="115"/>
  <c r="J21" i="115"/>
  <c r="J22" i="115"/>
  <c r="J12" i="115"/>
  <c r="J13" i="115"/>
  <c r="J41" i="115"/>
  <c r="J24" i="115"/>
  <c r="J38" i="115"/>
  <c r="J14" i="115"/>
  <c r="J37" i="115"/>
  <c r="J27" i="115"/>
  <c r="J18" i="115"/>
  <c r="J36" i="115"/>
  <c r="J31" i="115"/>
  <c r="J32" i="115"/>
  <c r="J28" i="115"/>
  <c r="J33" i="115"/>
  <c r="J40" i="115"/>
  <c r="J19" i="115"/>
  <c r="J23" i="115"/>
  <c r="J25" i="115"/>
  <c r="J29" i="115"/>
  <c r="J42" i="115"/>
  <c r="J30" i="115"/>
  <c r="J35" i="115"/>
  <c r="J43" i="115"/>
  <c r="J34" i="115"/>
  <c r="H35" i="67"/>
  <c r="I35" i="67" s="1"/>
  <c r="J26" i="116"/>
  <c r="H46" i="116"/>
  <c r="I46" i="116" s="1"/>
  <c r="J22" i="116"/>
  <c r="J21" i="116"/>
  <c r="J39" i="116"/>
  <c r="J46" i="116"/>
  <c r="J20" i="116"/>
  <c r="J24" i="116"/>
  <c r="J41" i="116"/>
  <c r="J13" i="116"/>
  <c r="J12" i="116"/>
  <c r="J36" i="116"/>
  <c r="J31" i="116"/>
  <c r="J27" i="116"/>
  <c r="J32" i="116"/>
  <c r="J37" i="116"/>
  <c r="J28" i="116"/>
  <c r="J18" i="116"/>
  <c r="J14" i="116"/>
  <c r="J38" i="116"/>
  <c r="J40" i="116"/>
  <c r="J33" i="116"/>
  <c r="J19" i="116"/>
  <c r="J23" i="116"/>
  <c r="J25" i="116"/>
  <c r="J42" i="116"/>
  <c r="J30" i="116"/>
  <c r="J29" i="116"/>
  <c r="J43" i="116"/>
  <c r="J35" i="116"/>
  <c r="J34" i="116"/>
  <c r="J18" i="73"/>
  <c r="J29" i="73"/>
  <c r="J17" i="73"/>
  <c r="J13" i="73"/>
  <c r="J28" i="73"/>
  <c r="J25" i="73"/>
  <c r="J38" i="73"/>
  <c r="J31" i="73"/>
  <c r="J21" i="73"/>
  <c r="J30" i="73"/>
  <c r="H38" i="73"/>
  <c r="J22" i="73"/>
  <c r="J14" i="73"/>
  <c r="J24" i="73"/>
  <c r="J26" i="73"/>
  <c r="J32" i="73"/>
  <c r="J15" i="73"/>
  <c r="J19" i="73"/>
  <c r="J33" i="73"/>
  <c r="J20" i="73"/>
  <c r="J16" i="73"/>
  <c r="J23" i="73"/>
  <c r="J34" i="73"/>
  <c r="J27" i="73"/>
  <c r="J35" i="73"/>
  <c r="J28" i="57"/>
  <c r="J38" i="57"/>
  <c r="J32" i="57"/>
  <c r="J14" i="57"/>
  <c r="J12" i="57"/>
  <c r="J31" i="57"/>
  <c r="J13" i="57"/>
  <c r="J41" i="57"/>
  <c r="J21" i="57"/>
  <c r="J22" i="57"/>
  <c r="J37" i="57"/>
  <c r="H46" i="57"/>
  <c r="I46" i="57" s="1"/>
  <c r="J26" i="57"/>
  <c r="J18" i="57"/>
  <c r="J33" i="57"/>
  <c r="J27" i="57"/>
  <c r="J20" i="57"/>
  <c r="J36" i="57"/>
  <c r="J46" i="57"/>
  <c r="J40" i="57"/>
  <c r="J39" i="57"/>
  <c r="J24" i="57"/>
  <c r="J19" i="57"/>
  <c r="J23" i="57"/>
  <c r="J25" i="57"/>
  <c r="J29" i="57"/>
  <c r="J42" i="57"/>
  <c r="J30" i="57"/>
  <c r="J43" i="57"/>
  <c r="J34" i="57"/>
  <c r="J35" i="57"/>
  <c r="G46" i="56"/>
  <c r="H45" i="56"/>
  <c r="I45" i="56" s="1"/>
  <c r="H37" i="77"/>
  <c r="I37" i="77" s="1"/>
  <c r="J37" i="77"/>
  <c r="J22" i="5"/>
  <c r="J31" i="5"/>
  <c r="J29" i="5"/>
  <c r="J30" i="5"/>
  <c r="J32" i="5"/>
  <c r="J21" i="5"/>
  <c r="J13" i="5"/>
  <c r="H38" i="5"/>
  <c r="J33" i="5"/>
  <c r="J28" i="5"/>
  <c r="J26" i="5"/>
  <c r="J25" i="5"/>
  <c r="J19" i="5"/>
  <c r="J24" i="5"/>
  <c r="J38" i="5"/>
  <c r="J15" i="5"/>
  <c r="J14" i="5"/>
  <c r="J17" i="5"/>
  <c r="J18" i="5"/>
  <c r="J20" i="5"/>
  <c r="J16" i="5"/>
  <c r="J23" i="5"/>
  <c r="J34" i="5"/>
  <c r="J27" i="5"/>
  <c r="J35" i="5"/>
  <c r="G51" i="54"/>
  <c r="K50" i="54" s="1"/>
  <c r="H50" i="54"/>
  <c r="I50" i="54" s="1"/>
  <c r="J44" i="117"/>
  <c r="J39" i="117"/>
  <c r="J26" i="117"/>
  <c r="J21" i="117"/>
  <c r="J22" i="117"/>
  <c r="J46" i="117"/>
  <c r="J20" i="117"/>
  <c r="H46" i="117"/>
  <c r="I46" i="117" s="1"/>
  <c r="J13" i="117"/>
  <c r="J41" i="117"/>
  <c r="J12" i="117"/>
  <c r="J24" i="117"/>
  <c r="J32" i="117"/>
  <c r="J18" i="117"/>
  <c r="J37" i="117"/>
  <c r="J14" i="117"/>
  <c r="J27" i="117"/>
  <c r="J36" i="117"/>
  <c r="J28" i="117"/>
  <c r="J31" i="117"/>
  <c r="J38" i="117"/>
  <c r="J40" i="117"/>
  <c r="J33" i="117"/>
  <c r="J19" i="117"/>
  <c r="J23" i="117"/>
  <c r="J25" i="117"/>
  <c r="J42" i="117"/>
  <c r="J30" i="117"/>
  <c r="J29" i="117"/>
  <c r="J35" i="117"/>
  <c r="J43" i="117"/>
  <c r="J34" i="117"/>
  <c r="G51" i="46"/>
  <c r="H50" i="46"/>
  <c r="I50" i="46" s="1"/>
  <c r="K15" i="57"/>
  <c r="K27" i="57"/>
  <c r="K51" i="57"/>
  <c r="K36" i="57"/>
  <c r="K28" i="57"/>
  <c r="K18" i="57"/>
  <c r="K21" i="57"/>
  <c r="K32" i="57"/>
  <c r="K16" i="57"/>
  <c r="H51" i="57"/>
  <c r="K38" i="57"/>
  <c r="K17" i="57"/>
  <c r="K41" i="57"/>
  <c r="K33" i="57"/>
  <c r="K31" i="57"/>
  <c r="K20" i="57"/>
  <c r="K40" i="57"/>
  <c r="K26" i="57"/>
  <c r="K22" i="57"/>
  <c r="K39" i="57"/>
  <c r="K24" i="57"/>
  <c r="K37" i="57"/>
  <c r="K19" i="57"/>
  <c r="K23" i="57"/>
  <c r="K25" i="57"/>
  <c r="K47" i="57"/>
  <c r="K30" i="57"/>
  <c r="K29" i="57"/>
  <c r="K34" i="57"/>
  <c r="K48" i="57"/>
  <c r="K49" i="57"/>
  <c r="K35" i="57"/>
  <c r="G51" i="48"/>
  <c r="K50" i="48" s="1"/>
  <c r="H50" i="48"/>
  <c r="I50" i="48" s="1"/>
  <c r="H51" i="113"/>
  <c r="K20" i="113"/>
  <c r="K26" i="113"/>
  <c r="K21" i="113"/>
  <c r="K51" i="113"/>
  <c r="K39" i="113"/>
  <c r="K22" i="113"/>
  <c r="K24" i="113"/>
  <c r="K15" i="113"/>
  <c r="K16" i="113"/>
  <c r="K17" i="113"/>
  <c r="K41" i="113"/>
  <c r="K36" i="113"/>
  <c r="K37" i="113"/>
  <c r="K32" i="113"/>
  <c r="K18" i="113"/>
  <c r="K28" i="113"/>
  <c r="K27" i="113"/>
  <c r="K31" i="113"/>
  <c r="K38" i="113"/>
  <c r="K40" i="113"/>
  <c r="K33" i="113"/>
  <c r="K19" i="113"/>
  <c r="K23" i="113"/>
  <c r="K25" i="113"/>
  <c r="K30" i="113"/>
  <c r="K47" i="113"/>
  <c r="K29" i="113"/>
  <c r="K49" i="113"/>
  <c r="K48" i="113"/>
  <c r="K34" i="113"/>
  <c r="K35" i="113"/>
  <c r="J22" i="72"/>
  <c r="J13" i="72"/>
  <c r="J30" i="72"/>
  <c r="J24" i="72"/>
  <c r="J33" i="72"/>
  <c r="H38" i="72"/>
  <c r="J28" i="72"/>
  <c r="J15" i="72"/>
  <c r="J17" i="72"/>
  <c r="J29" i="72"/>
  <c r="J21" i="72"/>
  <c r="J18" i="72"/>
  <c r="J26" i="72"/>
  <c r="J32" i="72"/>
  <c r="J14" i="72"/>
  <c r="J19" i="72"/>
  <c r="J25" i="72"/>
  <c r="J31" i="72"/>
  <c r="J38" i="72"/>
  <c r="J16" i="72"/>
  <c r="J20" i="72"/>
  <c r="J23" i="72"/>
  <c r="J34" i="72"/>
  <c r="J27" i="72"/>
  <c r="J35" i="72"/>
  <c r="G46" i="58"/>
  <c r="J45" i="58" s="1"/>
  <c r="H45" i="58"/>
  <c r="I45" i="58" s="1"/>
  <c r="G46" i="113"/>
  <c r="J45" i="113" s="1"/>
  <c r="H45" i="113"/>
  <c r="I45" i="113" s="1"/>
  <c r="G36" i="79"/>
  <c r="H35" i="79"/>
  <c r="I35" i="79" s="1"/>
  <c r="G38" i="75"/>
  <c r="J37" i="75" s="1"/>
  <c r="H37" i="75"/>
  <c r="I37" i="75" s="1"/>
  <c r="G46" i="4"/>
  <c r="J45" i="4" s="1"/>
  <c r="H45" i="4"/>
  <c r="I45" i="4" s="1"/>
  <c r="H35" i="80"/>
  <c r="I35" i="80" s="1"/>
  <c r="J35" i="80"/>
  <c r="H37" i="73"/>
  <c r="I37" i="73" s="1"/>
  <c r="J37" i="73"/>
  <c r="J26" i="62"/>
  <c r="J36" i="62"/>
  <c r="J27" i="62"/>
  <c r="J41" i="62"/>
  <c r="J21" i="62"/>
  <c r="J18" i="62"/>
  <c r="J13" i="62"/>
  <c r="H46" i="62"/>
  <c r="I46" i="62" s="1"/>
  <c r="J24" i="62"/>
  <c r="J28" i="62"/>
  <c r="J38" i="62"/>
  <c r="J32" i="62"/>
  <c r="J12" i="62"/>
  <c r="J20" i="62"/>
  <c r="J31" i="62"/>
  <c r="J40" i="62"/>
  <c r="J37" i="62"/>
  <c r="J14" i="62"/>
  <c r="J22" i="62"/>
  <c r="J33" i="62"/>
  <c r="J39" i="62"/>
  <c r="J46" i="62"/>
  <c r="J23" i="62"/>
  <c r="J19" i="62"/>
  <c r="J25" i="62"/>
  <c r="J30" i="62"/>
  <c r="J42" i="62"/>
  <c r="J29" i="62"/>
  <c r="J34" i="62"/>
  <c r="J35" i="62"/>
  <c r="J43" i="62"/>
  <c r="H35" i="70"/>
  <c r="I35" i="70" s="1"/>
  <c r="H35" i="25"/>
  <c r="I35" i="25" s="1"/>
  <c r="G51" i="4"/>
  <c r="K50" i="4" s="1"/>
  <c r="H50" i="4"/>
  <c r="I50" i="4" s="1"/>
  <c r="J22" i="76"/>
  <c r="J33" i="76"/>
  <c r="J26" i="76"/>
  <c r="J28" i="76"/>
  <c r="J30" i="76"/>
  <c r="J15" i="76"/>
  <c r="J38" i="76"/>
  <c r="J18" i="76"/>
  <c r="J25" i="76"/>
  <c r="J24" i="76"/>
  <c r="H38" i="76"/>
  <c r="J32" i="76"/>
  <c r="J17" i="76"/>
  <c r="J31" i="76"/>
  <c r="J13" i="76"/>
  <c r="J19" i="76"/>
  <c r="J29" i="76"/>
  <c r="J14" i="76"/>
  <c r="J21" i="76"/>
  <c r="J16" i="76"/>
  <c r="J20" i="76"/>
  <c r="J23" i="76"/>
  <c r="J27" i="76"/>
  <c r="J34" i="76"/>
  <c r="J35" i="76"/>
  <c r="J36" i="76"/>
  <c r="H45" i="50"/>
  <c r="I45" i="50" s="1"/>
  <c r="J45" i="50"/>
  <c r="H50" i="117"/>
  <c r="I50" i="117" s="1"/>
  <c r="K50" i="117"/>
  <c r="G51" i="104"/>
  <c r="K50" i="104" s="1"/>
  <c r="H50" i="104"/>
  <c r="I50" i="104" s="1"/>
  <c r="H35" i="68"/>
  <c r="I35" i="68" s="1"/>
  <c r="J32" i="50"/>
  <c r="J13" i="50"/>
  <c r="J33" i="50"/>
  <c r="J18" i="50"/>
  <c r="J46" i="50"/>
  <c r="J37" i="50"/>
  <c r="J26" i="50"/>
  <c r="J36" i="50"/>
  <c r="H46" i="50"/>
  <c r="I46" i="50" s="1"/>
  <c r="J22" i="50"/>
  <c r="J41" i="50"/>
  <c r="J40" i="50"/>
  <c r="J21" i="50"/>
  <c r="J31" i="50"/>
  <c r="J39" i="50"/>
  <c r="J12" i="50"/>
  <c r="J28" i="50"/>
  <c r="J14" i="50"/>
  <c r="J24" i="50"/>
  <c r="J27" i="50"/>
  <c r="J20" i="50"/>
  <c r="J38" i="50"/>
  <c r="J19" i="50"/>
  <c r="J23" i="50"/>
  <c r="J25" i="50"/>
  <c r="J42" i="50"/>
  <c r="J29" i="50"/>
  <c r="J30" i="50"/>
  <c r="J43" i="50"/>
  <c r="J34" i="50"/>
  <c r="J35" i="50"/>
  <c r="G51" i="49"/>
  <c r="H50" i="49"/>
  <c r="I50" i="49" s="1"/>
  <c r="G51" i="112"/>
  <c r="K50" i="112" s="1"/>
  <c r="H50" i="112"/>
  <c r="I50" i="112" s="1"/>
  <c r="J22" i="74"/>
  <c r="J31" i="74"/>
  <c r="H38" i="74"/>
  <c r="J14" i="74"/>
  <c r="J17" i="74"/>
  <c r="J38" i="74"/>
  <c r="J19" i="74"/>
  <c r="J18" i="74"/>
  <c r="J21" i="74"/>
  <c r="J25" i="74"/>
  <c r="J24" i="74"/>
  <c r="J26" i="74"/>
  <c r="J33" i="74"/>
  <c r="J28" i="74"/>
  <c r="J30" i="74"/>
  <c r="J13" i="74"/>
  <c r="J29" i="74"/>
  <c r="J15" i="74"/>
  <c r="J32" i="74"/>
  <c r="J20" i="74"/>
  <c r="J16" i="74"/>
  <c r="J23" i="74"/>
  <c r="J27" i="74"/>
  <c r="J34" i="74"/>
  <c r="J35" i="74"/>
  <c r="G51" i="50"/>
  <c r="K50" i="50" s="1"/>
  <c r="H50" i="50"/>
  <c r="I50" i="50" s="1"/>
  <c r="J31" i="81"/>
  <c r="J24" i="81"/>
  <c r="J30" i="81"/>
  <c r="J15" i="81"/>
  <c r="J36" i="81"/>
  <c r="J29" i="81"/>
  <c r="J23" i="81"/>
  <c r="J14" i="81"/>
  <c r="J20" i="81"/>
  <c r="J19" i="81"/>
  <c r="J27" i="81"/>
  <c r="J22" i="81"/>
  <c r="H36" i="81"/>
  <c r="J26" i="81"/>
  <c r="J17" i="81"/>
  <c r="J13" i="81"/>
  <c r="J28" i="81"/>
  <c r="J18" i="81"/>
  <c r="J16" i="81"/>
  <c r="J21" i="81"/>
  <c r="J25" i="81"/>
  <c r="J32" i="81"/>
  <c r="J33" i="81"/>
  <c r="J34" i="81"/>
  <c r="H45" i="115"/>
  <c r="I45" i="115" s="1"/>
  <c r="J45" i="115"/>
  <c r="H45" i="116"/>
  <c r="I45" i="116" s="1"/>
  <c r="J45" i="116"/>
  <c r="J14" i="61"/>
  <c r="J46" i="61"/>
  <c r="J36" i="61"/>
  <c r="J28" i="61"/>
  <c r="J26" i="61"/>
  <c r="J24" i="61"/>
  <c r="J21" i="61"/>
  <c r="J37" i="61"/>
  <c r="J22" i="61"/>
  <c r="H46" i="61"/>
  <c r="I46" i="61" s="1"/>
  <c r="J40" i="61"/>
  <c r="J13" i="61"/>
  <c r="J31" i="61"/>
  <c r="J33" i="61"/>
  <c r="J38" i="61"/>
  <c r="J20" i="61"/>
  <c r="J18" i="61"/>
  <c r="J32" i="61"/>
  <c r="J27" i="61"/>
  <c r="J39" i="61"/>
  <c r="J41" i="61"/>
  <c r="J12" i="61"/>
  <c r="J19" i="61"/>
  <c r="J23" i="61"/>
  <c r="J25" i="61"/>
  <c r="J30" i="61"/>
  <c r="J29" i="61"/>
  <c r="J42" i="61"/>
  <c r="J35" i="61"/>
  <c r="J34" i="61"/>
  <c r="J44" i="61"/>
  <c r="J43" i="61"/>
  <c r="G51" i="56"/>
  <c r="H50" i="56"/>
  <c r="I50" i="56" s="1"/>
  <c r="G46" i="60"/>
  <c r="J45" i="60" s="1"/>
  <c r="H45" i="60"/>
  <c r="I45" i="60" s="1"/>
  <c r="H45" i="57"/>
  <c r="I45" i="57" s="1"/>
  <c r="J45" i="57"/>
  <c r="G37" i="69"/>
  <c r="H36" i="69"/>
  <c r="I36" i="69" s="1"/>
  <c r="G46" i="48"/>
  <c r="J45" i="48" s="1"/>
  <c r="H45" i="48"/>
  <c r="I45" i="48" s="1"/>
  <c r="G51" i="58"/>
  <c r="K50" i="58" s="1"/>
  <c r="H50" i="58"/>
  <c r="I50" i="58" s="1"/>
  <c r="J31" i="71"/>
  <c r="J19" i="71"/>
  <c r="J17" i="71"/>
  <c r="J38" i="71"/>
  <c r="J14" i="71"/>
  <c r="J18" i="71"/>
  <c r="H38" i="71"/>
  <c r="J24" i="71"/>
  <c r="J25" i="71"/>
  <c r="J21" i="71"/>
  <c r="J26" i="71"/>
  <c r="J33" i="71"/>
  <c r="J13" i="71"/>
  <c r="J22" i="71"/>
  <c r="J30" i="71"/>
  <c r="J28" i="71"/>
  <c r="J29" i="71"/>
  <c r="J15" i="71"/>
  <c r="J32" i="71"/>
  <c r="J20" i="71"/>
  <c r="J16" i="71"/>
  <c r="J23" i="71"/>
  <c r="J34" i="71"/>
  <c r="J27" i="71"/>
  <c r="J36" i="71"/>
  <c r="J35" i="71"/>
  <c r="H37" i="5"/>
  <c r="I37" i="5" s="1"/>
  <c r="J37" i="5"/>
  <c r="G51" i="60"/>
  <c r="H50" i="60"/>
  <c r="I50" i="60" s="1"/>
  <c r="G51" i="62"/>
  <c r="H35" i="66"/>
  <c r="I35" i="66" s="1"/>
  <c r="K51" i="117"/>
  <c r="K26" i="117"/>
  <c r="K20" i="117"/>
  <c r="K21" i="117"/>
  <c r="K22" i="117"/>
  <c r="H51" i="117"/>
  <c r="K39" i="117"/>
  <c r="K15" i="117"/>
  <c r="K24" i="117"/>
  <c r="K41" i="117"/>
  <c r="K16" i="117"/>
  <c r="K17" i="117"/>
  <c r="K27" i="117"/>
  <c r="K28" i="117"/>
  <c r="K32" i="117"/>
  <c r="K18" i="117"/>
  <c r="K38" i="117"/>
  <c r="K36" i="117"/>
  <c r="K37" i="117"/>
  <c r="K31" i="117"/>
  <c r="K33" i="117"/>
  <c r="K40" i="117"/>
  <c r="K23" i="117"/>
  <c r="K19" i="117"/>
  <c r="K25" i="117"/>
  <c r="K47" i="117"/>
  <c r="K29" i="117"/>
  <c r="K30" i="117"/>
  <c r="K34" i="117"/>
  <c r="K48" i="117"/>
  <c r="K35" i="117"/>
  <c r="G51" i="61"/>
  <c r="H50" i="61"/>
  <c r="I50" i="61" s="1"/>
  <c r="G46" i="46"/>
  <c r="H45" i="46"/>
  <c r="I45" i="46" s="1"/>
  <c r="G38" i="78"/>
  <c r="H37" i="78"/>
  <c r="I37" i="78" s="1"/>
  <c r="H37" i="74"/>
  <c r="I37" i="74" s="1"/>
  <c r="J37" i="74"/>
  <c r="K49" i="47"/>
  <c r="K37" i="47"/>
  <c r="K26" i="47"/>
  <c r="K36" i="47"/>
  <c r="K17" i="47"/>
  <c r="K20" i="47"/>
  <c r="K24" i="47"/>
  <c r="K16" i="47"/>
  <c r="K39" i="47"/>
  <c r="K28" i="47"/>
  <c r="K38" i="47"/>
  <c r="K21" i="47"/>
  <c r="K15" i="47"/>
  <c r="K41" i="47"/>
  <c r="K40" i="47"/>
  <c r="K18" i="47"/>
  <c r="K32" i="47"/>
  <c r="K51" i="47"/>
  <c r="H51" i="47"/>
  <c r="K22" i="47"/>
  <c r="K27" i="47"/>
  <c r="K31" i="47"/>
  <c r="K33" i="47"/>
  <c r="K19" i="47"/>
  <c r="K23" i="47"/>
  <c r="K25" i="47"/>
  <c r="K29" i="47"/>
  <c r="K47" i="47"/>
  <c r="K30" i="47"/>
  <c r="K35" i="47"/>
  <c r="K34" i="47"/>
  <c r="K48" i="47"/>
  <c r="J44" i="115"/>
  <c r="K50" i="113"/>
  <c r="G37" i="64"/>
  <c r="J35" i="64" s="1"/>
  <c r="H35" i="64"/>
  <c r="I35" i="64" s="1"/>
  <c r="H37" i="72"/>
  <c r="I37" i="72" s="1"/>
  <c r="J37" i="72"/>
  <c r="J44" i="116"/>
  <c r="H35" i="63"/>
  <c r="I35" i="63" s="1"/>
  <c r="J20" i="54"/>
  <c r="J21" i="54"/>
  <c r="J32" i="54"/>
  <c r="J28" i="54"/>
  <c r="J13" i="54"/>
  <c r="J22" i="54"/>
  <c r="H46" i="54"/>
  <c r="I46" i="54" s="1"/>
  <c r="J37" i="54"/>
  <c r="J33" i="54"/>
  <c r="J26" i="54"/>
  <c r="J24" i="54"/>
  <c r="J18" i="54"/>
  <c r="J27" i="54"/>
  <c r="J40" i="54"/>
  <c r="J36" i="54"/>
  <c r="J14" i="54"/>
  <c r="J12" i="54"/>
  <c r="J41" i="54"/>
  <c r="J31" i="54"/>
  <c r="J39" i="54"/>
  <c r="J46" i="54"/>
  <c r="J38" i="54"/>
  <c r="J23" i="54"/>
  <c r="J19" i="54"/>
  <c r="J25" i="54"/>
  <c r="J29" i="54"/>
  <c r="J30" i="54"/>
  <c r="J42" i="54"/>
  <c r="J35" i="54"/>
  <c r="J43" i="54"/>
  <c r="J34" i="54"/>
  <c r="J44" i="54"/>
  <c r="J36" i="80"/>
  <c r="H36" i="80"/>
  <c r="J29" i="80"/>
  <c r="J14" i="80"/>
  <c r="J17" i="80"/>
  <c r="J23" i="80"/>
  <c r="J22" i="80"/>
  <c r="J19" i="80"/>
  <c r="J24" i="80"/>
  <c r="J31" i="80"/>
  <c r="J26" i="80"/>
  <c r="J20" i="80"/>
  <c r="J28" i="80"/>
  <c r="J13" i="80"/>
  <c r="J27" i="80"/>
  <c r="J15" i="80"/>
  <c r="J30" i="80"/>
  <c r="J18" i="80"/>
  <c r="J16" i="80"/>
  <c r="J21" i="80"/>
  <c r="J25" i="80"/>
  <c r="J32" i="80"/>
  <c r="J33" i="80"/>
  <c r="J36" i="73"/>
  <c r="I51" i="116"/>
  <c r="I24" i="7" s="1"/>
  <c r="H24" i="7"/>
  <c r="J44" i="57"/>
  <c r="J22" i="77"/>
  <c r="J17" i="77"/>
  <c r="H38" i="77"/>
  <c r="J19" i="77"/>
  <c r="J14" i="77"/>
  <c r="J18" i="77"/>
  <c r="J31" i="77"/>
  <c r="J38" i="77"/>
  <c r="J25" i="77"/>
  <c r="J24" i="77"/>
  <c r="J21" i="77"/>
  <c r="J26" i="77"/>
  <c r="J33" i="77"/>
  <c r="J28" i="77"/>
  <c r="J30" i="77"/>
  <c r="J13" i="77"/>
  <c r="J29" i="77"/>
  <c r="J32" i="77"/>
  <c r="J15" i="77"/>
  <c r="J20" i="77"/>
  <c r="J16" i="77"/>
  <c r="J23" i="77"/>
  <c r="J34" i="77"/>
  <c r="J27" i="77"/>
  <c r="J35" i="77"/>
  <c r="H45" i="62"/>
  <c r="I45" i="62" s="1"/>
  <c r="J45" i="62"/>
  <c r="G51" i="115"/>
  <c r="H50" i="115"/>
  <c r="I50" i="115" s="1"/>
  <c r="J36" i="5"/>
  <c r="J44" i="50"/>
  <c r="G46" i="104"/>
  <c r="J45" i="104" s="1"/>
  <c r="H45" i="104"/>
  <c r="I45" i="104" s="1"/>
  <c r="H35" i="65"/>
  <c r="I35" i="65" s="1"/>
  <c r="K49" i="117"/>
  <c r="G46" i="47"/>
  <c r="J45" i="47" s="1"/>
  <c r="H45" i="47"/>
  <c r="I45" i="47" s="1"/>
  <c r="K35" i="62" l="1"/>
  <c r="K34" i="62"/>
  <c r="K48" i="62"/>
  <c r="K49" i="62"/>
  <c r="K40" i="62"/>
  <c r="K28" i="62"/>
  <c r="K24" i="62"/>
  <c r="K36" i="62"/>
  <c r="K31" i="62"/>
  <c r="K23" i="62"/>
  <c r="K30" i="62"/>
  <c r="K22" i="62"/>
  <c r="K38" i="62"/>
  <c r="K21" i="62"/>
  <c r="K16" i="62"/>
  <c r="K17" i="62"/>
  <c r="K32" i="62"/>
  <c r="K27" i="62"/>
  <c r="K47" i="62"/>
  <c r="K37" i="62"/>
  <c r="K26" i="62"/>
  <c r="K18" i="62"/>
  <c r="K41" i="62"/>
  <c r="K39" i="62"/>
  <c r="K19" i="62"/>
  <c r="K29" i="62"/>
  <c r="K20" i="62"/>
  <c r="H51" i="62"/>
  <c r="K15" i="62"/>
  <c r="K25" i="62"/>
  <c r="K51" i="62"/>
  <c r="K33" i="62"/>
  <c r="G37" i="65"/>
  <c r="H36" i="65"/>
  <c r="I36" i="65" s="1"/>
  <c r="H36" i="64"/>
  <c r="I36" i="64" s="1"/>
  <c r="J36" i="64"/>
  <c r="H50" i="62"/>
  <c r="I50" i="62" s="1"/>
  <c r="K50" i="62"/>
  <c r="K16" i="60"/>
  <c r="K33" i="60"/>
  <c r="H51" i="60"/>
  <c r="K39" i="60"/>
  <c r="K17" i="60"/>
  <c r="K15" i="60"/>
  <c r="K28" i="60"/>
  <c r="K32" i="60"/>
  <c r="K26" i="60"/>
  <c r="K36" i="60"/>
  <c r="K27" i="60"/>
  <c r="K41" i="60"/>
  <c r="K21" i="60"/>
  <c r="K18" i="60"/>
  <c r="K38" i="60"/>
  <c r="K31" i="60"/>
  <c r="K22" i="60"/>
  <c r="K40" i="60"/>
  <c r="K20" i="60"/>
  <c r="K37" i="60"/>
  <c r="K24" i="60"/>
  <c r="K51" i="60"/>
  <c r="K23" i="60"/>
  <c r="K19" i="60"/>
  <c r="K25" i="60"/>
  <c r="K29" i="60"/>
  <c r="K47" i="60"/>
  <c r="K30" i="60"/>
  <c r="K34" i="60"/>
  <c r="K48" i="60"/>
  <c r="K35" i="60"/>
  <c r="K49" i="60"/>
  <c r="J35" i="69"/>
  <c r="J16" i="69"/>
  <c r="H37" i="69"/>
  <c r="J37" i="69"/>
  <c r="J30" i="69"/>
  <c r="J18" i="69"/>
  <c r="J32" i="69"/>
  <c r="J12" i="69"/>
  <c r="J13" i="69"/>
  <c r="J29" i="69"/>
  <c r="J27" i="69"/>
  <c r="J24" i="69"/>
  <c r="J19" i="69"/>
  <c r="J23" i="69"/>
  <c r="J21" i="69"/>
  <c r="J14" i="69"/>
  <c r="J28" i="69"/>
  <c r="J31" i="69"/>
  <c r="J25" i="69"/>
  <c r="J17" i="69"/>
  <c r="J15" i="69"/>
  <c r="J20" i="69"/>
  <c r="J22" i="69"/>
  <c r="J33" i="69"/>
  <c r="J26" i="69"/>
  <c r="J34" i="69"/>
  <c r="J28" i="79"/>
  <c r="J30" i="79"/>
  <c r="J13" i="79"/>
  <c r="J15" i="79"/>
  <c r="J14" i="79"/>
  <c r="J20" i="79"/>
  <c r="H36" i="79"/>
  <c r="J22" i="79"/>
  <c r="J26" i="79"/>
  <c r="J31" i="79"/>
  <c r="J24" i="79"/>
  <c r="J36" i="79"/>
  <c r="J23" i="79"/>
  <c r="J17" i="79"/>
  <c r="J19" i="79"/>
  <c r="J29" i="79"/>
  <c r="J27" i="79"/>
  <c r="J18" i="79"/>
  <c r="J16" i="79"/>
  <c r="J21" i="79"/>
  <c r="J25" i="79"/>
  <c r="J32" i="79"/>
  <c r="J33" i="79"/>
  <c r="J34" i="79"/>
  <c r="K21" i="46"/>
  <c r="K20" i="46"/>
  <c r="K40" i="46"/>
  <c r="K38" i="46"/>
  <c r="K37" i="46"/>
  <c r="K22" i="46"/>
  <c r="K26" i="46"/>
  <c r="H51" i="46"/>
  <c r="K16" i="46"/>
  <c r="K51" i="46"/>
  <c r="K24" i="46"/>
  <c r="K17" i="46"/>
  <c r="K31" i="46"/>
  <c r="K27" i="46"/>
  <c r="K33" i="46"/>
  <c r="K36" i="46"/>
  <c r="K32" i="46"/>
  <c r="K15" i="46"/>
  <c r="K28" i="46"/>
  <c r="K39" i="46"/>
  <c r="K18" i="46"/>
  <c r="K41" i="46"/>
  <c r="K19" i="46"/>
  <c r="K23" i="46"/>
  <c r="K25" i="46"/>
  <c r="K30" i="46"/>
  <c r="K47" i="46"/>
  <c r="K29" i="46"/>
  <c r="K34" i="46"/>
  <c r="K35" i="46"/>
  <c r="K48" i="46"/>
  <c r="K49" i="46"/>
  <c r="H42" i="7"/>
  <c r="I38" i="77"/>
  <c r="I36" i="80"/>
  <c r="H45" i="7"/>
  <c r="J28" i="46"/>
  <c r="J38" i="46"/>
  <c r="J37" i="46"/>
  <c r="J20" i="46"/>
  <c r="J46" i="46"/>
  <c r="J12" i="46"/>
  <c r="J31" i="46"/>
  <c r="J40" i="46"/>
  <c r="J39" i="46"/>
  <c r="J22" i="46"/>
  <c r="J24" i="46"/>
  <c r="J33" i="46"/>
  <c r="J41" i="46"/>
  <c r="J26" i="46"/>
  <c r="J36" i="46"/>
  <c r="J14" i="46"/>
  <c r="J21" i="46"/>
  <c r="J13" i="46"/>
  <c r="J27" i="46"/>
  <c r="J18" i="46"/>
  <c r="J32" i="46"/>
  <c r="H46" i="46"/>
  <c r="I46" i="46" s="1"/>
  <c r="J19" i="46"/>
  <c r="J23" i="46"/>
  <c r="J25" i="46"/>
  <c r="J29" i="46"/>
  <c r="J42" i="46"/>
  <c r="J30" i="46"/>
  <c r="J35" i="46"/>
  <c r="J34" i="46"/>
  <c r="J43" i="46"/>
  <c r="J44" i="46"/>
  <c r="H27" i="7"/>
  <c r="I38" i="71"/>
  <c r="J28" i="48"/>
  <c r="J38" i="48"/>
  <c r="J37" i="48"/>
  <c r="H46" i="48"/>
  <c r="I46" i="48" s="1"/>
  <c r="J12" i="48"/>
  <c r="J24" i="48"/>
  <c r="J13" i="48"/>
  <c r="J27" i="48"/>
  <c r="J20" i="48"/>
  <c r="J31" i="48"/>
  <c r="J40" i="48"/>
  <c r="J39" i="48"/>
  <c r="J14" i="48"/>
  <c r="J46" i="48"/>
  <c r="J22" i="48"/>
  <c r="J33" i="48"/>
  <c r="J41" i="48"/>
  <c r="J21" i="48"/>
  <c r="J26" i="48"/>
  <c r="J36" i="48"/>
  <c r="J32" i="48"/>
  <c r="J18" i="48"/>
  <c r="J23" i="48"/>
  <c r="J19" i="48"/>
  <c r="J25" i="48"/>
  <c r="J42" i="48"/>
  <c r="J30" i="48"/>
  <c r="J29" i="48"/>
  <c r="J35" i="48"/>
  <c r="J43" i="48"/>
  <c r="J34" i="48"/>
  <c r="J44" i="48"/>
  <c r="J22" i="75"/>
  <c r="J17" i="75"/>
  <c r="J15" i="75"/>
  <c r="J38" i="75"/>
  <c r="J25" i="75"/>
  <c r="J26" i="75"/>
  <c r="J24" i="75"/>
  <c r="J18" i="75"/>
  <c r="J13" i="75"/>
  <c r="J21" i="75"/>
  <c r="J31" i="75"/>
  <c r="J28" i="75"/>
  <c r="J19" i="75"/>
  <c r="J33" i="75"/>
  <c r="H38" i="75"/>
  <c r="J32" i="75"/>
  <c r="J29" i="75"/>
  <c r="J30" i="75"/>
  <c r="J14" i="75"/>
  <c r="J16" i="75"/>
  <c r="J20" i="75"/>
  <c r="J23" i="75"/>
  <c r="J34" i="75"/>
  <c r="J27" i="75"/>
  <c r="J35" i="75"/>
  <c r="J36" i="75"/>
  <c r="J44" i="58"/>
  <c r="J32" i="58"/>
  <c r="J26" i="58"/>
  <c r="J36" i="58"/>
  <c r="J14" i="58"/>
  <c r="J22" i="58"/>
  <c r="J37" i="58"/>
  <c r="J28" i="58"/>
  <c r="J38" i="58"/>
  <c r="H46" i="58"/>
  <c r="I46" i="58" s="1"/>
  <c r="J46" i="58"/>
  <c r="J39" i="58"/>
  <c r="J40" i="58"/>
  <c r="J20" i="58"/>
  <c r="J13" i="58"/>
  <c r="J21" i="58"/>
  <c r="J24" i="58"/>
  <c r="J33" i="58"/>
  <c r="J41" i="58"/>
  <c r="J12" i="58"/>
  <c r="J18" i="58"/>
  <c r="J31" i="58"/>
  <c r="J27" i="58"/>
  <c r="J23" i="58"/>
  <c r="J19" i="58"/>
  <c r="J25" i="58"/>
  <c r="J42" i="58"/>
  <c r="J29" i="58"/>
  <c r="J30" i="58"/>
  <c r="J34" i="58"/>
  <c r="J35" i="58"/>
  <c r="J43" i="58"/>
  <c r="H28" i="7"/>
  <c r="I38" i="72"/>
  <c r="K17" i="48"/>
  <c r="K15" i="48"/>
  <c r="K33" i="48"/>
  <c r="K36" i="48"/>
  <c r="K16" i="48"/>
  <c r="K32" i="48"/>
  <c r="K18" i="48"/>
  <c r="K38" i="48"/>
  <c r="K40" i="48"/>
  <c r="K27" i="48"/>
  <c r="K51" i="48"/>
  <c r="K20" i="48"/>
  <c r="H51" i="48"/>
  <c r="K22" i="48"/>
  <c r="K31" i="48"/>
  <c r="K28" i="48"/>
  <c r="K39" i="48"/>
  <c r="K24" i="48"/>
  <c r="K21" i="48"/>
  <c r="K26" i="48"/>
  <c r="K37" i="48"/>
  <c r="K41" i="48"/>
  <c r="K23" i="48"/>
  <c r="K19" i="48"/>
  <c r="K25" i="48"/>
  <c r="K47" i="48"/>
  <c r="K30" i="48"/>
  <c r="K29" i="48"/>
  <c r="K35" i="48"/>
  <c r="K34" i="48"/>
  <c r="K48" i="48"/>
  <c r="K49" i="48"/>
  <c r="H26" i="7"/>
  <c r="I38" i="5"/>
  <c r="J35" i="56"/>
  <c r="J18" i="56"/>
  <c r="J37" i="56"/>
  <c r="J38" i="56"/>
  <c r="J46" i="56"/>
  <c r="J22" i="56"/>
  <c r="J20" i="56"/>
  <c r="J39" i="56"/>
  <c r="J27" i="56"/>
  <c r="J40" i="56"/>
  <c r="J31" i="56"/>
  <c r="J24" i="56"/>
  <c r="J12" i="56"/>
  <c r="J41" i="56"/>
  <c r="J21" i="56"/>
  <c r="J32" i="56"/>
  <c r="J33" i="56"/>
  <c r="H46" i="56"/>
  <c r="I46" i="56" s="1"/>
  <c r="J14" i="56"/>
  <c r="J13" i="56"/>
  <c r="J26" i="56"/>
  <c r="J28" i="56"/>
  <c r="J36" i="56"/>
  <c r="J23" i="56"/>
  <c r="J19" i="56"/>
  <c r="J25" i="56"/>
  <c r="J30" i="56"/>
  <c r="J29" i="56"/>
  <c r="J42" i="56"/>
  <c r="J43" i="56"/>
  <c r="J34" i="56"/>
  <c r="J44" i="56"/>
  <c r="G37" i="67"/>
  <c r="H36" i="67"/>
  <c r="I36" i="67" s="1"/>
  <c r="K21" i="115"/>
  <c r="K26" i="115"/>
  <c r="K51" i="115"/>
  <c r="K39" i="115"/>
  <c r="K22" i="115"/>
  <c r="K20" i="115"/>
  <c r="H51" i="115"/>
  <c r="K15" i="115"/>
  <c r="K16" i="115"/>
  <c r="K41" i="115"/>
  <c r="K24" i="115"/>
  <c r="K17" i="115"/>
  <c r="K37" i="115"/>
  <c r="K27" i="115"/>
  <c r="K18" i="115"/>
  <c r="K36" i="115"/>
  <c r="K31" i="115"/>
  <c r="K32" i="115"/>
  <c r="K28" i="115"/>
  <c r="K38" i="115"/>
  <c r="K33" i="115"/>
  <c r="K40" i="115"/>
  <c r="K19" i="115"/>
  <c r="K23" i="115"/>
  <c r="K25" i="115"/>
  <c r="K30" i="115"/>
  <c r="K29" i="115"/>
  <c r="K47" i="115"/>
  <c r="K48" i="115"/>
  <c r="K34" i="115"/>
  <c r="K35" i="115"/>
  <c r="K49" i="115"/>
  <c r="K27" i="61"/>
  <c r="K41" i="61"/>
  <c r="K28" i="61"/>
  <c r="K38" i="61"/>
  <c r="K15" i="61"/>
  <c r="K17" i="61"/>
  <c r="K37" i="61"/>
  <c r="K33" i="61"/>
  <c r="H51" i="61"/>
  <c r="K22" i="61"/>
  <c r="K32" i="61"/>
  <c r="K51" i="61"/>
  <c r="K31" i="61"/>
  <c r="K40" i="61"/>
  <c r="K20" i="61"/>
  <c r="K16" i="61"/>
  <c r="K18" i="61"/>
  <c r="K39" i="61"/>
  <c r="K21" i="61"/>
  <c r="K26" i="61"/>
  <c r="K24" i="61"/>
  <c r="K36" i="61"/>
  <c r="K23" i="61"/>
  <c r="K19" i="61"/>
  <c r="K25" i="61"/>
  <c r="K47" i="61"/>
  <c r="K29" i="61"/>
  <c r="K30" i="61"/>
  <c r="K34" i="61"/>
  <c r="K48" i="61"/>
  <c r="K35" i="61"/>
  <c r="K49" i="61"/>
  <c r="K28" i="56"/>
  <c r="K20" i="56"/>
  <c r="K31" i="56"/>
  <c r="K37" i="56"/>
  <c r="K40" i="56"/>
  <c r="K26" i="56"/>
  <c r="K39" i="56"/>
  <c r="K27" i="56"/>
  <c r="K32" i="56"/>
  <c r="K33" i="56"/>
  <c r="K18" i="56"/>
  <c r="K15" i="56"/>
  <c r="K38" i="56"/>
  <c r="K41" i="56"/>
  <c r="K22" i="56"/>
  <c r="K21" i="56"/>
  <c r="K16" i="56"/>
  <c r="K51" i="56"/>
  <c r="K24" i="56"/>
  <c r="K17" i="56"/>
  <c r="K36" i="56"/>
  <c r="H51" i="56"/>
  <c r="K19" i="56"/>
  <c r="K23" i="56"/>
  <c r="K25" i="56"/>
  <c r="K29" i="56"/>
  <c r="K30" i="56"/>
  <c r="K47" i="56"/>
  <c r="K35" i="56"/>
  <c r="K48" i="56"/>
  <c r="K34" i="56"/>
  <c r="K49" i="56"/>
  <c r="K32" i="49"/>
  <c r="K51" i="49"/>
  <c r="K33" i="49"/>
  <c r="H51" i="49"/>
  <c r="K21" i="49"/>
  <c r="K22" i="49"/>
  <c r="K37" i="49"/>
  <c r="K26" i="49"/>
  <c r="K36" i="49"/>
  <c r="K15" i="49"/>
  <c r="K17" i="49"/>
  <c r="K24" i="49"/>
  <c r="K16" i="49"/>
  <c r="K28" i="49"/>
  <c r="K20" i="49"/>
  <c r="K41" i="49"/>
  <c r="K27" i="49"/>
  <c r="K31" i="49"/>
  <c r="K18" i="49"/>
  <c r="K39" i="49"/>
  <c r="K38" i="49"/>
  <c r="K40" i="49"/>
  <c r="K19" i="49"/>
  <c r="K23" i="49"/>
  <c r="K25" i="49"/>
  <c r="K47" i="49"/>
  <c r="K30" i="49"/>
  <c r="K29" i="49"/>
  <c r="K35" i="49"/>
  <c r="K48" i="49"/>
  <c r="K34" i="49"/>
  <c r="K49" i="49"/>
  <c r="G37" i="68"/>
  <c r="J36" i="68" s="1"/>
  <c r="H36" i="68"/>
  <c r="I36" i="68" s="1"/>
  <c r="G37" i="25"/>
  <c r="J36" i="25" s="1"/>
  <c r="H36" i="25"/>
  <c r="I36" i="25" s="1"/>
  <c r="I51" i="57"/>
  <c r="H18" i="7"/>
  <c r="K50" i="115"/>
  <c r="J12" i="64"/>
  <c r="J14" i="64"/>
  <c r="J25" i="64"/>
  <c r="J28" i="64"/>
  <c r="J29" i="64"/>
  <c r="J31" i="64"/>
  <c r="J16" i="64"/>
  <c r="J19" i="64"/>
  <c r="J21" i="64"/>
  <c r="J30" i="64"/>
  <c r="J23" i="64"/>
  <c r="J32" i="64"/>
  <c r="J24" i="64"/>
  <c r="J27" i="64"/>
  <c r="J13" i="64"/>
  <c r="J37" i="64"/>
  <c r="J18" i="64"/>
  <c r="H37" i="64"/>
  <c r="J15" i="64"/>
  <c r="J17" i="64"/>
  <c r="J20" i="64"/>
  <c r="J22" i="64"/>
  <c r="J33" i="64"/>
  <c r="J26" i="64"/>
  <c r="J34" i="64"/>
  <c r="K50" i="61"/>
  <c r="I51" i="117"/>
  <c r="I20" i="7" s="1"/>
  <c r="H20" i="7"/>
  <c r="G37" i="66"/>
  <c r="J36" i="66" s="1"/>
  <c r="H36" i="66"/>
  <c r="I36" i="66" s="1"/>
  <c r="K50" i="60"/>
  <c r="K34" i="58"/>
  <c r="K21" i="58"/>
  <c r="K20" i="58"/>
  <c r="K16" i="58"/>
  <c r="K40" i="58"/>
  <c r="K37" i="58"/>
  <c r="K22" i="58"/>
  <c r="K28" i="58"/>
  <c r="K26" i="58"/>
  <c r="H51" i="58"/>
  <c r="K32" i="58"/>
  <c r="K38" i="58"/>
  <c r="K27" i="58"/>
  <c r="K15" i="58"/>
  <c r="K31" i="58"/>
  <c r="K51" i="58"/>
  <c r="K36" i="58"/>
  <c r="K24" i="58"/>
  <c r="K17" i="58"/>
  <c r="K39" i="58"/>
  <c r="K18" i="58"/>
  <c r="K41" i="58"/>
  <c r="K33" i="58"/>
  <c r="K19" i="58"/>
  <c r="K23" i="58"/>
  <c r="K25" i="58"/>
  <c r="K29" i="58"/>
  <c r="K30" i="58"/>
  <c r="K47" i="58"/>
  <c r="K48" i="58"/>
  <c r="K35" i="58"/>
  <c r="K49" i="58"/>
  <c r="J36" i="69"/>
  <c r="J21" i="60"/>
  <c r="J18" i="60"/>
  <c r="J39" i="60"/>
  <c r="J41" i="60"/>
  <c r="J36" i="60"/>
  <c r="J24" i="60"/>
  <c r="J20" i="60"/>
  <c r="J27" i="60"/>
  <c r="J40" i="60"/>
  <c r="J28" i="60"/>
  <c r="J22" i="60"/>
  <c r="J12" i="60"/>
  <c r="J46" i="60"/>
  <c r="J26" i="60"/>
  <c r="J14" i="60"/>
  <c r="J38" i="60"/>
  <c r="J13" i="60"/>
  <c r="J31" i="60"/>
  <c r="H46" i="60"/>
  <c r="I46" i="60" s="1"/>
  <c r="J32" i="60"/>
  <c r="J33" i="60"/>
  <c r="J37" i="60"/>
  <c r="J23" i="60"/>
  <c r="J19" i="60"/>
  <c r="J25" i="60"/>
  <c r="J30" i="60"/>
  <c r="J42" i="60"/>
  <c r="J29" i="60"/>
  <c r="J35" i="60"/>
  <c r="J43" i="60"/>
  <c r="J34" i="60"/>
  <c r="J44" i="60"/>
  <c r="H30" i="7"/>
  <c r="I38" i="74"/>
  <c r="I38" i="76"/>
  <c r="H41" i="7"/>
  <c r="K17" i="4"/>
  <c r="K39" i="4"/>
  <c r="K37" i="4"/>
  <c r="K33" i="4"/>
  <c r="K31" i="4"/>
  <c r="K24" i="4"/>
  <c r="K15" i="4"/>
  <c r="K16" i="4"/>
  <c r="K41" i="4"/>
  <c r="K38" i="4"/>
  <c r="K36" i="4"/>
  <c r="K28" i="4"/>
  <c r="K22" i="4"/>
  <c r="K18" i="4"/>
  <c r="K27" i="4"/>
  <c r="K40" i="4"/>
  <c r="K20" i="4"/>
  <c r="K26" i="4"/>
  <c r="K21" i="4"/>
  <c r="H51" i="4"/>
  <c r="K32" i="4"/>
  <c r="K51" i="4"/>
  <c r="K19" i="4"/>
  <c r="K23" i="4"/>
  <c r="K25" i="4"/>
  <c r="K30" i="4"/>
  <c r="K29" i="4"/>
  <c r="K47" i="4"/>
  <c r="K48" i="4"/>
  <c r="K34" i="4"/>
  <c r="K35" i="4"/>
  <c r="K49" i="4"/>
  <c r="J34" i="4"/>
  <c r="J32" i="4"/>
  <c r="J13" i="4"/>
  <c r="J33" i="4"/>
  <c r="J12" i="4"/>
  <c r="H46" i="4"/>
  <c r="I46" i="4" s="1"/>
  <c r="J27" i="4"/>
  <c r="J26" i="4"/>
  <c r="J38" i="4"/>
  <c r="J21" i="4"/>
  <c r="J14" i="4"/>
  <c r="J39" i="4"/>
  <c r="J37" i="4"/>
  <c r="J28" i="4"/>
  <c r="J40" i="4"/>
  <c r="J18" i="4"/>
  <c r="J22" i="4"/>
  <c r="J31" i="4"/>
  <c r="J20" i="4"/>
  <c r="J36" i="4"/>
  <c r="J46" i="4"/>
  <c r="J24" i="4"/>
  <c r="J41" i="4"/>
  <c r="J19" i="4"/>
  <c r="J23" i="4"/>
  <c r="J25" i="4"/>
  <c r="J29" i="4"/>
  <c r="J30" i="4"/>
  <c r="J42" i="4"/>
  <c r="J43" i="4"/>
  <c r="J35" i="4"/>
  <c r="J44" i="4"/>
  <c r="J35" i="79"/>
  <c r="J39" i="113"/>
  <c r="H46" i="113"/>
  <c r="I46" i="113" s="1"/>
  <c r="J46" i="113"/>
  <c r="J26" i="113"/>
  <c r="J22" i="113"/>
  <c r="J20" i="113"/>
  <c r="J21" i="113"/>
  <c r="J24" i="113"/>
  <c r="J13" i="113"/>
  <c r="J12" i="113"/>
  <c r="J41" i="113"/>
  <c r="J18" i="113"/>
  <c r="J14" i="113"/>
  <c r="J37" i="113"/>
  <c r="J28" i="113"/>
  <c r="J27" i="113"/>
  <c r="J31" i="113"/>
  <c r="J32" i="113"/>
  <c r="J38" i="113"/>
  <c r="J36" i="113"/>
  <c r="J33" i="113"/>
  <c r="J40" i="113"/>
  <c r="J19" i="113"/>
  <c r="J23" i="113"/>
  <c r="J25" i="113"/>
  <c r="J42" i="113"/>
  <c r="J29" i="113"/>
  <c r="J30" i="113"/>
  <c r="J34" i="113"/>
  <c r="J35" i="113"/>
  <c r="J43" i="113"/>
  <c r="J44" i="113"/>
  <c r="I51" i="113"/>
  <c r="I8" i="7" s="1"/>
  <c r="H8" i="7"/>
  <c r="G46" i="59"/>
  <c r="H45" i="59"/>
  <c r="I45" i="59" s="1"/>
  <c r="G51" i="59"/>
  <c r="K50" i="59" s="1"/>
  <c r="H50" i="59"/>
  <c r="I50" i="59" s="1"/>
  <c r="I38" i="73"/>
  <c r="H29" i="7"/>
  <c r="G37" i="63"/>
  <c r="J36" i="63" s="1"/>
  <c r="H36" i="63"/>
  <c r="I36" i="63" s="1"/>
  <c r="J22" i="78"/>
  <c r="J14" i="78"/>
  <c r="J26" i="78"/>
  <c r="J33" i="78"/>
  <c r="J38" i="78"/>
  <c r="J18" i="78"/>
  <c r="J25" i="78"/>
  <c r="J31" i="78"/>
  <c r="J15" i="78"/>
  <c r="J19" i="78"/>
  <c r="J28" i="78"/>
  <c r="J30" i="78"/>
  <c r="J13" i="78"/>
  <c r="J29" i="78"/>
  <c r="J21" i="78"/>
  <c r="J32" i="78"/>
  <c r="J17" i="78"/>
  <c r="H38" i="78"/>
  <c r="J24" i="78"/>
  <c r="J20" i="78"/>
  <c r="J16" i="78"/>
  <c r="J23" i="78"/>
  <c r="J27" i="78"/>
  <c r="J34" i="78"/>
  <c r="J35" i="78"/>
  <c r="J36" i="78"/>
  <c r="H46" i="7"/>
  <c r="I36" i="81"/>
  <c r="G37" i="70"/>
  <c r="J36" i="70" s="1"/>
  <c r="H36" i="70"/>
  <c r="I36" i="70" s="1"/>
  <c r="J43" i="47"/>
  <c r="J21" i="47"/>
  <c r="J18" i="47"/>
  <c r="J33" i="47"/>
  <c r="J31" i="47"/>
  <c r="J27" i="47"/>
  <c r="J24" i="47"/>
  <c r="J20" i="47"/>
  <c r="J38" i="47"/>
  <c r="J36" i="47"/>
  <c r="J32" i="47"/>
  <c r="J22" i="47"/>
  <c r="J14" i="47"/>
  <c r="J26" i="47"/>
  <c r="J39" i="47"/>
  <c r="J12" i="47"/>
  <c r="H46" i="47"/>
  <c r="I46" i="47" s="1"/>
  <c r="J40" i="47"/>
  <c r="J28" i="47"/>
  <c r="J46" i="47"/>
  <c r="J37" i="47"/>
  <c r="J13" i="47"/>
  <c r="J41" i="47"/>
  <c r="J19" i="47"/>
  <c r="J23" i="47"/>
  <c r="J25" i="47"/>
  <c r="J29" i="47"/>
  <c r="J30" i="47"/>
  <c r="J42" i="47"/>
  <c r="J34" i="47"/>
  <c r="J35" i="47"/>
  <c r="J44" i="47"/>
  <c r="J28" i="104"/>
  <c r="J38" i="104"/>
  <c r="J37" i="104"/>
  <c r="J20" i="104"/>
  <c r="J21" i="104"/>
  <c r="J22" i="104"/>
  <c r="J33" i="104"/>
  <c r="J41" i="104"/>
  <c r="J31" i="104"/>
  <c r="J40" i="104"/>
  <c r="J39" i="104"/>
  <c r="J18" i="104"/>
  <c r="J24" i="104"/>
  <c r="J13" i="104"/>
  <c r="J27" i="104"/>
  <c r="H46" i="104"/>
  <c r="I46" i="104" s="1"/>
  <c r="J12" i="104"/>
  <c r="J26" i="104"/>
  <c r="J36" i="104"/>
  <c r="J46" i="104"/>
  <c r="J32" i="104"/>
  <c r="J14" i="104"/>
  <c r="J19" i="104"/>
  <c r="J23" i="104"/>
  <c r="J25" i="104"/>
  <c r="J30" i="104"/>
  <c r="J42" i="104"/>
  <c r="J29" i="104"/>
  <c r="J35" i="104"/>
  <c r="J34" i="104"/>
  <c r="J43" i="104"/>
  <c r="J44" i="104"/>
  <c r="I51" i="47"/>
  <c r="H5" i="7"/>
  <c r="J37" i="78"/>
  <c r="J45" i="46"/>
  <c r="K50" i="56"/>
  <c r="K15" i="50"/>
  <c r="K33" i="50"/>
  <c r="K31" i="50"/>
  <c r="K39" i="50"/>
  <c r="K16" i="50"/>
  <c r="K18" i="50"/>
  <c r="K21" i="50"/>
  <c r="K38" i="50"/>
  <c r="K36" i="50"/>
  <c r="K41" i="50"/>
  <c r="K37" i="50"/>
  <c r="K20" i="50"/>
  <c r="H51" i="50"/>
  <c r="K27" i="50"/>
  <c r="K51" i="50"/>
  <c r="K17" i="50"/>
  <c r="K26" i="50"/>
  <c r="K32" i="50"/>
  <c r="K40" i="50"/>
  <c r="K22" i="50"/>
  <c r="K28" i="50"/>
  <c r="K24" i="50"/>
  <c r="K19" i="50"/>
  <c r="K23" i="50"/>
  <c r="K25" i="50"/>
  <c r="K29" i="50"/>
  <c r="K47" i="50"/>
  <c r="K30" i="50"/>
  <c r="K34" i="50"/>
  <c r="K35" i="50"/>
  <c r="K48" i="50"/>
  <c r="K49" i="50"/>
  <c r="H51" i="112"/>
  <c r="K39" i="112"/>
  <c r="K20" i="112"/>
  <c r="K21" i="112"/>
  <c r="K22" i="112"/>
  <c r="K26" i="112"/>
  <c r="K51" i="112"/>
  <c r="K15" i="112"/>
  <c r="K41" i="112"/>
  <c r="K16" i="112"/>
  <c r="K24" i="112"/>
  <c r="K17" i="112"/>
  <c r="K37" i="112"/>
  <c r="K27" i="112"/>
  <c r="K31" i="112"/>
  <c r="K36" i="112"/>
  <c r="K28" i="112"/>
  <c r="K32" i="112"/>
  <c r="K38" i="112"/>
  <c r="K18" i="112"/>
  <c r="K33" i="112"/>
  <c r="K40" i="112"/>
  <c r="K19" i="112"/>
  <c r="K23" i="112"/>
  <c r="K25" i="112"/>
  <c r="K29" i="112"/>
  <c r="K30" i="112"/>
  <c r="K47" i="112"/>
  <c r="K34" i="112"/>
  <c r="K48" i="112"/>
  <c r="K35" i="112"/>
  <c r="K49" i="112"/>
  <c r="K50" i="49"/>
  <c r="K21" i="104"/>
  <c r="K20" i="104"/>
  <c r="K40" i="104"/>
  <c r="K38" i="104"/>
  <c r="K37" i="104"/>
  <c r="K22" i="104"/>
  <c r="K17" i="104"/>
  <c r="K28" i="104"/>
  <c r="K41" i="104"/>
  <c r="K26" i="104"/>
  <c r="H51" i="104"/>
  <c r="K16" i="104"/>
  <c r="K51" i="104"/>
  <c r="K24" i="104"/>
  <c r="K15" i="104"/>
  <c r="K31" i="104"/>
  <c r="K27" i="104"/>
  <c r="K32" i="104"/>
  <c r="K18" i="104"/>
  <c r="K39" i="104"/>
  <c r="K36" i="104"/>
  <c r="K33" i="104"/>
  <c r="K23" i="104"/>
  <c r="K19" i="104"/>
  <c r="K25" i="104"/>
  <c r="K29" i="104"/>
  <c r="K47" i="104"/>
  <c r="K30" i="104"/>
  <c r="K34" i="104"/>
  <c r="K48" i="104"/>
  <c r="K35" i="104"/>
  <c r="K49" i="104"/>
  <c r="K50" i="46"/>
  <c r="K33" i="54"/>
  <c r="H51" i="54"/>
  <c r="K37" i="54"/>
  <c r="K15" i="54"/>
  <c r="K24" i="54"/>
  <c r="K26" i="54"/>
  <c r="K36" i="54"/>
  <c r="K16" i="54"/>
  <c r="K39" i="54"/>
  <c r="K20" i="54"/>
  <c r="K38" i="54"/>
  <c r="K41" i="54"/>
  <c r="K21" i="54"/>
  <c r="K32" i="54"/>
  <c r="K40" i="54"/>
  <c r="K51" i="54"/>
  <c r="K22" i="54"/>
  <c r="K28" i="54"/>
  <c r="K27" i="54"/>
  <c r="K18" i="54"/>
  <c r="K31" i="54"/>
  <c r="K17" i="54"/>
  <c r="K19" i="54"/>
  <c r="K23" i="54"/>
  <c r="K25" i="54"/>
  <c r="K30" i="54"/>
  <c r="K47" i="54"/>
  <c r="K29" i="54"/>
  <c r="K34" i="54"/>
  <c r="K48" i="54"/>
  <c r="K35" i="54"/>
  <c r="K49" i="54"/>
  <c r="J45" i="56"/>
  <c r="I51" i="62" l="1"/>
  <c r="H25" i="7"/>
  <c r="I5" i="7"/>
  <c r="J20" i="59"/>
  <c r="J21" i="59"/>
  <c r="J39" i="59"/>
  <c r="J41" i="59"/>
  <c r="J36" i="59"/>
  <c r="J22" i="59"/>
  <c r="J14" i="59"/>
  <c r="H46" i="59"/>
  <c r="I46" i="59" s="1"/>
  <c r="J26" i="59"/>
  <c r="J46" i="59"/>
  <c r="J27" i="59"/>
  <c r="J40" i="59"/>
  <c r="J38" i="59"/>
  <c r="J24" i="59"/>
  <c r="J12" i="59"/>
  <c r="J32" i="59"/>
  <c r="J28" i="59"/>
  <c r="J18" i="59"/>
  <c r="J31" i="59"/>
  <c r="J33" i="59"/>
  <c r="J13" i="59"/>
  <c r="J37" i="59"/>
  <c r="J19" i="59"/>
  <c r="J23" i="59"/>
  <c r="J25" i="59"/>
  <c r="J42" i="59"/>
  <c r="J29" i="59"/>
  <c r="J30" i="59"/>
  <c r="J43" i="59"/>
  <c r="J34" i="59"/>
  <c r="J35" i="59"/>
  <c r="J44" i="59"/>
  <c r="H14" i="7"/>
  <c r="I51" i="54"/>
  <c r="I51" i="112"/>
  <c r="I4" i="7" s="1"/>
  <c r="H4" i="7"/>
  <c r="H9" i="7"/>
  <c r="I51" i="50"/>
  <c r="K27" i="59"/>
  <c r="K41" i="59"/>
  <c r="K28" i="59"/>
  <c r="K38" i="59"/>
  <c r="K17" i="59"/>
  <c r="K15" i="59"/>
  <c r="K51" i="59"/>
  <c r="K33" i="59"/>
  <c r="K18" i="59"/>
  <c r="K37" i="59"/>
  <c r="K40" i="59"/>
  <c r="K22" i="59"/>
  <c r="K39" i="59"/>
  <c r="H51" i="59"/>
  <c r="K32" i="59"/>
  <c r="K16" i="59"/>
  <c r="K36" i="59"/>
  <c r="K21" i="59"/>
  <c r="K24" i="59"/>
  <c r="K26" i="59"/>
  <c r="K31" i="59"/>
  <c r="K20" i="59"/>
  <c r="K23" i="59"/>
  <c r="K19" i="59"/>
  <c r="K25" i="59"/>
  <c r="K30" i="59"/>
  <c r="K47" i="59"/>
  <c r="K29" i="59"/>
  <c r="K35" i="59"/>
  <c r="K48" i="59"/>
  <c r="K34" i="59"/>
  <c r="K49" i="59"/>
  <c r="I41" i="7"/>
  <c r="J21" i="68"/>
  <c r="J19" i="68"/>
  <c r="J32" i="68"/>
  <c r="J30" i="68"/>
  <c r="J27" i="68"/>
  <c r="J24" i="68"/>
  <c r="J23" i="68"/>
  <c r="H37" i="68"/>
  <c r="J18" i="68"/>
  <c r="J12" i="68"/>
  <c r="J37" i="68"/>
  <c r="J14" i="68"/>
  <c r="J13" i="68"/>
  <c r="J31" i="68"/>
  <c r="J16" i="68"/>
  <c r="J29" i="68"/>
  <c r="J25" i="68"/>
  <c r="J28" i="68"/>
  <c r="J17" i="68"/>
  <c r="J15" i="68"/>
  <c r="J20" i="68"/>
  <c r="J22" i="68"/>
  <c r="J33" i="68"/>
  <c r="J26" i="68"/>
  <c r="J34" i="68"/>
  <c r="J35" i="68"/>
  <c r="I51" i="61"/>
  <c r="H23" i="7"/>
  <c r="I26" i="7"/>
  <c r="H6" i="7"/>
  <c r="I51" i="48"/>
  <c r="H3" i="7"/>
  <c r="I51" i="46"/>
  <c r="I46" i="7"/>
  <c r="J13" i="67"/>
  <c r="J32" i="67"/>
  <c r="J27" i="67"/>
  <c r="J19" i="67"/>
  <c r="J25" i="67"/>
  <c r="J37" i="67"/>
  <c r="J21" i="67"/>
  <c r="J24" i="67"/>
  <c r="J28" i="67"/>
  <c r="J12" i="67"/>
  <c r="H37" i="67"/>
  <c r="J18" i="67"/>
  <c r="J31" i="67"/>
  <c r="J30" i="67"/>
  <c r="J14" i="67"/>
  <c r="J29" i="67"/>
  <c r="J16" i="67"/>
  <c r="J23" i="67"/>
  <c r="J15" i="67"/>
  <c r="J17" i="67"/>
  <c r="J20" i="67"/>
  <c r="J22" i="67"/>
  <c r="J26" i="67"/>
  <c r="J33" i="67"/>
  <c r="J34" i="67"/>
  <c r="J35" i="67"/>
  <c r="J13" i="65"/>
  <c r="J32" i="65"/>
  <c r="J14" i="65"/>
  <c r="J24" i="65"/>
  <c r="J18" i="65"/>
  <c r="J30" i="65"/>
  <c r="J21" i="65"/>
  <c r="J16" i="65"/>
  <c r="J25" i="65"/>
  <c r="J37" i="65"/>
  <c r="J27" i="65"/>
  <c r="J29" i="65"/>
  <c r="J23" i="65"/>
  <c r="J12" i="65"/>
  <c r="J31" i="65"/>
  <c r="J19" i="65"/>
  <c r="H37" i="65"/>
  <c r="J28" i="65"/>
  <c r="J17" i="65"/>
  <c r="J15" i="65"/>
  <c r="J20" i="65"/>
  <c r="J22" i="65"/>
  <c r="J26" i="65"/>
  <c r="J33" i="65"/>
  <c r="J34" i="65"/>
  <c r="J35" i="65"/>
  <c r="I51" i="104"/>
  <c r="H15" i="7"/>
  <c r="I29" i="7"/>
  <c r="I30" i="7"/>
  <c r="H34" i="7"/>
  <c r="I37" i="64"/>
  <c r="I18" i="7"/>
  <c r="J12" i="25"/>
  <c r="J14" i="25"/>
  <c r="J13" i="25"/>
  <c r="J23" i="25"/>
  <c r="J19" i="25"/>
  <c r="J21" i="25"/>
  <c r="H37" i="25"/>
  <c r="J28" i="25"/>
  <c r="J37" i="25"/>
  <c r="J31" i="25"/>
  <c r="J29" i="25"/>
  <c r="J16" i="25"/>
  <c r="J27" i="25"/>
  <c r="J24" i="25"/>
  <c r="J25" i="25"/>
  <c r="J18" i="25"/>
  <c r="J30" i="25"/>
  <c r="J32" i="25"/>
  <c r="J17" i="25"/>
  <c r="J15" i="25"/>
  <c r="J20" i="25"/>
  <c r="J22" i="25"/>
  <c r="J26" i="25"/>
  <c r="J33" i="25"/>
  <c r="J34" i="25"/>
  <c r="J35" i="25"/>
  <c r="I51" i="49"/>
  <c r="H7" i="7"/>
  <c r="I38" i="75"/>
  <c r="H31" i="7"/>
  <c r="I27" i="7"/>
  <c r="I42" i="7"/>
  <c r="I36" i="79"/>
  <c r="H44" i="7"/>
  <c r="J36" i="65"/>
  <c r="I51" i="4"/>
  <c r="H2" i="7"/>
  <c r="I51" i="56"/>
  <c r="H17" i="7"/>
  <c r="I45" i="7"/>
  <c r="J14" i="70"/>
  <c r="J12" i="70"/>
  <c r="J32" i="70"/>
  <c r="J28" i="70"/>
  <c r="J25" i="70"/>
  <c r="J21" i="70"/>
  <c r="J19" i="70"/>
  <c r="J37" i="70"/>
  <c r="J13" i="70"/>
  <c r="J31" i="70"/>
  <c r="J23" i="70"/>
  <c r="J16" i="70"/>
  <c r="J29" i="70"/>
  <c r="J24" i="70"/>
  <c r="J30" i="70"/>
  <c r="H37" i="70"/>
  <c r="J27" i="70"/>
  <c r="J18" i="70"/>
  <c r="J17" i="70"/>
  <c r="J15" i="70"/>
  <c r="J20" i="70"/>
  <c r="J22" i="70"/>
  <c r="J26" i="70"/>
  <c r="J33" i="70"/>
  <c r="J34" i="70"/>
  <c r="J35" i="70"/>
  <c r="H43" i="7"/>
  <c r="I38" i="78"/>
  <c r="J34" i="63"/>
  <c r="H37" i="63"/>
  <c r="J16" i="63"/>
  <c r="J37" i="63"/>
  <c r="J30" i="63"/>
  <c r="J12" i="63"/>
  <c r="J18" i="63"/>
  <c r="J13" i="63"/>
  <c r="J32" i="63"/>
  <c r="J21" i="63"/>
  <c r="J14" i="63"/>
  <c r="J27" i="63"/>
  <c r="J23" i="63"/>
  <c r="J19" i="63"/>
  <c r="J29" i="63"/>
  <c r="J24" i="63"/>
  <c r="J28" i="63"/>
  <c r="J31" i="63"/>
  <c r="J25" i="63"/>
  <c r="J15" i="63"/>
  <c r="J17" i="63"/>
  <c r="J20" i="63"/>
  <c r="J22" i="63"/>
  <c r="J26" i="63"/>
  <c r="J33" i="63"/>
  <c r="J35" i="63"/>
  <c r="J45" i="59"/>
  <c r="I51" i="58"/>
  <c r="H19" i="7"/>
  <c r="H37" i="66"/>
  <c r="J37" i="66"/>
  <c r="J30" i="66"/>
  <c r="J16" i="66"/>
  <c r="J32" i="66"/>
  <c r="J12" i="66"/>
  <c r="J13" i="66"/>
  <c r="J18" i="66"/>
  <c r="J19" i="66"/>
  <c r="J21" i="66"/>
  <c r="J27" i="66"/>
  <c r="J23" i="66"/>
  <c r="J14" i="66"/>
  <c r="J24" i="66"/>
  <c r="J29" i="66"/>
  <c r="J28" i="66"/>
  <c r="J31" i="66"/>
  <c r="J25" i="66"/>
  <c r="J17" i="66"/>
  <c r="J15" i="66"/>
  <c r="J20" i="66"/>
  <c r="J22" i="66"/>
  <c r="J33" i="66"/>
  <c r="J26" i="66"/>
  <c r="J34" i="66"/>
  <c r="J35" i="66"/>
  <c r="H16" i="7"/>
  <c r="I51" i="115"/>
  <c r="I16" i="7" s="1"/>
  <c r="J36" i="67"/>
  <c r="I28" i="7"/>
  <c r="I37" i="69"/>
  <c r="H39" i="7"/>
  <c r="H22" i="7"/>
  <c r="I51" i="60"/>
  <c r="I25" i="7" l="1"/>
  <c r="I23" i="7"/>
  <c r="I14" i="7"/>
  <c r="I17" i="7"/>
  <c r="I7" i="7"/>
  <c r="H32" i="7"/>
  <c r="I37" i="25"/>
  <c r="I15" i="7"/>
  <c r="I3" i="7"/>
  <c r="I44" i="7"/>
  <c r="I39" i="7"/>
  <c r="I19" i="7"/>
  <c r="I43" i="7"/>
  <c r="I31" i="7"/>
  <c r="I34" i="7"/>
  <c r="I6" i="7"/>
  <c r="I9" i="7"/>
  <c r="H33" i="7"/>
  <c r="I37" i="63"/>
  <c r="I2" i="7"/>
  <c r="H21" i="7"/>
  <c r="I51" i="59"/>
  <c r="I22" i="7"/>
  <c r="I37" i="66"/>
  <c r="H36" i="7"/>
  <c r="I37" i="70"/>
  <c r="H40" i="7"/>
  <c r="I37" i="65"/>
  <c r="H35" i="7"/>
  <c r="H37" i="7"/>
  <c r="I37" i="67"/>
  <c r="I37" i="68"/>
  <c r="H38" i="7"/>
  <c r="I37" i="7" l="1"/>
  <c r="I35" i="7"/>
  <c r="I21" i="7"/>
  <c r="I32" i="7"/>
  <c r="I40" i="7"/>
  <c r="I38" i="7"/>
  <c r="I36" i="7"/>
  <c r="I33" i="7"/>
  <c r="Q5" i="3" l="1"/>
  <c r="F19" i="52" l="1"/>
  <c r="G19" i="52" s="1"/>
  <c r="F19" i="51"/>
  <c r="G19" i="51" s="1"/>
  <c r="F19" i="114"/>
  <c r="G19" i="114" s="1"/>
  <c r="F19" i="53"/>
  <c r="G19" i="53" s="1"/>
  <c r="H19" i="114" l="1"/>
  <c r="I19" i="114" s="1"/>
  <c r="G25" i="114"/>
  <c r="G25" i="51"/>
  <c r="H19" i="51"/>
  <c r="I19" i="51" s="1"/>
  <c r="G25" i="53"/>
  <c r="H19" i="53"/>
  <c r="I19" i="53" s="1"/>
  <c r="H19" i="52"/>
  <c r="I19" i="52" s="1"/>
  <c r="G25" i="52"/>
  <c r="G29" i="52" l="1"/>
  <c r="G47" i="52"/>
  <c r="G50" i="52" s="1"/>
  <c r="G42" i="52"/>
  <c r="G45" i="52" s="1"/>
  <c r="H25" i="52"/>
  <c r="G30" i="52"/>
  <c r="G42" i="114"/>
  <c r="G45" i="114" s="1"/>
  <c r="G29" i="114"/>
  <c r="G47" i="114"/>
  <c r="G50" i="114" s="1"/>
  <c r="G30" i="114"/>
  <c r="H25" i="114"/>
  <c r="G47" i="51"/>
  <c r="G50" i="51" s="1"/>
  <c r="H25" i="51"/>
  <c r="G29" i="51"/>
  <c r="G30" i="51"/>
  <c r="G42" i="51"/>
  <c r="G45" i="51" s="1"/>
  <c r="G47" i="53"/>
  <c r="G50" i="53" s="1"/>
  <c r="H25" i="53"/>
  <c r="G30" i="53"/>
  <c r="G42" i="53"/>
  <c r="G45" i="53" s="1"/>
  <c r="G29" i="53"/>
  <c r="G43" i="114" l="1"/>
  <c r="H42" i="114"/>
  <c r="I42" i="114" s="1"/>
  <c r="F11" i="7"/>
  <c r="I25" i="52"/>
  <c r="G11" i="7" s="1"/>
  <c r="H30" i="53"/>
  <c r="I30" i="53" s="1"/>
  <c r="G35" i="53"/>
  <c r="F13" i="7"/>
  <c r="I25" i="53"/>
  <c r="G13" i="7" s="1"/>
  <c r="G35" i="52"/>
  <c r="H30" i="52"/>
  <c r="I30" i="52" s="1"/>
  <c r="G43" i="51"/>
  <c r="H42" i="51"/>
  <c r="I42" i="51" s="1"/>
  <c r="H30" i="114"/>
  <c r="I30" i="114" s="1"/>
  <c r="G35" i="114"/>
  <c r="G43" i="52"/>
  <c r="G44" i="52" s="1"/>
  <c r="H42" i="52"/>
  <c r="I42" i="52" s="1"/>
  <c r="I25" i="51"/>
  <c r="G10" i="7" s="1"/>
  <c r="F10" i="7"/>
  <c r="G48" i="53"/>
  <c r="G49" i="53" s="1"/>
  <c r="H47" i="53"/>
  <c r="I47" i="53" s="1"/>
  <c r="F12" i="7"/>
  <c r="I25" i="114"/>
  <c r="G12" i="7" s="1"/>
  <c r="H30" i="51"/>
  <c r="I30" i="51" s="1"/>
  <c r="G35" i="51"/>
  <c r="G48" i="114"/>
  <c r="H47" i="114"/>
  <c r="I47" i="114" s="1"/>
  <c r="H47" i="52"/>
  <c r="I47" i="52" s="1"/>
  <c r="G48" i="52"/>
  <c r="G49" i="52" s="1"/>
  <c r="G48" i="51"/>
  <c r="H47" i="51"/>
  <c r="I47" i="51" s="1"/>
  <c r="H29" i="53"/>
  <c r="I29" i="53" s="1"/>
  <c r="G34" i="53"/>
  <c r="G43" i="53"/>
  <c r="G44" i="53" s="1"/>
  <c r="H42" i="53"/>
  <c r="I42" i="53" s="1"/>
  <c r="H29" i="51"/>
  <c r="I29" i="51" s="1"/>
  <c r="G34" i="51"/>
  <c r="H29" i="114"/>
  <c r="I29" i="114" s="1"/>
  <c r="G34" i="114"/>
  <c r="H29" i="52"/>
  <c r="I29" i="52" s="1"/>
  <c r="G34" i="52"/>
  <c r="H44" i="52" l="1"/>
  <c r="I44" i="52" s="1"/>
  <c r="H45" i="52"/>
  <c r="I45" i="52" s="1"/>
  <c r="G49" i="114"/>
  <c r="H48" i="114"/>
  <c r="I48" i="114" s="1"/>
  <c r="H34" i="114"/>
  <c r="I34" i="114" s="1"/>
  <c r="H35" i="51"/>
  <c r="I35" i="51" s="1"/>
  <c r="H35" i="114"/>
  <c r="I35" i="114" s="1"/>
  <c r="H48" i="52"/>
  <c r="I48" i="52" s="1"/>
  <c r="H35" i="52"/>
  <c r="I35" i="52" s="1"/>
  <c r="H49" i="53"/>
  <c r="I49" i="53" s="1"/>
  <c r="G51" i="53"/>
  <c r="K35" i="53" s="1"/>
  <c r="H35" i="53"/>
  <c r="I35" i="53" s="1"/>
  <c r="H49" i="52"/>
  <c r="I49" i="52" s="1"/>
  <c r="H50" i="52"/>
  <c r="I50" i="52" s="1"/>
  <c r="H43" i="51"/>
  <c r="I43" i="51" s="1"/>
  <c r="G49" i="51"/>
  <c r="H48" i="51"/>
  <c r="I48" i="51" s="1"/>
  <c r="H34" i="52"/>
  <c r="I34" i="52" s="1"/>
  <c r="G44" i="51"/>
  <c r="H44" i="53"/>
  <c r="I44" i="53" s="1"/>
  <c r="G46" i="53"/>
  <c r="H43" i="52"/>
  <c r="I43" i="52" s="1"/>
  <c r="H43" i="53"/>
  <c r="I43" i="53" s="1"/>
  <c r="H48" i="53"/>
  <c r="I48" i="53" s="1"/>
  <c r="H34" i="51"/>
  <c r="I34" i="51" s="1"/>
  <c r="H34" i="53"/>
  <c r="I34" i="53" s="1"/>
  <c r="G44" i="114"/>
  <c r="H43" i="114"/>
  <c r="I43" i="114" s="1"/>
  <c r="G51" i="52" l="1"/>
  <c r="K50" i="52" s="1"/>
  <c r="G46" i="52"/>
  <c r="J24" i="52" s="1"/>
  <c r="J43" i="53"/>
  <c r="J34" i="53"/>
  <c r="H44" i="114"/>
  <c r="I44" i="114" s="1"/>
  <c r="G46" i="51"/>
  <c r="J44" i="51" s="1"/>
  <c r="H44" i="51"/>
  <c r="I44" i="51" s="1"/>
  <c r="H49" i="114"/>
  <c r="I49" i="114" s="1"/>
  <c r="J44" i="53"/>
  <c r="J31" i="53"/>
  <c r="J27" i="53"/>
  <c r="J40" i="53"/>
  <c r="J41" i="53"/>
  <c r="J39" i="53"/>
  <c r="J26" i="53"/>
  <c r="J38" i="53"/>
  <c r="H46" i="53"/>
  <c r="I46" i="53" s="1"/>
  <c r="J22" i="53"/>
  <c r="J36" i="53"/>
  <c r="J18" i="53"/>
  <c r="J46" i="53"/>
  <c r="J24" i="53"/>
  <c r="J37" i="53"/>
  <c r="J21" i="53"/>
  <c r="J33" i="53"/>
  <c r="J20" i="53"/>
  <c r="J32" i="53"/>
  <c r="J13" i="53"/>
  <c r="J23" i="53"/>
  <c r="J28" i="53"/>
  <c r="J14" i="53"/>
  <c r="J12" i="53"/>
  <c r="J19" i="53"/>
  <c r="J25" i="53"/>
  <c r="J42" i="53"/>
  <c r="J29" i="53"/>
  <c r="J30" i="53"/>
  <c r="J35" i="53"/>
  <c r="K34" i="53"/>
  <c r="H50" i="53"/>
  <c r="I50" i="53" s="1"/>
  <c r="K50" i="53"/>
  <c r="H45" i="53"/>
  <c r="I45" i="53" s="1"/>
  <c r="J45" i="53"/>
  <c r="H49" i="51"/>
  <c r="I49" i="51" s="1"/>
  <c r="G51" i="51"/>
  <c r="K49" i="53"/>
  <c r="H51" i="53"/>
  <c r="K32" i="53"/>
  <c r="K16" i="53"/>
  <c r="K17" i="53"/>
  <c r="K21" i="53"/>
  <c r="K23" i="53"/>
  <c r="K28" i="53"/>
  <c r="K15" i="53"/>
  <c r="K36" i="53"/>
  <c r="K24" i="53"/>
  <c r="K33" i="53"/>
  <c r="K39" i="53"/>
  <c r="K51" i="53"/>
  <c r="K22" i="53"/>
  <c r="K27" i="53"/>
  <c r="K41" i="53"/>
  <c r="K26" i="53"/>
  <c r="K31" i="53"/>
  <c r="K37" i="53"/>
  <c r="K20" i="53"/>
  <c r="K18" i="53"/>
  <c r="K40" i="53"/>
  <c r="K38" i="53"/>
  <c r="K19" i="53"/>
  <c r="K25" i="53"/>
  <c r="K30" i="53"/>
  <c r="K47" i="53"/>
  <c r="K29" i="53"/>
  <c r="K48" i="53"/>
  <c r="K31" i="52" l="1"/>
  <c r="J40" i="52"/>
  <c r="K41" i="52"/>
  <c r="K39" i="52"/>
  <c r="H46" i="52"/>
  <c r="I46" i="52" s="1"/>
  <c r="J28" i="52"/>
  <c r="J26" i="52"/>
  <c r="K25" i="52"/>
  <c r="K18" i="52"/>
  <c r="J42" i="52"/>
  <c r="J14" i="52"/>
  <c r="K33" i="52"/>
  <c r="K47" i="52"/>
  <c r="K48" i="52"/>
  <c r="K32" i="52"/>
  <c r="K16" i="52"/>
  <c r="K24" i="52"/>
  <c r="K15" i="52"/>
  <c r="K23" i="52"/>
  <c r="K51" i="52"/>
  <c r="K27" i="52"/>
  <c r="K36" i="52"/>
  <c r="H51" i="52"/>
  <c r="H11" i="7" s="1"/>
  <c r="K30" i="52"/>
  <c r="K38" i="52"/>
  <c r="K40" i="52"/>
  <c r="K20" i="52"/>
  <c r="K26" i="52"/>
  <c r="J34" i="52"/>
  <c r="J44" i="52"/>
  <c r="J35" i="52"/>
  <c r="J43" i="52"/>
  <c r="J25" i="52"/>
  <c r="J37" i="52"/>
  <c r="J23" i="52"/>
  <c r="J36" i="52"/>
  <c r="J21" i="52"/>
  <c r="J13" i="52"/>
  <c r="J46" i="52"/>
  <c r="K29" i="52"/>
  <c r="K19" i="52"/>
  <c r="K28" i="52"/>
  <c r="K37" i="52"/>
  <c r="K21" i="52"/>
  <c r="K22" i="52"/>
  <c r="K17" i="52"/>
  <c r="J29" i="52"/>
  <c r="J19" i="52"/>
  <c r="J32" i="52"/>
  <c r="J31" i="52"/>
  <c r="J12" i="52"/>
  <c r="J39" i="52"/>
  <c r="J22" i="52"/>
  <c r="J45" i="52"/>
  <c r="J30" i="52"/>
  <c r="J20" i="52"/>
  <c r="J38" i="52"/>
  <c r="J18" i="52"/>
  <c r="J41" i="52"/>
  <c r="J33" i="52"/>
  <c r="J27" i="52"/>
  <c r="K35" i="52"/>
  <c r="K49" i="52"/>
  <c r="K34" i="52"/>
  <c r="K28" i="51"/>
  <c r="K51" i="51"/>
  <c r="K18" i="51"/>
  <c r="K39" i="51"/>
  <c r="K23" i="51"/>
  <c r="K32" i="51"/>
  <c r="K38" i="51"/>
  <c r="K22" i="51"/>
  <c r="K24" i="51"/>
  <c r="K41" i="51"/>
  <c r="K40" i="51"/>
  <c r="K27" i="51"/>
  <c r="K36" i="51"/>
  <c r="K26" i="51"/>
  <c r="K15" i="51"/>
  <c r="K37" i="51"/>
  <c r="H51" i="51"/>
  <c r="K20" i="51"/>
  <c r="K21" i="51"/>
  <c r="K33" i="51"/>
  <c r="K31" i="51"/>
  <c r="K16" i="51"/>
  <c r="K17" i="51"/>
  <c r="K19" i="51"/>
  <c r="K25" i="51"/>
  <c r="K47" i="51"/>
  <c r="K30" i="51"/>
  <c r="K29" i="51"/>
  <c r="K48" i="51"/>
  <c r="K34" i="51"/>
  <c r="K35" i="51"/>
  <c r="K49" i="51"/>
  <c r="H50" i="114"/>
  <c r="I50" i="114" s="1"/>
  <c r="J21" i="51"/>
  <c r="J28" i="51"/>
  <c r="J33" i="51"/>
  <c r="J18" i="51"/>
  <c r="H46" i="51"/>
  <c r="I46" i="51" s="1"/>
  <c r="J27" i="51"/>
  <c r="J24" i="51"/>
  <c r="J14" i="51"/>
  <c r="J22" i="51"/>
  <c r="J23" i="51"/>
  <c r="J20" i="51"/>
  <c r="J40" i="51"/>
  <c r="J12" i="51"/>
  <c r="J46" i="51"/>
  <c r="J39" i="51"/>
  <c r="J32" i="51"/>
  <c r="J41" i="51"/>
  <c r="J36" i="51"/>
  <c r="J37" i="51"/>
  <c r="J26" i="51"/>
  <c r="J38" i="51"/>
  <c r="J31" i="51"/>
  <c r="J13" i="51"/>
  <c r="J19" i="51"/>
  <c r="J25" i="51"/>
  <c r="J42" i="51"/>
  <c r="J29" i="51"/>
  <c r="J30" i="51"/>
  <c r="J43" i="51"/>
  <c r="J35" i="51"/>
  <c r="J34" i="51"/>
  <c r="H45" i="51"/>
  <c r="I45" i="51" s="1"/>
  <c r="J45" i="51"/>
  <c r="I51" i="53"/>
  <c r="I13" i="7" s="1"/>
  <c r="H13" i="7"/>
  <c r="G51" i="114"/>
  <c r="K50" i="114" s="1"/>
  <c r="G46" i="114"/>
  <c r="J45" i="114" s="1"/>
  <c r="H45" i="114"/>
  <c r="I45" i="114" s="1"/>
  <c r="H50" i="51"/>
  <c r="I50" i="51" s="1"/>
  <c r="K50" i="51"/>
  <c r="I51" i="52" l="1"/>
  <c r="I11" i="7" s="1"/>
  <c r="K49" i="114"/>
  <c r="K23" i="114"/>
  <c r="K28" i="114"/>
  <c r="K37" i="114"/>
  <c r="K36" i="114"/>
  <c r="K26" i="114"/>
  <c r="K27" i="114"/>
  <c r="K32" i="114"/>
  <c r="K17" i="114"/>
  <c r="K16" i="114"/>
  <c r="K38" i="114"/>
  <c r="K15" i="114"/>
  <c r="K18" i="114"/>
  <c r="K51" i="114"/>
  <c r="K33" i="114"/>
  <c r="K41" i="114"/>
  <c r="K21" i="114"/>
  <c r="K24" i="114"/>
  <c r="K20" i="114"/>
  <c r="K22" i="114"/>
  <c r="K39" i="114"/>
  <c r="H51" i="114"/>
  <c r="K31" i="114"/>
  <c r="K40" i="114"/>
  <c r="K19" i="114"/>
  <c r="K25" i="114"/>
  <c r="K29" i="114"/>
  <c r="K47" i="114"/>
  <c r="K30" i="114"/>
  <c r="K48" i="114"/>
  <c r="K34" i="114"/>
  <c r="K35" i="114"/>
  <c r="J12" i="114"/>
  <c r="J31" i="114"/>
  <c r="J22" i="114"/>
  <c r="J39" i="114"/>
  <c r="J28" i="114"/>
  <c r="H46" i="114"/>
  <c r="I46" i="114" s="1"/>
  <c r="J41" i="114"/>
  <c r="J27" i="114"/>
  <c r="J36" i="114"/>
  <c r="J40" i="114"/>
  <c r="J20" i="114"/>
  <c r="J24" i="114"/>
  <c r="J14" i="114"/>
  <c r="J13" i="114"/>
  <c r="J46" i="114"/>
  <c r="J33" i="114"/>
  <c r="J26" i="114"/>
  <c r="J21" i="114"/>
  <c r="J32" i="114"/>
  <c r="J37" i="114"/>
  <c r="J38" i="114"/>
  <c r="J18" i="114"/>
  <c r="J23" i="114"/>
  <c r="J19" i="114"/>
  <c r="J25" i="114"/>
  <c r="J42" i="114"/>
  <c r="J30" i="114"/>
  <c r="J29" i="114"/>
  <c r="J34" i="114"/>
  <c r="J43" i="114"/>
  <c r="J35" i="114"/>
  <c r="J44" i="114"/>
  <c r="H10" i="7"/>
  <c r="I51" i="51"/>
  <c r="I10" i="7" s="1"/>
  <c r="I51" i="114" l="1"/>
  <c r="I12" i="7" s="1"/>
  <c r="H12" i="7"/>
</calcChain>
</file>

<file path=xl/comments1.xml><?xml version="1.0" encoding="utf-8"?>
<comments xmlns="http://schemas.openxmlformats.org/spreadsheetml/2006/main">
  <authors>
    <author>Yun(Eva) Gao</author>
    <author>KIM Susan</author>
    <author>AKSELRUD Uri</author>
  </authors>
  <commentList>
    <comment ref="W2" authorId="0">
      <text>
        <r>
          <rPr>
            <sz val="8"/>
            <color indexed="81"/>
            <rFont val="Tahoma"/>
            <family val="2"/>
          </rPr>
          <t>INCLUDES NEW RSVA WMSC FOR CLASS B ONLY</t>
        </r>
      </text>
    </comment>
    <comment ref="G5" authorId="1">
      <text>
        <r>
          <rPr>
            <b/>
            <sz val="8"/>
            <color indexed="81"/>
            <rFont val="Tahoma"/>
            <family val="2"/>
          </rPr>
          <t>KIM Susan:</t>
        </r>
        <r>
          <rPr>
            <sz val="8"/>
            <color indexed="81"/>
            <rFont val="Tahoma"/>
            <family val="2"/>
          </rPr>
          <t xml:space="preserve">
includes RRRP credit
</t>
        </r>
      </text>
    </comment>
    <comment ref="Y12" authorId="2">
      <text>
        <r>
          <rPr>
            <sz val="9"/>
            <color indexed="81"/>
            <rFont val="Tahoma"/>
            <family val="2"/>
          </rPr>
          <t>uplifted for applicable line losses</t>
        </r>
      </text>
    </comment>
    <comment ref="Y13" authorId="2">
      <text>
        <r>
          <rPr>
            <sz val="9"/>
            <color indexed="81"/>
            <rFont val="Tahoma"/>
            <family val="2"/>
          </rPr>
          <t>uplifted for applicable line losses</t>
        </r>
      </text>
    </comment>
    <comment ref="Y14" authorId="2">
      <text>
        <r>
          <rPr>
            <sz val="9"/>
            <color indexed="81"/>
            <rFont val="Tahoma"/>
            <family val="2"/>
          </rPr>
          <t>uplifted for applicable line losses</t>
        </r>
      </text>
    </comment>
    <comment ref="Q15" authorId="1">
      <text>
        <r>
          <rPr>
            <sz val="8"/>
            <color indexed="81"/>
            <rFont val="Tahoma"/>
            <family val="2"/>
          </rPr>
          <t>from ST rate model, not rate design</t>
        </r>
      </text>
    </comment>
    <comment ref="S15" authorId="1">
      <text>
        <r>
          <rPr>
            <b/>
            <sz val="8"/>
            <color indexed="81"/>
            <rFont val="Tahoma"/>
            <family val="2"/>
          </rPr>
          <t>KIM Susan:</t>
        </r>
        <r>
          <rPr>
            <sz val="8"/>
            <color indexed="81"/>
            <rFont val="Tahoma"/>
            <family val="2"/>
          </rPr>
          <t xml:space="preserve">
use common lnie charge, not rate design</t>
        </r>
      </text>
    </comment>
    <comment ref="Y15" authorId="1">
      <text>
        <r>
          <rPr>
            <sz val="8"/>
            <color indexed="81"/>
            <rFont val="Tahoma"/>
            <family val="2"/>
          </rPr>
          <t>uplifted for applicable line losses</t>
        </r>
      </text>
    </comment>
  </commentList>
</comments>
</file>

<file path=xl/comments2.xml><?xml version="1.0" encoding="utf-8"?>
<comments xmlns="http://schemas.openxmlformats.org/spreadsheetml/2006/main">
  <authors>
    <author>SHETH Nikita</author>
  </authors>
  <commentList>
    <comment ref="A46"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 ref="A50"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List>
</comments>
</file>

<file path=xl/comments3.xml><?xml version="1.0" encoding="utf-8"?>
<comments xmlns="http://schemas.openxmlformats.org/spreadsheetml/2006/main">
  <authors>
    <author>SHETH Nikita</author>
  </authors>
  <commentList>
    <comment ref="A46"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 ref="A50"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List>
</comments>
</file>

<file path=xl/sharedStrings.xml><?xml version="1.0" encoding="utf-8"?>
<sst xmlns="http://schemas.openxmlformats.org/spreadsheetml/2006/main" count="2507" uniqueCount="123">
  <si>
    <t>UR</t>
  </si>
  <si>
    <t>R1</t>
  </si>
  <si>
    <t>R2</t>
  </si>
  <si>
    <t>Seasonal</t>
  </si>
  <si>
    <t>GSe</t>
  </si>
  <si>
    <t>GSd</t>
  </si>
  <si>
    <t>UGe</t>
  </si>
  <si>
    <t>UGd</t>
  </si>
  <si>
    <t>St Lgt</t>
  </si>
  <si>
    <t>Sen Lgt</t>
  </si>
  <si>
    <t>Dgen</t>
  </si>
  <si>
    <t>ST</t>
  </si>
  <si>
    <t>USL</t>
  </si>
  <si>
    <t>Rate Class</t>
  </si>
  <si>
    <t>Loss Factor</t>
  </si>
  <si>
    <t>Commodity Threshold</t>
  </si>
  <si>
    <t>Peak (kW)</t>
  </si>
  <si>
    <t>Charge Determinant</t>
  </si>
  <si>
    <t>kWh</t>
  </si>
  <si>
    <t>kW</t>
  </si>
  <si>
    <t>Loss factor</t>
  </si>
  <si>
    <t>Charge determinant</t>
  </si>
  <si>
    <t>Volume</t>
  </si>
  <si>
    <t>Current Rate ($)</t>
  </si>
  <si>
    <t>Current Charge ($)</t>
  </si>
  <si>
    <t>Proposed Rate ($)</t>
  </si>
  <si>
    <t>Proposed Charge ($)</t>
  </si>
  <si>
    <t>Change ($)</t>
  </si>
  <si>
    <t>Change (%)</t>
  </si>
  <si>
    <t>% of Total Bill on RPP</t>
  </si>
  <si>
    <t>% of Total Bill on TOU</t>
  </si>
  <si>
    <t>Energy First Tier (kWh)</t>
  </si>
  <si>
    <t>Energy Second Tier (kWh)</t>
  </si>
  <si>
    <t>Sub-Total:  Energy (RPP)</t>
  </si>
  <si>
    <t>TOU-Off Peak</t>
  </si>
  <si>
    <t>TOU-Mid Peak</t>
  </si>
  <si>
    <t>TOU-On Peak</t>
  </si>
  <si>
    <t>Sub-Total:  Energy (TOU)</t>
  </si>
  <si>
    <t>Service Charge</t>
  </si>
  <si>
    <t>Distribution Volumetric Rate</t>
  </si>
  <si>
    <t>Retail Transmission Rate – Network Service Rate</t>
  </si>
  <si>
    <t>Retail Transmission Rate – Line and Transformation Connection Service Rate</t>
  </si>
  <si>
    <t xml:space="preserve">Wholesale Market Service Rate </t>
  </si>
  <si>
    <t>Rural Rate Protection Charge</t>
  </si>
  <si>
    <t>Standard Supply Service – Administration Charge (if applicable)</t>
  </si>
  <si>
    <t>Sub-Total:  Regulatory</t>
  </si>
  <si>
    <t>Debt Retirement Charge (DRC)</t>
  </si>
  <si>
    <t>DGen</t>
  </si>
  <si>
    <t>Load factor</t>
  </si>
  <si>
    <t xml:space="preserve">% of Total Bill </t>
  </si>
  <si>
    <t>TOU</t>
  </si>
  <si>
    <t>Current Variable Charge ($/kWh or $/kW))</t>
  </si>
  <si>
    <t>Smart Metering Entity Charge ($/month)</t>
  </si>
  <si>
    <t>Smart Meter Adder ($/month)</t>
  </si>
  <si>
    <t>Current Fixed Charge ($/month)</t>
  </si>
  <si>
    <t>Proposed Fixed Charge ($/month)</t>
  </si>
  <si>
    <t>Proposed RTSR-NW ($/kWh or $/kW)</t>
  </si>
  <si>
    <t>Proposed volumetric Charge ($/kWh or $/kW)</t>
  </si>
  <si>
    <t>Current RTSR-NW ($/kWh or $/kW)</t>
  </si>
  <si>
    <t>Current RTSR-CONN ($/kWh or $/kW)</t>
  </si>
  <si>
    <t>Low</t>
  </si>
  <si>
    <t>High</t>
  </si>
  <si>
    <t>Monthly Consumption (kWh)</t>
  </si>
  <si>
    <t>Change in DX Bill ($)</t>
  </si>
  <si>
    <t>Change in Total Bill ($)</t>
  </si>
  <si>
    <t>Change in DX Bill (%)</t>
  </si>
  <si>
    <t>Change in Total Bill (%)</t>
  </si>
  <si>
    <t>Consumption Level</t>
  </si>
  <si>
    <t>Monthly Peak (kW)</t>
  </si>
  <si>
    <t>Commodity Price Used</t>
  </si>
  <si>
    <t>RPP Tier 1 (assumed RPP Tier 1 price is close to WAHSP)</t>
  </si>
  <si>
    <t>Avg Monthly Peak (kW)</t>
  </si>
  <si>
    <t>Sub-Total:  Distribution (excluding pass through)</t>
  </si>
  <si>
    <t>Smart Metering Entity Charge</t>
  </si>
  <si>
    <t>Line Losses on Cost of Power (based on TOU prices)</t>
  </si>
  <si>
    <t>Line Losses on Cost of Power (based on two-tier RPP prices)</t>
  </si>
  <si>
    <t xml:space="preserve">Sub-Total:  Retail Transmission </t>
  </si>
  <si>
    <t>Sub-Total:  Distribution (based on TOU prices)</t>
  </si>
  <si>
    <t>Sub-Total:  Distribution (based on two-tier RPP prices)</t>
  </si>
  <si>
    <t xml:space="preserve">Sub-Total:  Distribution </t>
  </si>
  <si>
    <t xml:space="preserve">Sub-Total:  Delivery </t>
  </si>
  <si>
    <t xml:space="preserve">Line Losses on Cost of Power </t>
  </si>
  <si>
    <t>Monthly Consumption (kWh) - Uplifted</t>
  </si>
  <si>
    <t>Smart Meter Adder</t>
  </si>
  <si>
    <t>Fixed Smoothing Rider</t>
  </si>
  <si>
    <t>Fixed Deferral/Variance Account Rider</t>
  </si>
  <si>
    <t>Proposed Def/VA rate rider Volumetric($/kWh or $/kW)</t>
  </si>
  <si>
    <t>Proposed Def/VA rate rider Fixed ($/month)</t>
  </si>
  <si>
    <t>Current Def/VA rate rider Fixed ($/month)</t>
  </si>
  <si>
    <t>Current Def/VA rate rider Volumetric ($/kWh or $/kW)</t>
  </si>
  <si>
    <t>Typical</t>
  </si>
  <si>
    <t>Sub-Total:  Delivery (based on two-tier RPP prices)</t>
  </si>
  <si>
    <t>Sub-Total:  Delivery (based on TOU prices)</t>
  </si>
  <si>
    <t>Sub-Total:  Distribution</t>
  </si>
  <si>
    <t>Current Foregone Revenue Riders Fixed ($/month)</t>
  </si>
  <si>
    <t>Two-tier RPP</t>
  </si>
  <si>
    <t>Ontario Electricity Support Program Charge</t>
  </si>
  <si>
    <t>Proposed RTSR-CONN ($/kWh or $/kW)</t>
  </si>
  <si>
    <t>Current Rate Rider for Disposition of Global Adjustment Account</t>
  </si>
  <si>
    <t>Proposed Rate Rider for Disposition of Global Adjustment Account</t>
  </si>
  <si>
    <t>Proposed Foregone Revenue Riders Fixed ($/month)</t>
  </si>
  <si>
    <t xml:space="preserve">Total  Electricty Charge on Two-Tier RPP </t>
  </si>
  <si>
    <t xml:space="preserve">     HST</t>
  </si>
  <si>
    <t>Total Electricity Charge on Two-Tier RPP (including HST)</t>
  </si>
  <si>
    <t>Rebate equal to Ontario portion of HST (8%)</t>
  </si>
  <si>
    <t>Total Amount on Two-Tier RPP</t>
  </si>
  <si>
    <t>Total Electricty Charge on TOU (before HST)</t>
  </si>
  <si>
    <t>Total Electricity Charge on TOU (including HST)</t>
  </si>
  <si>
    <t>Volumetric Global Adjustment Account Rider</t>
  </si>
  <si>
    <t>Fixed Foregone Revenue Rider</t>
  </si>
  <si>
    <t>Fixed Foregone Revenue</t>
  </si>
  <si>
    <t>Total Electricity Charge on Two-Tier RPP (before HST)</t>
  </si>
  <si>
    <t>Service Charge (RRRP credit applied)</t>
  </si>
  <si>
    <t>Average</t>
  </si>
  <si>
    <t>kWh (Consumption)</t>
  </si>
  <si>
    <t>kW (Peak)</t>
  </si>
  <si>
    <t>Total Amount on TOU</t>
  </si>
  <si>
    <t>2020 Bill Impacts (Low Consumption Level)</t>
  </si>
  <si>
    <t>2020 Bill Impacts (Typical Consumption Level)</t>
  </si>
  <si>
    <t>2020 Bill Impacts (Average Consumption Level)</t>
  </si>
  <si>
    <t>2020 Bill Impacts (High Consumption Level)</t>
  </si>
  <si>
    <t>Volumetric Deferral/Variance Account Rider (including CBR Class B rider)</t>
  </si>
  <si>
    <t>2019 Total Bill</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</si>
</sst>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000"/>
    <numFmt numFmtId="166" formatCode="#,##0.000"/>
    <numFmt numFmtId="167" formatCode="#,##0.0000"/>
    <numFmt numFmtId="168" formatCode="0.00000000"/>
    <numFmt numFmtId="169" formatCode="0.000"/>
    <numFmt numFmtId="170" formatCode="_(&quot;$&quot;* #,##0_);_(&quot;$&quot;* \(#,##0\);_(&quot;$&quot;* &quot;-&quot;??_);_(@_)"/>
    <numFmt numFmtId="171" formatCode="#,##0.0_);\(#,##0.0\)"/>
    <numFmt numFmtId="172" formatCode="_(* #,##0.0_);_(* \(#,##0.0\);_(* &quot;-&quot;??_);_(@_)"/>
    <numFmt numFmtId="173" formatCode="#,##0.00000_);\(#,##0.00000\)"/>
    <numFmt numFmtId="174" formatCode="0.0\x"/>
    <numFmt numFmtId="175" formatCode="#,##0.000_);\(#,##0.000\)"/>
    <numFmt numFmtId="176" formatCode="#,##0;&quot;\&quot;&quot;\&quot;&quot;\&quot;&quot;\&quot;\(#,##0&quot;\&quot;&quot;\&quot;&quot;\&quot;&quot;\&quot;\)"/>
    <numFmt numFmtId="177" formatCode="&quot;\&quot;&quot;\&quot;&quot;\&quot;&quot;\&quot;\$#,##0.00;&quot;\&quot;&quot;\&quot;&quot;\&quot;&quot;\&quot;\(&quot;\&quot;&quot;\&quot;&quot;\&quot;&quot;\&quot;\$#,##0.00&quot;\&quot;&quot;\&quot;&quot;\&quot;&quot;\&quot;\)"/>
    <numFmt numFmtId="178" formatCode="&quot;\&quot;&quot;\&quot;&quot;\&quot;&quot;\&quot;\$#,##0;&quot;\&quot;&quot;\&quot;&quot;\&quot;&quot;\&quot;\(&quot;\&quot;&quot;\&quot;&quot;\&quot;&quot;\&quot;\$#,##0&quot;\&quot;&quot;\&quot;&quot;\&quot;&quot;\&quot;\)"/>
    <numFmt numFmtId="179" formatCode="_-&quot;$&quot;* #,##0.00_-;\-&quot;$&quot;* #,##0.00_-;_-&quot;$&quot;* &quot;-&quot;??_-;_-@_-"/>
    <numFmt numFmtId="180" formatCode="0.00\x"/>
  </numFmts>
  <fonts count="16" x14ac:knownFonts="1">
    <font>
      <sz val="10"/>
      <name val="Arial"/>
      <family val="2"/>
    </font>
    <font>
      <sz val="11"/>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12"/>
      <name val="Times New Roman"/>
      <family val="1"/>
    </font>
    <font>
      <sz val="9"/>
      <color indexed="81"/>
      <name val="Tahoma"/>
      <family val="2"/>
    </font>
    <font>
      <sz val="10"/>
      <name val="Arial"/>
      <family val="2"/>
    </font>
    <font>
      <sz val="9"/>
      <name val="Arial"/>
      <family val="2"/>
    </font>
    <font>
      <sz val="10"/>
      <name val="Times New Roman"/>
      <family val="1"/>
    </font>
    <font>
      <sz val="8"/>
      <name val="Arial"/>
      <family val="2"/>
    </font>
    <font>
      <b/>
      <sz val="12"/>
      <name val="Arial"/>
      <family val="2"/>
    </font>
    <font>
      <sz val="8"/>
      <name val="Times New Roman"/>
      <family val="1"/>
    </font>
    <font>
      <sz val="10"/>
      <name val="MS Sans Serif"/>
      <family val="2"/>
    </font>
    <font>
      <b/>
      <sz val="10"/>
      <name val="MS Sans Serif"/>
      <family val="2"/>
    </font>
  </fonts>
  <fills count="13">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CCCC"/>
        <bgColor indexed="64"/>
      </patternFill>
    </fill>
    <fill>
      <patternFill patternType="solid">
        <fgColor rgb="FFCCFFCC"/>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s>
  <cellStyleXfs count="46">
    <xf numFmtId="0" fontId="0" fillId="0" borderId="0"/>
    <xf numFmtId="43" fontId="2" fillId="0" borderId="0" applyFont="0" applyFill="0" applyBorder="0" applyAlignment="0" applyProtection="0"/>
    <xf numFmtId="44"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8" fillId="0" borderId="0"/>
    <xf numFmtId="164" fontId="2" fillId="0" borderId="0"/>
    <xf numFmtId="164" fontId="2" fillId="0" borderId="0"/>
    <xf numFmtId="164" fontId="2" fillId="0" borderId="0"/>
    <xf numFmtId="170" fontId="9" fillId="0" borderId="0"/>
    <xf numFmtId="171" fontId="2" fillId="0" borderId="0" applyFont="0" applyFill="0" applyBorder="0" applyAlignment="0" applyProtection="0"/>
    <xf numFmtId="172" fontId="2" fillId="0" borderId="0" applyFont="0" applyFill="0" applyBorder="0" applyAlignment="0" applyProtection="0"/>
    <xf numFmtId="39" fontId="2" fillId="0" borderId="0" applyFont="0" applyFill="0" applyBorder="0" applyAlignment="0" applyProtection="0"/>
    <xf numFmtId="170"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5" fontId="2" fillId="0" borderId="0" applyFont="0" applyFill="0" applyBorder="0" applyAlignment="0" applyProtection="0"/>
    <xf numFmtId="176" fontId="10" fillId="0" borderId="0"/>
    <xf numFmtId="177" fontId="10" fillId="0" borderId="0"/>
    <xf numFmtId="178" fontId="10" fillId="0" borderId="0"/>
    <xf numFmtId="38" fontId="11" fillId="8" borderId="0" applyNumberFormat="0" applyBorder="0" applyAlignment="0" applyProtection="0"/>
    <xf numFmtId="0" fontId="12" fillId="0" borderId="16" applyNumberFormat="0" applyAlignment="0" applyProtection="0">
      <alignment horizontal="left" vertical="center"/>
    </xf>
    <xf numFmtId="0" fontId="12" fillId="0" borderId="15">
      <alignment horizontal="left" vertical="center"/>
    </xf>
    <xf numFmtId="10" fontId="11" fillId="9" borderId="1" applyNumberFormat="0" applyBorder="0" applyAlignment="0" applyProtection="0"/>
    <xf numFmtId="179" fontId="9" fillId="0" borderId="0"/>
    <xf numFmtId="166" fontId="2" fillId="0" borderId="0"/>
    <xf numFmtId="0" fontId="2" fillId="0" borderId="0"/>
    <xf numFmtId="7" fontId="10" fillId="0" borderId="0"/>
    <xf numFmtId="37" fontId="13" fillId="10" borderId="0">
      <alignment horizontal="right"/>
    </xf>
    <xf numFmtId="10" fontId="2" fillId="0" borderId="0" applyFont="0" applyFill="0" applyBorder="0" applyAlignment="0" applyProtection="0"/>
    <xf numFmtId="0" fontId="14" fillId="0" borderId="0" applyNumberFormat="0" applyFont="0" applyFill="0" applyBorder="0" applyAlignment="0" applyProtection="0">
      <alignment horizontal="left"/>
    </xf>
    <xf numFmtId="15" fontId="14" fillId="0" borderId="0" applyFont="0" applyFill="0" applyBorder="0" applyAlignment="0" applyProtection="0"/>
    <xf numFmtId="4" fontId="14" fillId="0" borderId="0" applyFont="0" applyFill="0" applyBorder="0" applyAlignment="0" applyProtection="0"/>
    <xf numFmtId="0" fontId="15" fillId="0" borderId="36">
      <alignment horizontal="center"/>
    </xf>
    <xf numFmtId="3" fontId="14" fillId="0" borderId="0" applyFont="0" applyFill="0" applyBorder="0" applyAlignment="0" applyProtection="0"/>
    <xf numFmtId="0" fontId="14" fillId="11" borderId="0" applyNumberFormat="0" applyFont="0" applyBorder="0" applyAlignment="0" applyProtection="0"/>
    <xf numFmtId="1" fontId="2" fillId="0" borderId="0"/>
    <xf numFmtId="0" fontId="2" fillId="0" borderId="0" applyFont="0" applyFill="0" applyBorder="0" applyAlignment="0" applyProtection="0"/>
    <xf numFmtId="0" fontId="2" fillId="0" borderId="0">
      <alignment vertical="top"/>
    </xf>
    <xf numFmtId="0" fontId="2" fillId="0" borderId="0">
      <alignment vertical="top"/>
    </xf>
    <xf numFmtId="180" fontId="2" fillId="0" borderId="0"/>
    <xf numFmtId="180" fontId="2" fillId="0" borderId="0"/>
    <xf numFmtId="180" fontId="2" fillId="0" borderId="0"/>
  </cellStyleXfs>
  <cellXfs count="190">
    <xf numFmtId="0" fontId="0" fillId="0" borderId="0" xfId="0"/>
    <xf numFmtId="0" fontId="3" fillId="0" borderId="0" xfId="0" applyFont="1"/>
    <xf numFmtId="0" fontId="0" fillId="0" borderId="1" xfId="0" applyBorder="1"/>
    <xf numFmtId="2" fontId="0" fillId="0" borderId="1" xfId="0" applyNumberFormat="1" applyBorder="1"/>
    <xf numFmtId="0" fontId="0" fillId="0" borderId="1" xfId="0" applyBorder="1" applyAlignment="1">
      <alignment horizontal="center"/>
    </xf>
    <xf numFmtId="3" fontId="0" fillId="0" borderId="0" xfId="0" applyNumberFormat="1"/>
    <xf numFmtId="0" fontId="3" fillId="0" borderId="1" xfId="0" applyFont="1" applyBorder="1"/>
    <xf numFmtId="3" fontId="0" fillId="0" borderId="1" xfId="0" applyNumberFormat="1" applyBorder="1"/>
    <xf numFmtId="0" fontId="3" fillId="0" borderId="1" xfId="0" applyFont="1" applyFill="1" applyBorder="1"/>
    <xf numFmtId="0" fontId="3"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vertical="center"/>
    </xf>
    <xf numFmtId="0" fontId="3" fillId="2" borderId="1" xfId="0" applyFont="1" applyFill="1" applyBorder="1" applyAlignment="1">
      <alignment horizontal="center"/>
    </xf>
    <xf numFmtId="10" fontId="2" fillId="0" borderId="0" xfId="4" applyNumberFormat="1" applyFont="1"/>
    <xf numFmtId="0" fontId="0" fillId="2" borderId="1" xfId="0" applyFill="1" applyBorder="1"/>
    <xf numFmtId="0" fontId="0" fillId="2" borderId="1" xfId="0" applyFill="1" applyBorder="1" applyAlignment="1">
      <alignment horizontal="right"/>
    </xf>
    <xf numFmtId="0" fontId="3" fillId="0" borderId="4" xfId="0" applyFont="1" applyBorder="1" applyAlignment="1">
      <alignment horizontal="center" wrapText="1"/>
    </xf>
    <xf numFmtId="0" fontId="3" fillId="0" borderId="5" xfId="0" applyFont="1" applyBorder="1" applyAlignment="1">
      <alignment horizontal="center" wrapText="1"/>
    </xf>
    <xf numFmtId="10" fontId="3" fillId="0" borderId="6" xfId="4" applyNumberFormat="1" applyFont="1" applyBorder="1" applyAlignment="1">
      <alignment horizontal="center" wrapText="1"/>
    </xf>
    <xf numFmtId="0" fontId="3" fillId="0" borderId="0" xfId="0" applyFont="1" applyAlignment="1">
      <alignment horizontal="center" wrapText="1"/>
    </xf>
    <xf numFmtId="166" fontId="0" fillId="0" borderId="1" xfId="0" applyNumberFormat="1" applyBorder="1"/>
    <xf numFmtId="4" fontId="0" fillId="0" borderId="1" xfId="0" applyNumberFormat="1" applyBorder="1"/>
    <xf numFmtId="10" fontId="0" fillId="0" borderId="1" xfId="4" applyNumberFormat="1" applyFont="1" applyBorder="1"/>
    <xf numFmtId="4" fontId="3" fillId="3" borderId="1" xfId="0" applyNumberFormat="1" applyFont="1" applyFill="1" applyBorder="1" applyAlignment="1">
      <alignment horizontal="center"/>
    </xf>
    <xf numFmtId="4" fontId="3" fillId="3" borderId="1" xfId="0" applyNumberFormat="1" applyFont="1" applyFill="1" applyBorder="1"/>
    <xf numFmtId="4" fontId="0" fillId="3" borderId="1" xfId="0" applyNumberFormat="1" applyFill="1" applyBorder="1"/>
    <xf numFmtId="10" fontId="3" fillId="3" borderId="1" xfId="4" applyNumberFormat="1" applyFont="1" applyFill="1" applyBorder="1"/>
    <xf numFmtId="166" fontId="2" fillId="0" borderId="1" xfId="0" applyNumberFormat="1" applyFont="1" applyBorder="1"/>
    <xf numFmtId="4" fontId="3" fillId="4" borderId="1" xfId="0" applyNumberFormat="1" applyFont="1" applyFill="1" applyBorder="1" applyAlignment="1">
      <alignment horizontal="center"/>
    </xf>
    <xf numFmtId="4" fontId="3" fillId="4" borderId="1" xfId="0" applyNumberFormat="1" applyFont="1" applyFill="1" applyBorder="1"/>
    <xf numFmtId="4" fontId="0" fillId="4" borderId="1" xfId="0" applyNumberFormat="1" applyFill="1" applyBorder="1"/>
    <xf numFmtId="10" fontId="2" fillId="4" borderId="1" xfId="4" applyNumberFormat="1" applyFont="1" applyFill="1" applyBorder="1"/>
    <xf numFmtId="10" fontId="3" fillId="4" borderId="1" xfId="4" applyNumberFormat="1" applyFont="1" applyFill="1" applyBorder="1"/>
    <xf numFmtId="167" fontId="0" fillId="0" borderId="1" xfId="0" applyNumberFormat="1" applyBorder="1"/>
    <xf numFmtId="4" fontId="3" fillId="0" borderId="1" xfId="0" applyNumberFormat="1" applyFont="1" applyBorder="1"/>
    <xf numFmtId="10" fontId="3" fillId="0" borderId="1" xfId="4" applyNumberFormat="1" applyFont="1" applyBorder="1"/>
    <xf numFmtId="0" fontId="3" fillId="3" borderId="7" xfId="0" applyFont="1" applyFill="1" applyBorder="1"/>
    <xf numFmtId="4" fontId="3" fillId="3" borderId="8" xfId="0" applyNumberFormat="1" applyFont="1" applyFill="1" applyBorder="1" applyAlignment="1">
      <alignment horizontal="center"/>
    </xf>
    <xf numFmtId="4" fontId="3" fillId="3" borderId="8" xfId="0" applyNumberFormat="1" applyFont="1" applyFill="1" applyBorder="1"/>
    <xf numFmtId="10" fontId="3" fillId="3" borderId="8" xfId="4" applyNumberFormat="1" applyFont="1" applyFill="1" applyBorder="1"/>
    <xf numFmtId="10" fontId="3" fillId="3" borderId="9" xfId="4" applyNumberFormat="1" applyFont="1" applyFill="1" applyBorder="1"/>
    <xf numFmtId="0" fontId="2" fillId="3" borderId="10" xfId="0" applyFont="1" applyFill="1" applyBorder="1"/>
    <xf numFmtId="4" fontId="0" fillId="3" borderId="1" xfId="0" applyNumberFormat="1" applyFill="1" applyBorder="1" applyAlignment="1">
      <alignment horizontal="center"/>
    </xf>
    <xf numFmtId="10" fontId="2" fillId="3" borderId="1" xfId="4" applyNumberFormat="1" applyFont="1" applyFill="1" applyBorder="1"/>
    <xf numFmtId="10" fontId="2" fillId="3" borderId="11" xfId="4" applyNumberFormat="1" applyFont="1" applyFill="1" applyBorder="1"/>
    <xf numFmtId="0" fontId="3" fillId="3" borderId="10" xfId="0" applyFont="1" applyFill="1" applyBorder="1"/>
    <xf numFmtId="10" fontId="3" fillId="3" borderId="11" xfId="4" applyNumberFormat="1" applyFont="1" applyFill="1" applyBorder="1"/>
    <xf numFmtId="0" fontId="3" fillId="3" borderId="12" xfId="0" applyFont="1" applyFill="1" applyBorder="1"/>
    <xf numFmtId="4" fontId="3" fillId="3" borderId="13" xfId="0" applyNumberFormat="1" applyFont="1" applyFill="1" applyBorder="1" applyAlignment="1">
      <alignment horizontal="center"/>
    </xf>
    <xf numFmtId="4" fontId="3" fillId="3" borderId="13" xfId="0" applyNumberFormat="1" applyFont="1" applyFill="1" applyBorder="1"/>
    <xf numFmtId="10" fontId="3" fillId="3" borderId="13" xfId="4" applyNumberFormat="1" applyFont="1" applyFill="1" applyBorder="1"/>
    <xf numFmtId="10" fontId="3" fillId="3" borderId="14" xfId="4" applyNumberFormat="1" applyFont="1" applyFill="1" applyBorder="1"/>
    <xf numFmtId="0" fontId="3" fillId="4" borderId="7" xfId="0" applyFont="1" applyFill="1" applyBorder="1"/>
    <xf numFmtId="4" fontId="3" fillId="4" borderId="8" xfId="0" applyNumberFormat="1" applyFont="1" applyFill="1" applyBorder="1" applyAlignment="1">
      <alignment horizontal="center"/>
    </xf>
    <xf numFmtId="4" fontId="3" fillId="4" borderId="8" xfId="0" applyNumberFormat="1" applyFont="1" applyFill="1" applyBorder="1"/>
    <xf numFmtId="10" fontId="3" fillId="4" borderId="8" xfId="4" applyNumberFormat="1" applyFont="1" applyFill="1" applyBorder="1"/>
    <xf numFmtId="10" fontId="3" fillId="4" borderId="9" xfId="4" applyNumberFormat="1" applyFont="1" applyFill="1" applyBorder="1"/>
    <xf numFmtId="0" fontId="2" fillId="4" borderId="10" xfId="0" applyFont="1" applyFill="1" applyBorder="1"/>
    <xf numFmtId="4" fontId="0" fillId="4" borderId="1" xfId="0" applyNumberFormat="1" applyFill="1" applyBorder="1" applyAlignment="1">
      <alignment horizontal="center"/>
    </xf>
    <xf numFmtId="10" fontId="2" fillId="4" borderId="11" xfId="4" applyNumberFormat="1" applyFont="1" applyFill="1" applyBorder="1"/>
    <xf numFmtId="0" fontId="3" fillId="4" borderId="10" xfId="0" applyFont="1" applyFill="1" applyBorder="1"/>
    <xf numFmtId="10" fontId="3" fillId="4" borderId="11" xfId="4" applyNumberFormat="1" applyFont="1" applyFill="1" applyBorder="1"/>
    <xf numFmtId="0" fontId="3" fillId="4" borderId="12" xfId="0" applyFont="1" applyFill="1" applyBorder="1"/>
    <xf numFmtId="4" fontId="3" fillId="4" borderId="13" xfId="0" applyNumberFormat="1" applyFont="1" applyFill="1" applyBorder="1" applyAlignment="1">
      <alignment horizontal="center"/>
    </xf>
    <xf numFmtId="4" fontId="3" fillId="4" borderId="13" xfId="0" applyNumberFormat="1" applyFont="1" applyFill="1" applyBorder="1"/>
    <xf numFmtId="10" fontId="3" fillId="4" borderId="13" xfId="4" applyNumberFormat="1" applyFont="1" applyFill="1" applyBorder="1"/>
    <xf numFmtId="10" fontId="3" fillId="4" borderId="14" xfId="4" applyNumberFormat="1" applyFont="1" applyFill="1" applyBorder="1"/>
    <xf numFmtId="165" fontId="0" fillId="0" borderId="0" xfId="0" applyNumberFormat="1"/>
    <xf numFmtId="10" fontId="0" fillId="0" borderId="0" xfId="4" applyNumberFormat="1" applyFont="1"/>
    <xf numFmtId="6" fontId="0" fillId="0" borderId="0" xfId="0" applyNumberFormat="1"/>
    <xf numFmtId="164" fontId="0" fillId="0" borderId="0" xfId="1" applyNumberFormat="1" applyFont="1"/>
    <xf numFmtId="168" fontId="0" fillId="0" borderId="0" xfId="0" applyNumberFormat="1"/>
    <xf numFmtId="3" fontId="0" fillId="0" borderId="1" xfId="0" applyNumberFormat="1" applyBorder="1" applyAlignment="1">
      <alignment horizontal="center"/>
    </xf>
    <xf numFmtId="3" fontId="3" fillId="0" borderId="1" xfId="0" applyNumberFormat="1" applyFont="1" applyBorder="1" applyAlignment="1">
      <alignment horizontal="center"/>
    </xf>
    <xf numFmtId="3" fontId="2" fillId="0" borderId="1" xfId="0" applyNumberFormat="1" applyFont="1" applyBorder="1" applyAlignment="1">
      <alignment horizontal="center"/>
    </xf>
    <xf numFmtId="3" fontId="0" fillId="3" borderId="1" xfId="0" applyNumberFormat="1" applyFill="1" applyBorder="1" applyAlignment="1">
      <alignment horizontal="center"/>
    </xf>
    <xf numFmtId="3" fontId="0" fillId="4" borderId="1" xfId="0" applyNumberFormat="1" applyFill="1" applyBorder="1" applyAlignment="1">
      <alignment horizontal="center"/>
    </xf>
    <xf numFmtId="0" fontId="0" fillId="5" borderId="1" xfId="0" applyFill="1" applyBorder="1"/>
    <xf numFmtId="3" fontId="0" fillId="2" borderId="1" xfId="0" applyNumberFormat="1" applyFill="1" applyBorder="1"/>
    <xf numFmtId="166" fontId="0" fillId="2" borderId="1" xfId="0" applyNumberFormat="1" applyFill="1" applyBorder="1"/>
    <xf numFmtId="0" fontId="2" fillId="2" borderId="1" xfId="0" applyFont="1" applyFill="1" applyBorder="1"/>
    <xf numFmtId="9" fontId="2" fillId="2" borderId="1" xfId="4" applyFont="1" applyFill="1" applyBorder="1"/>
    <xf numFmtId="3" fontId="3" fillId="0" borderId="9" xfId="0" applyNumberFormat="1" applyFont="1" applyBorder="1" applyAlignment="1">
      <alignment horizontal="center"/>
    </xf>
    <xf numFmtId="3" fontId="3" fillId="0" borderId="11" xfId="0" applyNumberFormat="1" applyFont="1" applyBorder="1" applyAlignment="1">
      <alignment horizontal="center"/>
    </xf>
    <xf numFmtId="3" fontId="3" fillId="0" borderId="14" xfId="0" applyNumberFormat="1" applyFont="1" applyBorder="1" applyAlignment="1">
      <alignment horizontal="center"/>
    </xf>
    <xf numFmtId="0" fontId="3" fillId="6" borderId="4"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30" xfId="0" applyFont="1" applyBorder="1" applyAlignment="1">
      <alignment horizontal="center"/>
    </xf>
    <xf numFmtId="0" fontId="3" fillId="0" borderId="15" xfId="0" applyFont="1" applyBorder="1" applyAlignment="1">
      <alignment horizontal="center"/>
    </xf>
    <xf numFmtId="0" fontId="3" fillId="0" borderId="31" xfId="0" applyFont="1" applyBorder="1" applyAlignment="1">
      <alignment horizontal="center"/>
    </xf>
    <xf numFmtId="3" fontId="3" fillId="0" borderId="10" xfId="0" applyNumberFormat="1" applyFont="1" applyBorder="1" applyAlignment="1">
      <alignment horizontal="center"/>
    </xf>
    <xf numFmtId="3" fontId="3" fillId="0" borderId="12" xfId="0" applyNumberFormat="1" applyFont="1" applyBorder="1" applyAlignment="1">
      <alignment horizontal="center"/>
    </xf>
    <xf numFmtId="0" fontId="3" fillId="0" borderId="23" xfId="0" applyFont="1" applyBorder="1" applyAlignment="1">
      <alignment horizontal="center" vertical="center" wrapText="1"/>
    </xf>
    <xf numFmtId="0" fontId="3" fillId="0" borderId="32" xfId="0" applyFont="1" applyBorder="1" applyAlignment="1">
      <alignment horizontal="center" wrapText="1"/>
    </xf>
    <xf numFmtId="0" fontId="3" fillId="0" borderId="33" xfId="0" applyFont="1" applyBorder="1" applyAlignment="1">
      <alignment horizontal="center" vertical="center" wrapText="1"/>
    </xf>
    <xf numFmtId="3" fontId="3" fillId="0" borderId="7" xfId="0" applyNumberFormat="1" applyFont="1" applyBorder="1" applyAlignment="1">
      <alignment horizontal="center"/>
    </xf>
    <xf numFmtId="0" fontId="3" fillId="0" borderId="24" xfId="0" applyFont="1" applyBorder="1" applyAlignment="1">
      <alignment horizontal="center" vertical="center" wrapText="1"/>
    </xf>
    <xf numFmtId="165" fontId="0" fillId="0" borderId="1" xfId="0" applyNumberFormat="1" applyBorder="1"/>
    <xf numFmtId="0" fontId="0" fillId="0" borderId="7" xfId="0" applyBorder="1"/>
    <xf numFmtId="3" fontId="0" fillId="0" borderId="8" xfId="0" applyNumberFormat="1" applyBorder="1" applyAlignment="1">
      <alignment horizontal="center"/>
    </xf>
    <xf numFmtId="166" fontId="0" fillId="0" borderId="8" xfId="0" applyNumberFormat="1" applyBorder="1"/>
    <xf numFmtId="4" fontId="0" fillId="0" borderId="8" xfId="0" applyNumberFormat="1" applyBorder="1"/>
    <xf numFmtId="10" fontId="0" fillId="0" borderId="8" xfId="4" applyNumberFormat="1" applyFont="1" applyBorder="1"/>
    <xf numFmtId="10" fontId="2" fillId="0" borderId="9" xfId="4" applyNumberFormat="1" applyFont="1" applyBorder="1"/>
    <xf numFmtId="0" fontId="0" fillId="0" borderId="10" xfId="0" applyBorder="1"/>
    <xf numFmtId="10" fontId="2" fillId="0" borderId="11" xfId="4" applyNumberFormat="1" applyFont="1" applyBorder="1"/>
    <xf numFmtId="0" fontId="2" fillId="0" borderId="10" xfId="0" applyFont="1" applyBorder="1"/>
    <xf numFmtId="0" fontId="3" fillId="0" borderId="10" xfId="0" applyFont="1" applyBorder="1"/>
    <xf numFmtId="10" fontId="3" fillId="0" borderId="11" xfId="4" applyNumberFormat="1" applyFont="1" applyBorder="1"/>
    <xf numFmtId="0" fontId="3" fillId="0" borderId="12" xfId="0" applyFont="1" applyBorder="1"/>
    <xf numFmtId="3" fontId="2" fillId="0" borderId="13" xfId="0" applyNumberFormat="1" applyFont="1" applyBorder="1" applyAlignment="1">
      <alignment horizontal="center"/>
    </xf>
    <xf numFmtId="166" fontId="2" fillId="0" borderId="13" xfId="0" applyNumberFormat="1" applyFont="1" applyBorder="1"/>
    <xf numFmtId="4" fontId="3" fillId="0" borderId="13" xfId="0" applyNumberFormat="1" applyFont="1" applyBorder="1"/>
    <xf numFmtId="3" fontId="0" fillId="0" borderId="13" xfId="0" applyNumberFormat="1" applyBorder="1" applyAlignment="1">
      <alignment horizontal="center"/>
    </xf>
    <xf numFmtId="10" fontId="3" fillId="0" borderId="13" xfId="4" applyNumberFormat="1" applyFont="1" applyBorder="1"/>
    <xf numFmtId="10" fontId="3" fillId="0" borderId="14" xfId="4" applyNumberFormat="1" applyFont="1" applyBorder="1"/>
    <xf numFmtId="0" fontId="0" fillId="0" borderId="10" xfId="0" applyFont="1" applyBorder="1"/>
    <xf numFmtId="3" fontId="0" fillId="0" borderId="1" xfId="0" applyNumberFormat="1" applyFont="1" applyBorder="1" applyAlignment="1">
      <alignment horizontal="center"/>
    </xf>
    <xf numFmtId="4" fontId="0" fillId="0" borderId="1" xfId="0" applyNumberFormat="1" applyFont="1" applyBorder="1"/>
    <xf numFmtId="2" fontId="0" fillId="5" borderId="1" xfId="0" applyNumberFormat="1" applyFill="1" applyBorder="1"/>
    <xf numFmtId="0" fontId="3" fillId="0" borderId="6" xfId="0" applyFont="1" applyBorder="1" applyAlignment="1">
      <alignment horizontal="center" wrapText="1"/>
    </xf>
    <xf numFmtId="10" fontId="0" fillId="0" borderId="9" xfId="4" applyNumberFormat="1" applyFont="1" applyBorder="1"/>
    <xf numFmtId="10" fontId="0" fillId="0" borderId="11" xfId="4" applyNumberFormat="1" applyFont="1" applyBorder="1"/>
    <xf numFmtId="165" fontId="0" fillId="5" borderId="1" xfId="0" applyNumberFormat="1" applyFill="1" applyBorder="1"/>
    <xf numFmtId="169" fontId="0" fillId="0" borderId="1" xfId="0" applyNumberFormat="1" applyBorder="1"/>
    <xf numFmtId="0" fontId="6" fillId="0" borderId="0" xfId="0" applyFont="1" applyBorder="1" applyAlignment="1"/>
    <xf numFmtId="4" fontId="0" fillId="0" borderId="0" xfId="0" applyNumberFormat="1"/>
    <xf numFmtId="0" fontId="0" fillId="0" borderId="0" xfId="0" applyAlignment="1">
      <alignment horizontal="right"/>
    </xf>
    <xf numFmtId="0" fontId="0" fillId="0" borderId="0" xfId="0" quotePrefix="1" applyAlignment="1">
      <alignment horizontal="right"/>
    </xf>
    <xf numFmtId="10" fontId="0" fillId="0" borderId="0" xfId="4" applyNumberFormat="1" applyFont="1" applyAlignment="1">
      <alignment horizontal="right"/>
    </xf>
    <xf numFmtId="7" fontId="10" fillId="7" borderId="19" xfId="2" applyNumberFormat="1" applyFont="1" applyFill="1" applyBorder="1" applyAlignment="1">
      <alignment horizontal="center"/>
    </xf>
    <xf numFmtId="10" fontId="10" fillId="7" borderId="21" xfId="3" applyNumberFormat="1" applyFont="1" applyFill="1" applyBorder="1" applyAlignment="1">
      <alignment horizontal="center"/>
    </xf>
    <xf numFmtId="7" fontId="10" fillId="6" borderId="7" xfId="0" applyNumberFormat="1" applyFont="1" applyFill="1" applyBorder="1" applyAlignment="1">
      <alignment horizontal="center"/>
    </xf>
    <xf numFmtId="7" fontId="10" fillId="7" borderId="3" xfId="2" applyNumberFormat="1" applyFont="1" applyFill="1" applyBorder="1" applyAlignment="1">
      <alignment horizontal="center"/>
    </xf>
    <xf numFmtId="10" fontId="10" fillId="7" borderId="3" xfId="3" applyNumberFormat="1" applyFont="1" applyFill="1" applyBorder="1" applyAlignment="1">
      <alignment horizontal="center"/>
    </xf>
    <xf numFmtId="7" fontId="10" fillId="6" borderId="10" xfId="0" applyNumberFormat="1" applyFont="1" applyFill="1" applyBorder="1" applyAlignment="1">
      <alignment horizontal="center"/>
    </xf>
    <xf numFmtId="7" fontId="10" fillId="7" borderId="20" xfId="2" applyNumberFormat="1" applyFont="1" applyFill="1" applyBorder="1" applyAlignment="1">
      <alignment horizontal="center"/>
    </xf>
    <xf numFmtId="10" fontId="10" fillId="7" borderId="22" xfId="3" applyNumberFormat="1" applyFont="1" applyFill="1" applyBorder="1" applyAlignment="1">
      <alignment horizontal="center"/>
    </xf>
    <xf numFmtId="7" fontId="10" fillId="6" borderId="12" xfId="0" applyNumberFormat="1" applyFont="1" applyFill="1" applyBorder="1" applyAlignment="1">
      <alignment horizontal="center"/>
    </xf>
    <xf numFmtId="10" fontId="10" fillId="7" borderId="2" xfId="3" applyNumberFormat="1" applyFont="1" applyFill="1" applyBorder="1" applyAlignment="1">
      <alignment horizontal="center"/>
    </xf>
    <xf numFmtId="0" fontId="3" fillId="6" borderId="6" xfId="0" applyFont="1" applyFill="1" applyBorder="1" applyAlignment="1">
      <alignment horizontal="center" vertical="center" wrapText="1"/>
    </xf>
    <xf numFmtId="10" fontId="10" fillId="6" borderId="9" xfId="3" applyNumberFormat="1" applyFont="1" applyFill="1" applyBorder="1" applyAlignment="1">
      <alignment horizontal="center"/>
    </xf>
    <xf numFmtId="10" fontId="10" fillId="6" borderId="11" xfId="3" applyNumberFormat="1" applyFont="1" applyFill="1" applyBorder="1" applyAlignment="1">
      <alignment horizontal="center"/>
    </xf>
    <xf numFmtId="10" fontId="10" fillId="6" borderId="14" xfId="3" applyNumberFormat="1" applyFont="1" applyFill="1" applyBorder="1" applyAlignment="1">
      <alignment horizontal="center"/>
    </xf>
    <xf numFmtId="7" fontId="0" fillId="0" borderId="27" xfId="0" applyNumberFormat="1" applyFont="1" applyBorder="1" applyAlignment="1">
      <alignment horizontal="center"/>
    </xf>
    <xf numFmtId="7" fontId="0" fillId="0" borderId="28" xfId="0" applyNumberFormat="1" applyFont="1" applyBorder="1" applyAlignment="1">
      <alignment horizontal="center"/>
    </xf>
    <xf numFmtId="7" fontId="0" fillId="0" borderId="29" xfId="0" applyNumberFormat="1" applyFont="1" applyBorder="1" applyAlignment="1">
      <alignment horizontal="center"/>
    </xf>
    <xf numFmtId="0" fontId="3" fillId="4" borderId="10" xfId="0" applyFont="1" applyFill="1" applyBorder="1" applyAlignment="1">
      <alignment horizontal="left"/>
    </xf>
    <xf numFmtId="0" fontId="3" fillId="7" borderId="1" xfId="0" applyFont="1" applyFill="1" applyBorder="1" applyAlignment="1">
      <alignment horizontal="center" vertical="center" wrapText="1"/>
    </xf>
    <xf numFmtId="0" fontId="3" fillId="5" borderId="1" xfId="0" applyFont="1" applyFill="1" applyBorder="1" applyAlignment="1">
      <alignment horizontal="center"/>
    </xf>
    <xf numFmtId="0" fontId="0" fillId="5" borderId="0" xfId="0" applyFill="1"/>
    <xf numFmtId="0" fontId="0" fillId="3" borderId="10" xfId="0" applyFont="1" applyFill="1" applyBorder="1"/>
    <xf numFmtId="0" fontId="0" fillId="4" borderId="10" xfId="0" applyFont="1" applyFill="1" applyBorder="1"/>
    <xf numFmtId="0" fontId="3" fillId="5" borderId="1" xfId="0" applyFont="1" applyFill="1" applyBorder="1" applyAlignment="1">
      <alignment horizontal="center" vertical="center" wrapText="1"/>
    </xf>
    <xf numFmtId="165" fontId="0" fillId="12" borderId="1" xfId="0" applyNumberFormat="1" applyFill="1" applyBorder="1"/>
    <xf numFmtId="0" fontId="3" fillId="0" borderId="38" xfId="0" applyFont="1" applyBorder="1" applyAlignment="1">
      <alignment horizontal="center"/>
    </xf>
    <xf numFmtId="3" fontId="3" fillId="0" borderId="39" xfId="0" applyNumberFormat="1" applyFont="1" applyBorder="1" applyAlignment="1">
      <alignment horizontal="center"/>
    </xf>
    <xf numFmtId="3" fontId="3" fillId="0" borderId="40" xfId="0" applyNumberFormat="1" applyFont="1" applyBorder="1" applyAlignment="1">
      <alignment horizontal="center"/>
    </xf>
    <xf numFmtId="7" fontId="0" fillId="0" borderId="37" xfId="0" applyNumberFormat="1" applyFont="1" applyBorder="1" applyAlignment="1">
      <alignment horizontal="center"/>
    </xf>
    <xf numFmtId="7" fontId="10" fillId="7" borderId="41" xfId="2" applyNumberFormat="1" applyFont="1" applyFill="1" applyBorder="1" applyAlignment="1">
      <alignment horizontal="center"/>
    </xf>
    <xf numFmtId="10" fontId="10" fillId="7" borderId="38" xfId="3" applyNumberFormat="1" applyFont="1" applyFill="1" applyBorder="1" applyAlignment="1">
      <alignment horizontal="center"/>
    </xf>
    <xf numFmtId="7" fontId="10" fillId="6" borderId="39" xfId="0" applyNumberFormat="1" applyFont="1" applyFill="1" applyBorder="1" applyAlignment="1">
      <alignment horizontal="center"/>
    </xf>
    <xf numFmtId="10" fontId="10" fillId="6" borderId="40" xfId="3" applyNumberFormat="1" applyFont="1" applyFill="1" applyBorder="1" applyAlignment="1">
      <alignment horizontal="center"/>
    </xf>
    <xf numFmtId="164" fontId="0" fillId="0" borderId="1" xfId="1" applyNumberFormat="1" applyFont="1" applyBorder="1"/>
    <xf numFmtId="0" fontId="3" fillId="0" borderId="1" xfId="0" applyFont="1" applyBorder="1" applyAlignment="1">
      <alignment wrapText="1"/>
    </xf>
    <xf numFmtId="1" fontId="0" fillId="2" borderId="1" xfId="0" applyNumberFormat="1" applyFill="1" applyBorder="1"/>
    <xf numFmtId="0" fontId="0" fillId="0" borderId="42" xfId="0" applyBorder="1"/>
    <xf numFmtId="0" fontId="0" fillId="0" borderId="38" xfId="0" applyBorder="1"/>
    <xf numFmtId="0" fontId="0" fillId="0" borderId="0" xfId="0" applyBorder="1"/>
    <xf numFmtId="6" fontId="0" fillId="0" borderId="0" xfId="0" applyNumberFormat="1" applyBorder="1"/>
    <xf numFmtId="2" fontId="0" fillId="5" borderId="1" xfId="0" applyNumberFormat="1" applyFill="1" applyBorder="1" applyAlignment="1">
      <alignment horizont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7" xfId="0" applyFont="1" applyBorder="1" applyAlignment="1">
      <alignment horizontal="center" vertical="center"/>
    </xf>
    <xf numFmtId="0" fontId="3" fillId="0" borderId="29" xfId="0" applyFont="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6" fillId="0" borderId="34" xfId="0" applyFont="1" applyBorder="1" applyAlignment="1">
      <alignment horizontal="center"/>
    </xf>
    <xf numFmtId="0" fontId="6" fillId="0" borderId="16" xfId="0" applyFont="1" applyBorder="1" applyAlignment="1">
      <alignment horizontal="center"/>
    </xf>
    <xf numFmtId="0" fontId="6" fillId="0" borderId="35" xfId="0" applyFont="1" applyBorder="1" applyAlignment="1">
      <alignment horizontal="center"/>
    </xf>
  </cellXfs>
  <cellStyles count="46">
    <cellStyle name="$" xfId="7"/>
    <cellStyle name="$_CCA-Request_H11bps" xfId="8"/>
    <cellStyle name="$_CCA-Request_H11bps July 9" xfId="9"/>
    <cellStyle name="$comma" xfId="10"/>
    <cellStyle name="_Comma" xfId="11"/>
    <cellStyle name="_Currency" xfId="12"/>
    <cellStyle name="_CurrencySpace" xfId="13"/>
    <cellStyle name="_Multiple" xfId="14"/>
    <cellStyle name="_MultipleSpace" xfId="15"/>
    <cellStyle name="_Percent" xfId="16"/>
    <cellStyle name="_PercentSpace" xfId="17"/>
    <cellStyle name="_PercentSpace_AR Analysis 061207" xfId="18"/>
    <cellStyle name="_PercentSpace_RMDx BP050513a 051212a" xfId="19"/>
    <cellStyle name="Comma" xfId="1" builtinId="3"/>
    <cellStyle name="comma zerodec" xfId="20"/>
    <cellStyle name="Currency" xfId="2" builtinId="4"/>
    <cellStyle name="Currency1" xfId="21"/>
    <cellStyle name="Dollar (zero dec)" xfId="22"/>
    <cellStyle name="Grey" xfId="23"/>
    <cellStyle name="Header1" xfId="24"/>
    <cellStyle name="Header2" xfId="25"/>
    <cellStyle name="Input [yellow]" xfId="26"/>
    <cellStyle name="multiple" xfId="27"/>
    <cellStyle name="Normal" xfId="0" builtinId="0"/>
    <cellStyle name="Normal - Style1" xfId="28"/>
    <cellStyle name="Normal 2" xfId="5"/>
    <cellStyle name="Normal 3" xfId="6"/>
    <cellStyle name="Number" xfId="29"/>
    <cellStyle name="OH01" xfId="30"/>
    <cellStyle name="OHnplode" xfId="31"/>
    <cellStyle name="Percent" xfId="3" builtinId="5"/>
    <cellStyle name="Percent [2]" xfId="32"/>
    <cellStyle name="Percent 2" xfId="4"/>
    <cellStyle name="PSChar" xfId="33"/>
    <cellStyle name="PSDate" xfId="34"/>
    <cellStyle name="PSDec" xfId="35"/>
    <cellStyle name="PSHeading" xfId="36"/>
    <cellStyle name="PSInt" xfId="37"/>
    <cellStyle name="PSSpacer" xfId="38"/>
    <cellStyle name="ShOut" xfId="39"/>
    <cellStyle name="Style 1" xfId="40"/>
    <cellStyle name="Style 2" xfId="41"/>
    <cellStyle name="Style 3" xfId="42"/>
    <cellStyle name="x" xfId="43"/>
    <cellStyle name="x_CCA-Request_H11bps" xfId="44"/>
    <cellStyle name="x_CCA-Request_H11bps July 9" xfId="45"/>
  </cellStyles>
  <dxfs count="0"/>
  <tableStyles count="0" defaultTableStyle="TableStyleMedium2" defaultPivotStyle="PivotStyleLight16"/>
  <colors>
    <mruColors>
      <color rgb="FFCCFFCC"/>
      <color rgb="FFFFCCCC"/>
      <color rgb="FFFFFFFF"/>
      <color rgb="FFFFCCFF"/>
      <color rgb="FFCCFFFF"/>
      <color rgb="FFCCCCFF"/>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st%20Pric/2018-2022%20DX%20Rates/2019/Bill%20Impacts_2019_v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st%20Pric/2018-2022%20DX%20Rates/2020/Rate%20Design_2020_v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st%20Pric/2018-2022%20DX%20Rates/2018/RRRPCreditCalc_2018t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st%20Pric/2018-2022%20DX%20Rates/2020/ST_Rate_Model_2020_v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ist%20Pric/2018-2022%20DX%20Rates/2018/Bill%20Impacts_Aver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Bill Impacts"/>
      <sheetName val="Bill Impact Summary"/>
      <sheetName val="BI_UR_Low"/>
      <sheetName val="BI_UR_Typical"/>
      <sheetName val="BI_UR_Avg"/>
      <sheetName val="BI_UR_High"/>
      <sheetName val="BI_R1_Low"/>
      <sheetName val="BI_R1_Typical"/>
      <sheetName val="BI_R1_Avg"/>
      <sheetName val="BI_R1_High"/>
      <sheetName val="BI_R2_Low"/>
      <sheetName val="BI_R2_Typical"/>
      <sheetName val="BI_R2_Avg"/>
      <sheetName val="BI_R2_High"/>
      <sheetName val="BI_Seas_Low"/>
      <sheetName val="BI_Seas_Typical"/>
      <sheetName val="BI_Seas_Avg"/>
      <sheetName val="BI_Seas_High"/>
      <sheetName val="BI_UGe_Low"/>
      <sheetName val="BI_UGe_Typical"/>
      <sheetName val="BI_UGe_Avg"/>
      <sheetName val="BI_UGe_High"/>
      <sheetName val="BI_GSe_Low"/>
      <sheetName val="BI_GSe_Typical"/>
      <sheetName val="BI_GSe_Avg"/>
      <sheetName val="BI_GSe_High"/>
      <sheetName val="BI_UGd_Low"/>
      <sheetName val="BI_UGd_Avg"/>
      <sheetName val="BI_UGd_High"/>
      <sheetName val="BI_GSd_Low"/>
      <sheetName val="BI_GSd_Avg"/>
      <sheetName val="BI_GSd_High"/>
      <sheetName val="BI_DGen_Low"/>
      <sheetName val="BI_DGen_Avg"/>
      <sheetName val="BI_DGen_High"/>
      <sheetName val="BI_ST_Low"/>
      <sheetName val="BI_ST_Avg"/>
      <sheetName val="BI_ST_High"/>
      <sheetName val="BI_USL_Low"/>
      <sheetName val="BI_USL_Avg"/>
      <sheetName val="BI_USL_High"/>
      <sheetName val="BI_SenLgt_Low"/>
      <sheetName val="BI_SenLgt_Avg"/>
      <sheetName val="BI_SenLgt_High"/>
      <sheetName val="BI_StLgt_Low"/>
      <sheetName val="BI_StLgt_Avg"/>
      <sheetName val="BI_StLgt_High"/>
      <sheetName val="Bill Impact Summary (2)"/>
      <sheetName val="DNP_Bill Impact Summary_FIONA"/>
      <sheetName val="DNP_Data_LoadFrcst"/>
      <sheetName val="DNP_Bill Impact SummaryLF"/>
      <sheetName val="DNP_BI_UR_AvgLF"/>
      <sheetName val="DNP_BI_R1_AvgLF"/>
      <sheetName val="DNP_BI_R2_AvgLF"/>
      <sheetName val="BI_Seas_Low (All Fixed)"/>
      <sheetName val="BI_Seas_Avg (All Fixed)"/>
      <sheetName val="DNP_BI_Seas_AvgLF"/>
      <sheetName val="BI_Seas_Low_AllFixed"/>
      <sheetName val="BI_Seas_Avg_AllFixed"/>
      <sheetName val="BI_Seas_High (All Fixed)"/>
      <sheetName val="BI_Seas_High_AllFixed"/>
      <sheetName val="DNP_BI_UGe_AvgLF"/>
      <sheetName val="DNP_BI_UGe_High OCEB CALC"/>
      <sheetName val="DNP_BI_GSe_AvgLF"/>
      <sheetName val="DNP_BI_GSe_High_OCEB CALC"/>
      <sheetName val="DNP_BI_UGd_AvgLF"/>
      <sheetName val="DNP_BI_GSd_AvgLF"/>
      <sheetName val="DNP_BI_DGen_AvgLF"/>
      <sheetName val="DNP_BI_ST_AvgLF"/>
      <sheetName val="DNP_BI_USL_AvgLF"/>
      <sheetName val="DNP_BI_SenLgt_AvgLF"/>
      <sheetName val="DNP_BI_StLgt_AvgLF"/>
      <sheetName val="Bill Impacts_2019_v6"/>
    </sheetNames>
    <sheetDataSet>
      <sheetData sheetId="0">
        <row r="2">
          <cell r="A2" t="str">
            <v>Rate Class</v>
          </cell>
          <cell r="B2" t="str">
            <v>Loss Factor</v>
          </cell>
          <cell r="C2" t="str">
            <v>Monthly Consumption (kWh)</v>
          </cell>
          <cell r="D2" t="str">
            <v>Commodity Threshold</v>
          </cell>
          <cell r="E2" t="str">
            <v>Avg Monthly Peak (kW)</v>
          </cell>
          <cell r="F2" t="str">
            <v>Charge Determinant</v>
          </cell>
          <cell r="G2" t="str">
            <v>Current Fixed Charge ($/month)</v>
          </cell>
          <cell r="H2" t="str">
            <v>Smart Meter Adder ($/month)</v>
          </cell>
          <cell r="I2" t="str">
            <v>Smart Metering Entity Charge ($/month)</v>
          </cell>
          <cell r="J2" t="str">
            <v>Current Variable Charge ($/kWh or $/kW))</v>
          </cell>
          <cell r="K2" t="str">
            <v>Current Foregone Revenue Riders Fixed ($/month)</v>
          </cell>
          <cell r="L2" t="str">
            <v>Proposed Foregone Revenue Riders Fixed ($/month)</v>
          </cell>
          <cell r="M2" t="str">
            <v>Current Def/VA rate rider Fixed ($/month)</v>
          </cell>
          <cell r="N2" t="str">
            <v>Current Def/VA rate rider Volumetric ($/kWh or $/kW)</v>
          </cell>
          <cell r="O2" t="str">
            <v>Current RTSR-NW ($/kWh or $/kW)</v>
          </cell>
          <cell r="P2" t="str">
            <v>Current RTSR-CONN ($/kWh or $/kW)</v>
          </cell>
          <cell r="Q2" t="str">
            <v>Proposed Fixed Charge ($/month)</v>
          </cell>
          <cell r="R2" t="str">
            <v>Smart Metering Entity Charge ($/month)</v>
          </cell>
          <cell r="S2" t="str">
            <v>Proposed volumetric Charge ($/kWh or $/kW)</v>
          </cell>
          <cell r="T2" t="str">
            <v>Current Rate Rider for Disposition of Global Adjustment Account</v>
          </cell>
          <cell r="U2" t="str">
            <v>Proposed Rate Rider for Disposition of Global Adjustment Account</v>
          </cell>
          <cell r="V2" t="str">
            <v>Proposed Def/VA rate rider Fixed ($/month)</v>
          </cell>
          <cell r="W2" t="str">
            <v>Proposed Def/VA rate rider Volumetric($/kWh or $/kW)</v>
          </cell>
          <cell r="X2" t="str">
            <v>Proposed RTSR-NW ($/kWh or $/kW)</v>
          </cell>
          <cell r="Y2" t="str">
            <v>Proposed RTSR-CONN ($/kWh or $/kW)</v>
          </cell>
        </row>
        <row r="3">
          <cell r="A3" t="str">
            <v>UR</v>
          </cell>
          <cell r="B3">
            <v>1.0569999999999999</v>
          </cell>
          <cell r="C3">
            <v>750</v>
          </cell>
          <cell r="D3">
            <v>600</v>
          </cell>
          <cell r="E3">
            <v>0</v>
          </cell>
          <cell r="F3" t="str">
            <v>kWh</v>
          </cell>
          <cell r="G3">
            <v>27.76</v>
          </cell>
          <cell r="H3">
            <v>0</v>
          </cell>
          <cell r="I3">
            <v>0.79</v>
          </cell>
          <cell r="J3">
            <v>7.9000000000000008E-3</v>
          </cell>
          <cell r="K3">
            <v>0</v>
          </cell>
          <cell r="L3">
            <v>0</v>
          </cell>
          <cell r="M3">
            <v>0.01</v>
          </cell>
          <cell r="N3">
            <v>2.0000000000000001E-4</v>
          </cell>
          <cell r="O3">
            <v>7.8279999999999999E-3</v>
          </cell>
          <cell r="P3">
            <v>6.4380000000000001E-3</v>
          </cell>
          <cell r="Q3">
            <v>31.3</v>
          </cell>
          <cell r="R3">
            <v>0.79</v>
          </cell>
          <cell r="S3">
            <v>4.7000000000000002E-3</v>
          </cell>
          <cell r="T3">
            <v>0</v>
          </cell>
          <cell r="U3">
            <v>0</v>
          </cell>
          <cell r="V3">
            <v>0.01</v>
          </cell>
          <cell r="W3">
            <v>2.0000000000000001E-4</v>
          </cell>
          <cell r="X3">
            <v>7.8279999999999999E-3</v>
          </cell>
          <cell r="Y3">
            <v>6.4380000000000001E-3</v>
          </cell>
        </row>
        <row r="4">
          <cell r="A4" t="str">
            <v>R1</v>
          </cell>
          <cell r="B4">
            <v>1.0760000000000001</v>
          </cell>
          <cell r="C4">
            <v>750</v>
          </cell>
          <cell r="D4">
            <v>600</v>
          </cell>
          <cell r="E4">
            <v>0</v>
          </cell>
          <cell r="F4" t="str">
            <v>kWh</v>
          </cell>
          <cell r="G4">
            <v>37.83</v>
          </cell>
          <cell r="H4">
            <v>0</v>
          </cell>
          <cell r="I4">
            <v>0.79</v>
          </cell>
          <cell r="J4">
            <v>2.1999999999999999E-2</v>
          </cell>
          <cell r="K4">
            <v>0</v>
          </cell>
          <cell r="L4">
            <v>0</v>
          </cell>
          <cell r="M4">
            <v>0</v>
          </cell>
          <cell r="N4">
            <v>2.0000000000000001E-4</v>
          </cell>
          <cell r="O4">
            <v>7.2069999999999999E-3</v>
          </cell>
          <cell r="P4">
            <v>6.0319999999999992E-3</v>
          </cell>
          <cell r="Q4">
            <v>42.25</v>
          </cell>
          <cell r="R4">
            <v>0.79</v>
          </cell>
          <cell r="S4">
            <v>1.9400000000000001E-2</v>
          </cell>
          <cell r="T4">
            <v>0</v>
          </cell>
          <cell r="U4">
            <v>0</v>
          </cell>
          <cell r="V4">
            <v>0</v>
          </cell>
          <cell r="W4">
            <v>2.0000000000000001E-4</v>
          </cell>
          <cell r="X4">
            <v>7.2069999999999999E-3</v>
          </cell>
          <cell r="Y4">
            <v>6.0319999999999992E-3</v>
          </cell>
        </row>
        <row r="5">
          <cell r="A5" t="str">
            <v>R2</v>
          </cell>
          <cell r="B5">
            <v>1.105</v>
          </cell>
          <cell r="C5">
            <v>750</v>
          </cell>
          <cell r="D5">
            <v>600</v>
          </cell>
          <cell r="E5">
            <v>0</v>
          </cell>
          <cell r="F5" t="str">
            <v>kWh</v>
          </cell>
          <cell r="G5">
            <v>25.109678307903934</v>
          </cell>
          <cell r="H5">
            <v>0</v>
          </cell>
          <cell r="I5">
            <v>0.79</v>
          </cell>
          <cell r="J5">
            <v>3.6299999999999999E-2</v>
          </cell>
          <cell r="K5">
            <v>0</v>
          </cell>
          <cell r="L5">
            <v>0</v>
          </cell>
          <cell r="M5">
            <v>-0.02</v>
          </cell>
          <cell r="N5">
            <v>2.0000000000000001E-4</v>
          </cell>
          <cell r="O5">
            <v>6.7400000000000003E-3</v>
          </cell>
          <cell r="P5">
            <v>5.6299999999999996E-3</v>
          </cell>
          <cell r="Q5">
            <v>34.219678307903934</v>
          </cell>
          <cell r="R5">
            <v>0.79</v>
          </cell>
          <cell r="S5">
            <v>3.2199999999999999E-2</v>
          </cell>
          <cell r="T5">
            <v>0</v>
          </cell>
          <cell r="U5">
            <v>0</v>
          </cell>
          <cell r="V5">
            <v>-0.02</v>
          </cell>
          <cell r="W5">
            <v>2.0000000000000001E-4</v>
          </cell>
          <cell r="X5">
            <v>6.7400000000000003E-3</v>
          </cell>
          <cell r="Y5">
            <v>5.6299999999999996E-3</v>
          </cell>
        </row>
        <row r="6">
          <cell r="A6" t="str">
            <v>Seasonal</v>
          </cell>
          <cell r="B6">
            <v>1.1040000000000001</v>
          </cell>
          <cell r="C6">
            <v>500</v>
          </cell>
          <cell r="D6">
            <v>600</v>
          </cell>
          <cell r="E6">
            <v>0</v>
          </cell>
          <cell r="F6" t="str">
            <v>kWh</v>
          </cell>
          <cell r="G6">
            <v>40.57</v>
          </cell>
          <cell r="H6">
            <v>0</v>
          </cell>
          <cell r="I6">
            <v>0.79</v>
          </cell>
          <cell r="J6">
            <v>6.08E-2</v>
          </cell>
          <cell r="K6">
            <v>0</v>
          </cell>
          <cell r="L6">
            <v>0</v>
          </cell>
          <cell r="M6">
            <v>0</v>
          </cell>
          <cell r="N6">
            <v>2.0000000000000001E-4</v>
          </cell>
          <cell r="O6">
            <v>5.6559999999999996E-3</v>
          </cell>
          <cell r="P6">
            <v>4.8209999999999998E-3</v>
          </cell>
          <cell r="Q6">
            <v>45.14</v>
          </cell>
          <cell r="R6">
            <v>0.79</v>
          </cell>
          <cell r="S6">
            <v>5.2999999999999999E-2</v>
          </cell>
          <cell r="T6">
            <v>0</v>
          </cell>
          <cell r="U6">
            <v>0</v>
          </cell>
          <cell r="V6">
            <v>0</v>
          </cell>
          <cell r="W6">
            <v>2.0000000000000001E-4</v>
          </cell>
          <cell r="X6">
            <v>5.6559999999999996E-3</v>
          </cell>
          <cell r="Y6">
            <v>4.8209999999999998E-3</v>
          </cell>
        </row>
        <row r="7">
          <cell r="A7" t="str">
            <v>GSe</v>
          </cell>
          <cell r="B7">
            <v>1.0960000000000001</v>
          </cell>
          <cell r="C7">
            <v>2000</v>
          </cell>
          <cell r="D7">
            <v>750</v>
          </cell>
          <cell r="E7">
            <v>0</v>
          </cell>
          <cell r="F7" t="str">
            <v>kWh</v>
          </cell>
          <cell r="G7">
            <v>29.68</v>
          </cell>
          <cell r="H7">
            <v>0</v>
          </cell>
          <cell r="I7">
            <v>0.79</v>
          </cell>
          <cell r="J7">
            <v>5.91E-2</v>
          </cell>
          <cell r="K7">
            <v>0</v>
          </cell>
          <cell r="L7">
            <v>0</v>
          </cell>
          <cell r="M7">
            <v>0</v>
          </cell>
          <cell r="N7">
            <v>2.0000000000000001E-4</v>
          </cell>
          <cell r="O7">
            <v>5.6930000000000001E-3</v>
          </cell>
          <cell r="P7">
            <v>4.4740000000000005E-3</v>
          </cell>
          <cell r="Q7">
            <v>30.26</v>
          </cell>
          <cell r="R7">
            <v>0.79</v>
          </cell>
          <cell r="S7">
            <v>6.1400000000000003E-2</v>
          </cell>
          <cell r="T7">
            <v>1.9E-3</v>
          </cell>
          <cell r="U7">
            <v>1.9E-3</v>
          </cell>
          <cell r="V7">
            <v>0</v>
          </cell>
          <cell r="W7">
            <v>2.0000000000000001E-4</v>
          </cell>
          <cell r="X7">
            <v>5.6930000000000001E-3</v>
          </cell>
          <cell r="Y7">
            <v>4.4740000000000005E-3</v>
          </cell>
        </row>
        <row r="8">
          <cell r="A8" t="str">
            <v>UGe</v>
          </cell>
          <cell r="B8">
            <v>1.0669999999999999</v>
          </cell>
          <cell r="C8">
            <v>2000</v>
          </cell>
          <cell r="D8">
            <v>750</v>
          </cell>
          <cell r="E8">
            <v>0</v>
          </cell>
          <cell r="F8" t="str">
            <v>kWh</v>
          </cell>
          <cell r="G8">
            <v>23.97</v>
          </cell>
          <cell r="H8">
            <v>0</v>
          </cell>
          <cell r="I8">
            <v>0.79</v>
          </cell>
          <cell r="J8">
            <v>2.8000000000000001E-2</v>
          </cell>
          <cell r="K8">
            <v>0</v>
          </cell>
          <cell r="L8">
            <v>0</v>
          </cell>
          <cell r="M8">
            <v>0.01</v>
          </cell>
          <cell r="N8">
            <v>2.0000000000000001E-4</v>
          </cell>
          <cell r="O8">
            <v>6.1060000000000003E-3</v>
          </cell>
          <cell r="P8">
            <v>4.6519999999999999E-3</v>
          </cell>
          <cell r="Q8">
            <v>24.52</v>
          </cell>
          <cell r="R8">
            <v>0.79</v>
          </cell>
          <cell r="S8">
            <v>2.9000000000000001E-2</v>
          </cell>
          <cell r="T8">
            <v>1.9E-3</v>
          </cell>
          <cell r="U8">
            <v>1.9E-3</v>
          </cell>
          <cell r="V8">
            <v>0.01</v>
          </cell>
          <cell r="W8">
            <v>2.0000000000000001E-4</v>
          </cell>
          <cell r="X8">
            <v>6.1060000000000003E-3</v>
          </cell>
          <cell r="Y8">
            <v>4.6519999999999999E-3</v>
          </cell>
        </row>
        <row r="9">
          <cell r="A9" t="str">
            <v>St Lgt</v>
          </cell>
          <cell r="B9">
            <v>1.0920000000000001</v>
          </cell>
          <cell r="C9">
            <v>1440</v>
          </cell>
          <cell r="D9">
            <v>750</v>
          </cell>
          <cell r="E9">
            <v>0</v>
          </cell>
          <cell r="F9" t="str">
            <v>kWh</v>
          </cell>
          <cell r="G9">
            <v>4.08</v>
          </cell>
          <cell r="H9">
            <v>0</v>
          </cell>
          <cell r="I9">
            <v>0</v>
          </cell>
          <cell r="J9">
            <v>9.8000000000000004E-2</v>
          </cell>
          <cell r="K9">
            <v>0</v>
          </cell>
          <cell r="L9">
            <v>0</v>
          </cell>
          <cell r="M9">
            <v>0</v>
          </cell>
          <cell r="N9">
            <v>2.0000000000000001E-4</v>
          </cell>
          <cell r="O9">
            <v>4.6979999999999999E-3</v>
          </cell>
          <cell r="P9">
            <v>4.2899999999999995E-3</v>
          </cell>
          <cell r="Q9">
            <v>4.21</v>
          </cell>
          <cell r="R9">
            <v>0</v>
          </cell>
          <cell r="S9">
            <v>0.1013</v>
          </cell>
          <cell r="T9">
            <v>0</v>
          </cell>
          <cell r="U9">
            <v>0</v>
          </cell>
          <cell r="V9">
            <v>0</v>
          </cell>
          <cell r="W9">
            <v>2.0000000000000001E-4</v>
          </cell>
          <cell r="X9">
            <v>4.6979999999999999E-3</v>
          </cell>
          <cell r="Y9">
            <v>4.2899999999999995E-3</v>
          </cell>
        </row>
        <row r="10">
          <cell r="A10" t="str">
            <v>Sen Lgt</v>
          </cell>
          <cell r="B10">
            <v>1.0920000000000001</v>
          </cell>
          <cell r="C10">
            <v>62</v>
          </cell>
          <cell r="D10">
            <v>750</v>
          </cell>
          <cell r="E10">
            <v>0</v>
          </cell>
          <cell r="F10" t="str">
            <v>kWh</v>
          </cell>
          <cell r="G10">
            <v>3.1</v>
          </cell>
          <cell r="H10">
            <v>0</v>
          </cell>
          <cell r="I10">
            <v>0</v>
          </cell>
          <cell r="J10">
            <v>0.11799999999999999</v>
          </cell>
          <cell r="K10">
            <v>0</v>
          </cell>
          <cell r="L10">
            <v>0</v>
          </cell>
          <cell r="M10">
            <v>0</v>
          </cell>
          <cell r="N10">
            <v>1E-4</v>
          </cell>
          <cell r="O10">
            <v>4.6979999999999999E-3</v>
          </cell>
          <cell r="P10">
            <v>4.2899999999999995E-3</v>
          </cell>
          <cell r="Q10">
            <v>3.26</v>
          </cell>
          <cell r="R10">
            <v>0</v>
          </cell>
          <cell r="S10">
            <v>0.1239</v>
          </cell>
          <cell r="T10">
            <v>0</v>
          </cell>
          <cell r="U10">
            <v>0</v>
          </cell>
          <cell r="V10">
            <v>0</v>
          </cell>
          <cell r="W10">
            <v>1E-4</v>
          </cell>
          <cell r="X10">
            <v>4.6979999999999999E-3</v>
          </cell>
          <cell r="Y10">
            <v>4.2899999999999995E-3</v>
          </cell>
        </row>
        <row r="11">
          <cell r="A11" t="str">
            <v>USL</v>
          </cell>
          <cell r="B11">
            <v>1.0920000000000001</v>
          </cell>
          <cell r="C11">
            <v>500</v>
          </cell>
          <cell r="D11">
            <v>750</v>
          </cell>
          <cell r="E11">
            <v>0</v>
          </cell>
          <cell r="F11" t="str">
            <v>kWh</v>
          </cell>
          <cell r="G11">
            <v>35.1</v>
          </cell>
          <cell r="H11">
            <v>0</v>
          </cell>
          <cell r="I11">
            <v>0</v>
          </cell>
          <cell r="J11">
            <v>2.87E-2</v>
          </cell>
          <cell r="K11">
            <v>0</v>
          </cell>
          <cell r="L11">
            <v>0</v>
          </cell>
          <cell r="M11">
            <v>-0.01</v>
          </cell>
          <cell r="N11">
            <v>2.0000000000000001E-4</v>
          </cell>
          <cell r="O11">
            <v>4.7699999999999999E-3</v>
          </cell>
          <cell r="P11">
            <v>3.7950000000000002E-3</v>
          </cell>
          <cell r="Q11">
            <v>35.76</v>
          </cell>
          <cell r="R11">
            <v>0</v>
          </cell>
          <cell r="S11">
            <v>2.93E-2</v>
          </cell>
          <cell r="T11">
            <v>0</v>
          </cell>
          <cell r="U11">
            <v>0</v>
          </cell>
          <cell r="V11">
            <v>-0.01</v>
          </cell>
          <cell r="W11">
            <v>2.0000000000000001E-4</v>
          </cell>
          <cell r="X11">
            <v>4.7699999999999999E-3</v>
          </cell>
          <cell r="Y11">
            <v>3.7950000000000002E-3</v>
          </cell>
        </row>
        <row r="12">
          <cell r="A12" t="str">
            <v>GSd</v>
          </cell>
          <cell r="B12">
            <v>1.0609999999999999</v>
          </cell>
          <cell r="C12">
            <v>36000</v>
          </cell>
          <cell r="D12">
            <v>0</v>
          </cell>
          <cell r="E12">
            <v>117</v>
          </cell>
          <cell r="F12" t="str">
            <v>kW</v>
          </cell>
          <cell r="G12">
            <v>102.93</v>
          </cell>
          <cell r="H12">
            <v>0</v>
          </cell>
          <cell r="I12">
            <v>0</v>
          </cell>
          <cell r="J12">
            <v>16.7653</v>
          </cell>
          <cell r="K12">
            <v>0</v>
          </cell>
          <cell r="L12">
            <v>0</v>
          </cell>
          <cell r="M12">
            <v>-0.02</v>
          </cell>
          <cell r="N12">
            <v>4.7E-2</v>
          </cell>
          <cell r="O12">
            <v>1.6718177000000001</v>
          </cell>
          <cell r="P12">
            <v>1.2769135</v>
          </cell>
          <cell r="Q12">
            <v>104.42</v>
          </cell>
          <cell r="R12">
            <v>0</v>
          </cell>
          <cell r="S12">
            <v>17.353200000000001</v>
          </cell>
          <cell r="T12">
            <v>1.9E-3</v>
          </cell>
          <cell r="U12">
            <v>1.9E-3</v>
          </cell>
          <cell r="V12">
            <v>-0.02</v>
          </cell>
          <cell r="W12">
            <v>4.7E-2</v>
          </cell>
          <cell r="X12">
            <v>1.6718177000000001</v>
          </cell>
          <cell r="Y12">
            <v>1.2769135</v>
          </cell>
        </row>
        <row r="13">
          <cell r="A13" t="str">
            <v>UGd</v>
          </cell>
          <cell r="B13">
            <v>1.05</v>
          </cell>
          <cell r="C13">
            <v>36000</v>
          </cell>
          <cell r="D13">
            <v>0</v>
          </cell>
          <cell r="E13">
            <v>117</v>
          </cell>
          <cell r="F13" t="str">
            <v>kW</v>
          </cell>
          <cell r="G13">
            <v>101.13</v>
          </cell>
          <cell r="H13">
            <v>0</v>
          </cell>
          <cell r="I13">
            <v>0</v>
          </cell>
          <cell r="J13">
            <v>9.5976999999999997</v>
          </cell>
          <cell r="K13">
            <v>0</v>
          </cell>
          <cell r="L13">
            <v>0</v>
          </cell>
          <cell r="M13">
            <v>0.01</v>
          </cell>
          <cell r="N13">
            <v>6.4600000000000005E-2</v>
          </cell>
          <cell r="O13">
            <v>2.2310400000000001</v>
          </cell>
          <cell r="P13">
            <v>1.7046749999999999</v>
          </cell>
          <cell r="Q13">
            <v>102.94</v>
          </cell>
          <cell r="R13">
            <v>0</v>
          </cell>
          <cell r="S13">
            <v>9.9375</v>
          </cell>
          <cell r="T13">
            <v>1.9E-3</v>
          </cell>
          <cell r="U13">
            <v>1.9E-3</v>
          </cell>
          <cell r="V13">
            <v>0.01</v>
          </cell>
          <cell r="W13">
            <v>6.4600000000000005E-2</v>
          </cell>
          <cell r="X13">
            <v>2.2310400000000001</v>
          </cell>
          <cell r="Y13">
            <v>1.7046749999999999</v>
          </cell>
        </row>
        <row r="14">
          <cell r="A14" t="str">
            <v>Dgen</v>
          </cell>
          <cell r="B14">
            <v>1.0609999999999999</v>
          </cell>
          <cell r="C14">
            <v>2000</v>
          </cell>
          <cell r="D14">
            <v>0</v>
          </cell>
          <cell r="E14">
            <v>15</v>
          </cell>
          <cell r="F14" t="str">
            <v>kW</v>
          </cell>
          <cell r="G14">
            <v>198.03</v>
          </cell>
          <cell r="H14">
            <v>0</v>
          </cell>
          <cell r="I14">
            <v>0</v>
          </cell>
          <cell r="J14">
            <v>6.0591999999999997</v>
          </cell>
          <cell r="K14">
            <v>0</v>
          </cell>
          <cell r="L14">
            <v>0</v>
          </cell>
          <cell r="M14">
            <v>0.01</v>
          </cell>
          <cell r="N14">
            <v>1.72E-2</v>
          </cell>
          <cell r="O14">
            <v>0.63108279999999994</v>
          </cell>
          <cell r="P14">
            <v>0.54747599999999996</v>
          </cell>
          <cell r="Q14">
            <v>198.03</v>
          </cell>
          <cell r="R14">
            <v>0</v>
          </cell>
          <cell r="S14">
            <v>9.5955999999999992</v>
          </cell>
          <cell r="T14">
            <v>1.9E-3</v>
          </cell>
          <cell r="U14">
            <v>1.9E-3</v>
          </cell>
          <cell r="V14">
            <v>0.01</v>
          </cell>
          <cell r="W14">
            <v>1.72E-2</v>
          </cell>
          <cell r="X14">
            <v>0.63108279999999994</v>
          </cell>
          <cell r="Y14">
            <v>0.54747599999999996</v>
          </cell>
        </row>
        <row r="15">
          <cell r="A15" t="str">
            <v>ST</v>
          </cell>
          <cell r="B15">
            <v>1.034</v>
          </cell>
          <cell r="C15">
            <v>36000</v>
          </cell>
          <cell r="D15">
            <v>0</v>
          </cell>
          <cell r="E15">
            <v>117</v>
          </cell>
          <cell r="F15" t="str">
            <v>kW</v>
          </cell>
          <cell r="G15">
            <v>1204.08</v>
          </cell>
          <cell r="H15">
            <v>0</v>
          </cell>
          <cell r="I15">
            <v>0</v>
          </cell>
          <cell r="J15">
            <v>1.3153070071616677</v>
          </cell>
          <cell r="K15">
            <v>0</v>
          </cell>
          <cell r="L15">
            <v>0</v>
          </cell>
          <cell r="M15">
            <v>3.83</v>
          </cell>
          <cell r="N15">
            <v>0.27289999999999998</v>
          </cell>
          <cell r="O15">
            <v>3.4866480000000002</v>
          </cell>
          <cell r="P15">
            <v>2.6021643999999999</v>
          </cell>
          <cell r="Q15">
            <v>1226.6300000000001</v>
          </cell>
          <cell r="R15">
            <v>0</v>
          </cell>
          <cell r="S15">
            <v>1.3683020513538697</v>
          </cell>
          <cell r="T15">
            <v>1.9E-3</v>
          </cell>
          <cell r="U15">
            <v>1.9E-3</v>
          </cell>
          <cell r="V15">
            <v>3.83</v>
          </cell>
          <cell r="W15">
            <v>0.27289999999999998</v>
          </cell>
          <cell r="X15">
            <v>3.4866480000000002</v>
          </cell>
          <cell r="Y15">
            <v>2.6021643999999999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Design"/>
      <sheetName val="2020 Rev at 2019 Rate"/>
      <sheetName val="Rate Design_2020_v6"/>
    </sheetNames>
    <sheetDataSet>
      <sheetData sheetId="0">
        <row r="8">
          <cell r="A8" t="str">
            <v>UR</v>
          </cell>
          <cell r="T8" t="str">
            <v>UR</v>
          </cell>
          <cell r="U8">
            <v>35.882567484182175</v>
          </cell>
          <cell r="V8">
            <v>99634424.861636043</v>
          </cell>
          <cell r="W8">
            <v>0</v>
          </cell>
          <cell r="X8">
            <v>0</v>
          </cell>
          <cell r="Y8">
            <v>0</v>
          </cell>
        </row>
        <row r="9">
          <cell r="T9" t="str">
            <v>R1</v>
          </cell>
          <cell r="U9">
            <v>47.113155744169035</v>
          </cell>
          <cell r="V9">
            <v>256571469.89608285</v>
          </cell>
          <cell r="W9">
            <v>79452140.14470613</v>
          </cell>
          <cell r="X9">
            <v>1.6040619815590709</v>
          </cell>
          <cell r="Y9">
            <v>0</v>
          </cell>
        </row>
        <row r="10">
          <cell r="T10" t="str">
            <v>R2</v>
          </cell>
          <cell r="U10">
            <v>107.82743709921337</v>
          </cell>
          <cell r="V10">
            <v>429249183.93657482</v>
          </cell>
          <cell r="W10">
            <v>119634950.50012659</v>
          </cell>
          <cell r="X10">
            <v>2.6842042757338738</v>
          </cell>
          <cell r="Y10">
            <v>0</v>
          </cell>
        </row>
        <row r="11">
          <cell r="T11" t="str">
            <v>Seasonal</v>
          </cell>
          <cell r="U11">
            <v>50.121295968238201</v>
          </cell>
          <cell r="V11">
            <v>90305331.433187738</v>
          </cell>
          <cell r="W11">
            <v>26924937.27598032</v>
          </cell>
          <cell r="X11">
            <v>4.3917004649797358</v>
          </cell>
          <cell r="Y11">
            <v>0</v>
          </cell>
        </row>
        <row r="12">
          <cell r="T12" t="str">
            <v>GSe</v>
          </cell>
          <cell r="U12">
            <v>30.905050579554967</v>
          </cell>
          <cell r="V12">
            <v>32785779.210493281</v>
          </cell>
          <cell r="W12">
            <v>129430061.54987027</v>
          </cell>
          <cell r="X12">
            <v>6.3366952340658731</v>
          </cell>
          <cell r="Y12">
            <v>0</v>
          </cell>
        </row>
        <row r="13">
          <cell r="T13" t="str">
            <v>GSd</v>
          </cell>
          <cell r="U13">
            <v>106.27547200016895</v>
          </cell>
          <cell r="V13">
            <v>7028722.9914169544</v>
          </cell>
          <cell r="W13">
            <v>141642398.66067255</v>
          </cell>
          <cell r="X13">
            <v>0</v>
          </cell>
          <cell r="Y13">
            <v>17.873434188103136</v>
          </cell>
        </row>
        <row r="14">
          <cell r="T14" t="str">
            <v>UGe</v>
          </cell>
          <cell r="U14">
            <v>25.11170908548301</v>
          </cell>
          <cell r="V14">
            <v>5504881.6471402887</v>
          </cell>
          <cell r="W14">
            <v>17711762.594236989</v>
          </cell>
          <cell r="X14">
            <v>2.9958436246195359</v>
          </cell>
          <cell r="Y14">
            <v>0</v>
          </cell>
        </row>
        <row r="15">
          <cell r="T15" t="str">
            <v>UGd</v>
          </cell>
          <cell r="U15">
            <v>105.09641736370097</v>
          </cell>
          <cell r="V15">
            <v>2222219.7159050261</v>
          </cell>
          <cell r="W15">
            <v>28537412.573116291</v>
          </cell>
          <cell r="X15">
            <v>0</v>
          </cell>
          <cell r="Y15">
            <v>10.23678974048844</v>
          </cell>
        </row>
        <row r="16">
          <cell r="T16" t="str">
            <v>St Lgt</v>
          </cell>
          <cell r="U16">
            <v>4.3347980959766215</v>
          </cell>
          <cell r="V16">
            <v>280947.87365629978</v>
          </cell>
          <cell r="W16">
            <v>12801981.161963183</v>
          </cell>
          <cell r="X16">
            <v>10.435763948037161</v>
          </cell>
          <cell r="Y16">
            <v>0</v>
          </cell>
        </row>
        <row r="17">
          <cell r="T17" t="str">
            <v>Sen Lgt</v>
          </cell>
          <cell r="U17">
            <v>3.4548706415229278</v>
          </cell>
          <cell r="V17">
            <v>980299.42367628007</v>
          </cell>
          <cell r="W17">
            <v>2639860.4557889081</v>
          </cell>
          <cell r="X17">
            <v>13.122308708858377</v>
          </cell>
          <cell r="Y17">
            <v>0</v>
          </cell>
        </row>
        <row r="18">
          <cell r="T18" t="str">
            <v>USL</v>
          </cell>
          <cell r="U18">
            <v>36.881524159157216</v>
          </cell>
          <cell r="V18">
            <v>2508217.269742602</v>
          </cell>
          <cell r="W18">
            <v>745909.50597352628</v>
          </cell>
          <cell r="X18">
            <v>3.0018665478124968</v>
          </cell>
          <cell r="Y18">
            <v>0</v>
          </cell>
        </row>
        <row r="19">
          <cell r="T19" t="str">
            <v>Dgen</v>
          </cell>
          <cell r="U19">
            <v>198.03</v>
          </cell>
          <cell r="V19">
            <v>3317922.9683257327</v>
          </cell>
          <cell r="W19">
            <v>2063439.726446351</v>
          </cell>
          <cell r="X19">
            <v>0</v>
          </cell>
          <cell r="Y19">
            <v>10.379008688056924</v>
          </cell>
        </row>
        <row r="20">
          <cell r="T20" t="str">
            <v>ST</v>
          </cell>
          <cell r="U20">
            <v>1074.3739138307619</v>
          </cell>
          <cell r="V20">
            <v>10492998.604647355</v>
          </cell>
          <cell r="W20">
            <v>45588629.971123077</v>
          </cell>
          <cell r="X20">
            <v>0</v>
          </cell>
          <cell r="Y20">
            <v>1.5418704754917711</v>
          </cell>
        </row>
      </sheetData>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5">
          <cell r="B5">
            <v>250.60464000000002</v>
          </cell>
        </row>
        <row r="7">
          <cell r="D7">
            <v>63.590321692096069</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CA_Extract"/>
      <sheetName val="ActualInputs_ScaleUp"/>
      <sheetName val="Charge_dets_SUMMARY"/>
      <sheetName val="Fixed"/>
      <sheetName val="HVDS High"/>
      <sheetName val="LVDS Low"/>
      <sheetName val="Specific Line"/>
      <sheetName val="Rate Calc"/>
      <sheetName val="Exhibit G1-4-4"/>
      <sheetName val="Exhibit G-7-1"/>
      <sheetName val="Sheet1"/>
      <sheetName val="DRO_EXHIBIT3.1.1."/>
      <sheetName val="Sheet2"/>
    </sheetNames>
    <sheetDataSet>
      <sheetData sheetId="0"/>
      <sheetData sheetId="1"/>
      <sheetData sheetId="2"/>
      <sheetData sheetId="3"/>
      <sheetData sheetId="4"/>
      <sheetData sheetId="5"/>
      <sheetData sheetId="6"/>
      <sheetData sheetId="7">
        <row r="16">
          <cell r="G16">
            <v>558.13</v>
          </cell>
          <cell r="H16">
            <v>698.75</v>
          </cell>
        </row>
        <row r="36">
          <cell r="D36">
            <v>1.4140356552332787</v>
          </cell>
        </row>
      </sheetData>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9">
          <cell r="A9" t="str">
            <v>UR</v>
          </cell>
          <cell r="B9">
            <v>0</v>
          </cell>
          <cell r="C9">
            <v>225944.18649169474</v>
          </cell>
          <cell r="D9">
            <v>2047.2628889178184</v>
          </cell>
          <cell r="E9">
            <v>0</v>
          </cell>
          <cell r="F9">
            <v>1.0569999999999999</v>
          </cell>
          <cell r="G9">
            <v>170605240.74315152</v>
          </cell>
          <cell r="H9">
            <v>755</v>
          </cell>
          <cell r="I9">
            <v>0</v>
          </cell>
        </row>
        <row r="10">
          <cell r="A10" t="str">
            <v>R1</v>
          </cell>
          <cell r="B10">
            <v>0</v>
          </cell>
          <cell r="C10">
            <v>446101.51280686347</v>
          </cell>
          <cell r="D10">
            <v>4924.0683025766612</v>
          </cell>
          <cell r="E10">
            <v>0</v>
          </cell>
          <cell r="F10">
            <v>1.0760000000000001</v>
          </cell>
          <cell r="G10">
            <v>410339025.21472174</v>
          </cell>
          <cell r="H10">
            <v>920</v>
          </cell>
          <cell r="I10">
            <v>0</v>
          </cell>
        </row>
        <row r="11">
          <cell r="A11" t="str">
            <v>R2</v>
          </cell>
          <cell r="B11">
            <v>0</v>
          </cell>
          <cell r="C11">
            <v>328410.3530898749</v>
          </cell>
          <cell r="D11">
            <v>4539.3673058441782</v>
          </cell>
          <cell r="E11">
            <v>0</v>
          </cell>
          <cell r="F11">
            <v>1.105</v>
          </cell>
          <cell r="G11">
            <v>378280608.8203482</v>
          </cell>
          <cell r="H11">
            <v>1152</v>
          </cell>
          <cell r="I11">
            <v>0</v>
          </cell>
        </row>
        <row r="12">
          <cell r="A12" t="str">
            <v>Seasonal</v>
          </cell>
          <cell r="B12">
            <v>0</v>
          </cell>
          <cell r="C12">
            <v>149484.64840405117</v>
          </cell>
          <cell r="D12">
            <v>631.92121602545365</v>
          </cell>
          <cell r="E12">
            <v>0</v>
          </cell>
          <cell r="F12">
            <v>1.1040000000000001</v>
          </cell>
          <cell r="G12">
            <v>52660101.335454471</v>
          </cell>
          <cell r="H12">
            <v>352</v>
          </cell>
          <cell r="I12">
            <v>0</v>
          </cell>
        </row>
        <row r="13">
          <cell r="A13" t="str">
            <v>GSe</v>
          </cell>
          <cell r="B13">
            <v>0</v>
          </cell>
          <cell r="C13">
            <v>88483.899806478017</v>
          </cell>
          <cell r="D13">
            <v>2104.034979835551</v>
          </cell>
          <cell r="E13">
            <v>0</v>
          </cell>
          <cell r="F13">
            <v>1.0960000000000001</v>
          </cell>
          <cell r="G13">
            <v>175336248.31962925</v>
          </cell>
          <cell r="H13">
            <v>1982</v>
          </cell>
          <cell r="I13">
            <v>0</v>
          </cell>
        </row>
        <row r="14">
          <cell r="A14" t="str">
            <v>GSd</v>
          </cell>
          <cell r="B14">
            <v>0</v>
          </cell>
          <cell r="C14">
            <v>5405.649614848262</v>
          </cell>
          <cell r="D14">
            <v>2341.9790377935678</v>
          </cell>
          <cell r="E14">
            <v>8025918.0344505152</v>
          </cell>
          <cell r="F14">
            <v>1.0669999999999999</v>
          </cell>
          <cell r="G14">
            <v>195164919.81613064</v>
          </cell>
          <cell r="H14">
            <v>36104</v>
          </cell>
          <cell r="I14">
            <v>124</v>
          </cell>
        </row>
        <row r="15">
          <cell r="A15" t="str">
            <v>UGe</v>
          </cell>
          <cell r="B15">
            <v>0</v>
          </cell>
          <cell r="C15">
            <v>18073.874182670519</v>
          </cell>
          <cell r="D15">
            <v>598.36676536535117</v>
          </cell>
          <cell r="E15">
            <v>0</v>
          </cell>
          <cell r="F15">
            <v>1.0920000000000001</v>
          </cell>
          <cell r="G15">
            <v>49863897.113779269</v>
          </cell>
          <cell r="H15">
            <v>2759</v>
          </cell>
          <cell r="I15">
            <v>0</v>
          </cell>
        </row>
        <row r="16">
          <cell r="A16" t="str">
            <v>UGd</v>
          </cell>
          <cell r="B16">
            <v>0</v>
          </cell>
          <cell r="C16">
            <v>1744.2364648136806</v>
          </cell>
          <cell r="D16">
            <v>1057.5260278163953</v>
          </cell>
          <cell r="E16">
            <v>2832322.4440301014</v>
          </cell>
          <cell r="F16">
            <v>1.0920000000000001</v>
          </cell>
          <cell r="G16">
            <v>88127168.984699607</v>
          </cell>
          <cell r="H16">
            <v>50525</v>
          </cell>
          <cell r="I16">
            <v>135</v>
          </cell>
        </row>
        <row r="17">
          <cell r="A17" t="str">
            <v>St Lgt</v>
          </cell>
          <cell r="B17">
            <v>0</v>
          </cell>
          <cell r="C17">
            <v>19544.852415994977</v>
          </cell>
          <cell r="D17">
            <v>121.36784768686539</v>
          </cell>
          <cell r="E17">
            <v>0</v>
          </cell>
          <cell r="F17">
            <v>1.0920000000000001</v>
          </cell>
          <cell r="G17">
            <v>10113987.307238782</v>
          </cell>
          <cell r="H17">
            <v>517</v>
          </cell>
          <cell r="I17">
            <v>0</v>
          </cell>
        </row>
        <row r="18">
          <cell r="A18" t="str">
            <v>Sen Lgt</v>
          </cell>
          <cell r="B18">
            <v>0</v>
          </cell>
          <cell r="C18">
            <v>23986.843457437422</v>
          </cell>
          <cell r="D18">
            <v>20.385578156035042</v>
          </cell>
          <cell r="E18">
            <v>0</v>
          </cell>
          <cell r="F18">
            <v>1.0609999999999999</v>
          </cell>
          <cell r="G18">
            <v>1698798.1796695869</v>
          </cell>
          <cell r="H18">
            <v>71</v>
          </cell>
          <cell r="I18">
            <v>0</v>
          </cell>
        </row>
        <row r="19">
          <cell r="A19" t="str">
            <v>USL</v>
          </cell>
          <cell r="B19">
            <v>0</v>
          </cell>
          <cell r="C19">
            <v>5597.258733734303</v>
          </cell>
          <cell r="D19">
            <v>24.437189604035659</v>
          </cell>
          <cell r="E19">
            <v>0</v>
          </cell>
          <cell r="F19">
            <v>1.05</v>
          </cell>
          <cell r="G19">
            <v>2036432.4670029718</v>
          </cell>
          <cell r="H19">
            <v>364</v>
          </cell>
          <cell r="I19">
            <v>0</v>
          </cell>
        </row>
        <row r="20">
          <cell r="A20" t="str">
            <v>DGen</v>
          </cell>
          <cell r="B20">
            <v>0</v>
          </cell>
          <cell r="C20">
            <v>1152.4825649576753</v>
          </cell>
          <cell r="D20">
            <v>18.36807032833428</v>
          </cell>
          <cell r="E20">
            <v>184739.19535572777</v>
          </cell>
          <cell r="F20">
            <v>1.0609999999999999</v>
          </cell>
          <cell r="G20">
            <v>1530672.5273611899</v>
          </cell>
          <cell r="H20">
            <v>1328</v>
          </cell>
          <cell r="I20">
            <v>13</v>
          </cell>
        </row>
        <row r="21">
          <cell r="A21" t="str">
            <v>ST</v>
          </cell>
          <cell r="B21">
            <v>0</v>
          </cell>
          <cell r="C21">
            <v>808.24672285681027</v>
          </cell>
          <cell r="D21">
            <v>15528.383150724745</v>
          </cell>
          <cell r="E21">
            <v>29977946.365926702</v>
          </cell>
          <cell r="F21">
            <v>1.034</v>
          </cell>
          <cell r="G21">
            <v>1294031929.227062</v>
          </cell>
          <cell r="H21">
            <v>1601036</v>
          </cell>
          <cell r="I21">
            <v>3091</v>
          </cell>
        </row>
        <row r="22">
          <cell r="A22" t="str">
            <v>Acq_UR</v>
          </cell>
          <cell r="B22">
            <v>0</v>
          </cell>
          <cell r="C22">
            <v>15311.903572352236</v>
          </cell>
          <cell r="D22">
            <v>92.804244895154866</v>
          </cell>
          <cell r="E22">
            <v>0</v>
          </cell>
          <cell r="F22">
            <v>0</v>
          </cell>
          <cell r="G22">
            <v>7733687.0745962383</v>
          </cell>
          <cell r="H22">
            <v>505</v>
          </cell>
          <cell r="I22">
            <v>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tint="0.499984740745262"/>
    <pageSetUpPr fitToPage="1"/>
  </sheetPr>
  <dimension ref="A1:Y89"/>
  <sheetViews>
    <sheetView tabSelected="1" workbookViewId="0">
      <pane xSplit="2" ySplit="2" topLeftCell="C3" activePane="bottomRight" state="frozen"/>
      <selection activeCell="B25" sqref="B25"/>
      <selection pane="topRight" activeCell="B25" sqref="B25"/>
      <selection pane="bottomLeft" activeCell="B25" sqref="B25"/>
      <selection pane="bottomRight" activeCell="C3" sqref="C3"/>
    </sheetView>
  </sheetViews>
  <sheetFormatPr defaultRowHeight="12.75" x14ac:dyDescent="0.2"/>
  <cols>
    <col min="1" max="1" width="18.42578125" bestFit="1" customWidth="1"/>
    <col min="2" max="2" width="13" customWidth="1"/>
    <col min="3" max="3" width="12.5703125" customWidth="1"/>
    <col min="4" max="4" width="11.140625" customWidth="1"/>
    <col min="6" max="6" width="12.140625" customWidth="1"/>
    <col min="7" max="7" width="9.42578125" style="153" bestFit="1" customWidth="1"/>
    <col min="8" max="8" width="10.7109375" style="153" customWidth="1"/>
    <col min="9" max="9" width="9.42578125" style="153" bestFit="1" customWidth="1"/>
    <col min="10" max="10" width="9.5703125" style="153" customWidth="1"/>
    <col min="11" max="11" width="9.7109375" style="153" bestFit="1" customWidth="1"/>
    <col min="12" max="12" width="9.85546875" style="153" customWidth="1"/>
    <col min="13" max="13" width="9.42578125" style="153" bestFit="1" customWidth="1"/>
    <col min="14" max="14" width="9.85546875" style="153" bestFit="1" customWidth="1"/>
    <col min="15" max="15" width="8.42578125" style="153" bestFit="1" customWidth="1"/>
    <col min="16" max="16" width="9.5703125" style="153" bestFit="1" customWidth="1"/>
    <col min="17" max="18" width="10" customWidth="1"/>
    <col min="19" max="20" width="11" customWidth="1"/>
    <col min="21" max="21" width="11.140625" bestFit="1" customWidth="1"/>
    <col min="22" max="22" width="9.5703125" bestFit="1" customWidth="1"/>
    <col min="23" max="23" width="10.5703125" bestFit="1" customWidth="1"/>
    <col min="24" max="24" width="9.5703125" customWidth="1"/>
    <col min="25" max="25" width="9.5703125" bestFit="1" customWidth="1"/>
    <col min="26" max="26" width="11" customWidth="1"/>
    <col min="27" max="27" width="10.28515625" customWidth="1"/>
    <col min="28" max="28" width="10.7109375" customWidth="1"/>
  </cols>
  <sheetData>
    <row r="1" spans="1:25" x14ac:dyDescent="0.2">
      <c r="A1" s="9">
        <v>1</v>
      </c>
      <c r="B1" s="9">
        <v>2</v>
      </c>
      <c r="C1" s="9">
        <v>3</v>
      </c>
      <c r="D1" s="9">
        <v>4</v>
      </c>
      <c r="E1" s="9">
        <v>5</v>
      </c>
      <c r="F1" s="9">
        <v>6</v>
      </c>
      <c r="G1" s="152">
        <v>7</v>
      </c>
      <c r="H1" s="152">
        <v>8</v>
      </c>
      <c r="I1" s="152">
        <v>9</v>
      </c>
      <c r="J1" s="152">
        <v>10</v>
      </c>
      <c r="K1" s="152">
        <v>11</v>
      </c>
      <c r="L1" s="152">
        <v>12</v>
      </c>
      <c r="M1" s="152">
        <v>13</v>
      </c>
      <c r="N1" s="152">
        <v>14</v>
      </c>
      <c r="O1" s="152">
        <v>15</v>
      </c>
      <c r="P1" s="152">
        <v>16</v>
      </c>
      <c r="Q1" s="9">
        <v>17</v>
      </c>
      <c r="R1" s="9">
        <v>18</v>
      </c>
      <c r="S1" s="9">
        <v>19</v>
      </c>
      <c r="T1" s="9">
        <v>20</v>
      </c>
      <c r="U1" s="9">
        <v>21</v>
      </c>
      <c r="V1" s="9">
        <v>22</v>
      </c>
      <c r="W1" s="9">
        <v>23</v>
      </c>
      <c r="X1" s="9">
        <v>24</v>
      </c>
      <c r="Y1" s="9">
        <v>25</v>
      </c>
    </row>
    <row r="2" spans="1:25" s="12" customFormat="1" ht="89.25" x14ac:dyDescent="0.2">
      <c r="A2" s="10" t="s">
        <v>13</v>
      </c>
      <c r="B2" s="10" t="s">
        <v>14</v>
      </c>
      <c r="C2" s="10" t="s">
        <v>62</v>
      </c>
      <c r="D2" s="10" t="s">
        <v>15</v>
      </c>
      <c r="E2" s="10" t="s">
        <v>71</v>
      </c>
      <c r="F2" s="11" t="s">
        <v>17</v>
      </c>
      <c r="G2" s="11" t="s">
        <v>54</v>
      </c>
      <c r="H2" s="11" t="s">
        <v>53</v>
      </c>
      <c r="I2" s="11" t="s">
        <v>52</v>
      </c>
      <c r="J2" s="11" t="s">
        <v>51</v>
      </c>
      <c r="K2" s="11" t="s">
        <v>94</v>
      </c>
      <c r="L2" s="11" t="s">
        <v>100</v>
      </c>
      <c r="M2" s="11" t="s">
        <v>88</v>
      </c>
      <c r="N2" s="11" t="s">
        <v>89</v>
      </c>
      <c r="O2" s="11" t="s">
        <v>58</v>
      </c>
      <c r="P2" s="11" t="s">
        <v>59</v>
      </c>
      <c r="Q2" s="151" t="s">
        <v>55</v>
      </c>
      <c r="R2" s="11" t="s">
        <v>52</v>
      </c>
      <c r="S2" s="151" t="s">
        <v>57</v>
      </c>
      <c r="T2" s="156" t="s">
        <v>98</v>
      </c>
      <c r="U2" s="151" t="s">
        <v>99</v>
      </c>
      <c r="V2" s="151" t="s">
        <v>87</v>
      </c>
      <c r="W2" s="151" t="s">
        <v>86</v>
      </c>
      <c r="X2" s="151" t="s">
        <v>56</v>
      </c>
      <c r="Y2" s="151" t="s">
        <v>97</v>
      </c>
    </row>
    <row r="3" spans="1:25" x14ac:dyDescent="0.2">
      <c r="A3" s="6" t="s">
        <v>0</v>
      </c>
      <c r="B3" s="127">
        <v>1.0569999999999999</v>
      </c>
      <c r="C3" s="7">
        <v>750</v>
      </c>
      <c r="D3" s="7">
        <v>600</v>
      </c>
      <c r="E3" s="2"/>
      <c r="F3" s="4" t="s">
        <v>18</v>
      </c>
      <c r="G3" s="122">
        <f>VLOOKUP(A3,'[1]Data for Bill Impacts'!$A$2:$Y$15,17,FALSE)</f>
        <v>31.3</v>
      </c>
      <c r="H3" s="78"/>
      <c r="I3" s="78">
        <v>0.79</v>
      </c>
      <c r="J3" s="126">
        <f>VLOOKUP(A3,'[1]Data for Bill Impacts'!$A$3:$Y$15,19,FALSE)</f>
        <v>4.7000000000000002E-3</v>
      </c>
      <c r="K3" s="122"/>
      <c r="L3" s="126"/>
      <c r="M3" s="122">
        <f>VLOOKUP(A3,'[1]Data for Bill Impacts'!$A$3:$Y$15,22,FALSE)</f>
        <v>0.01</v>
      </c>
      <c r="N3" s="126">
        <f>VLOOKUP(A3,'[1]Data for Bill Impacts'!$A$3:$Y$15,23,FALSE)</f>
        <v>2.0000000000000001E-4</v>
      </c>
      <c r="O3" s="126">
        <f>VLOOKUP(A3,'[1]Data for Bill Impacts'!$A$3:$Y$15,24,FALSE)</f>
        <v>7.8279999999999999E-3</v>
      </c>
      <c r="P3" s="126">
        <f>VLOOKUP(A3,'[1]Data for Bill Impacts'!$A$3:$Y$15,25,FALSE)</f>
        <v>6.4380000000000001E-3</v>
      </c>
      <c r="Q3" s="3">
        <f>ROUND(VLOOKUP(A3,'[2]Rate Design'!$T$8:$Z$20,2,0),2)</f>
        <v>35.880000000000003</v>
      </c>
      <c r="R3" s="78">
        <v>0.79</v>
      </c>
      <c r="S3" s="100">
        <f>ROUND(VLOOKUP(A3,'[2]Rate Design'!$T$8:$Z$20,5,0)/100,4)</f>
        <v>0</v>
      </c>
      <c r="T3" s="126">
        <f>VLOOKUP(A3,'[1]Data for Bill Impacts'!$A$3:$Y$15,21,FALSE)</f>
        <v>0</v>
      </c>
      <c r="U3" s="157">
        <f>T3</f>
        <v>0</v>
      </c>
      <c r="V3" s="173">
        <f>M3</f>
        <v>0.01</v>
      </c>
      <c r="W3" s="126">
        <f>N3</f>
        <v>2.0000000000000001E-4</v>
      </c>
      <c r="X3" s="126">
        <f>O3</f>
        <v>7.8279999999999999E-3</v>
      </c>
      <c r="Y3" s="126">
        <f>P3</f>
        <v>6.4380000000000001E-3</v>
      </c>
    </row>
    <row r="4" spans="1:25" x14ac:dyDescent="0.2">
      <c r="A4" s="6" t="s">
        <v>1</v>
      </c>
      <c r="B4" s="127">
        <v>1.0760000000000001</v>
      </c>
      <c r="C4" s="7">
        <v>750</v>
      </c>
      <c r="D4" s="7">
        <v>600</v>
      </c>
      <c r="E4" s="2"/>
      <c r="F4" s="4" t="s">
        <v>18</v>
      </c>
      <c r="G4" s="122">
        <f>VLOOKUP(A4,'[1]Data for Bill Impacts'!$A$2:$Y$15,17,FALSE)</f>
        <v>42.25</v>
      </c>
      <c r="H4" s="78"/>
      <c r="I4" s="78">
        <v>0.79</v>
      </c>
      <c r="J4" s="126">
        <f>VLOOKUP(A4,'[1]Data for Bill Impacts'!$A$3:$Y$15,19,FALSE)</f>
        <v>1.9400000000000001E-2</v>
      </c>
      <c r="K4" s="122"/>
      <c r="L4" s="126"/>
      <c r="M4" s="122">
        <f>VLOOKUP(A4,'[1]Data for Bill Impacts'!$A$3:$Y$15,22,FALSE)</f>
        <v>0</v>
      </c>
      <c r="N4" s="126">
        <f>VLOOKUP(A4,'[1]Data for Bill Impacts'!$A$3:$Y$15,23,FALSE)</f>
        <v>2.0000000000000001E-4</v>
      </c>
      <c r="O4" s="126">
        <f>VLOOKUP(A4,'[1]Data for Bill Impacts'!$A$3:$Y$15,24,FALSE)</f>
        <v>7.2069999999999999E-3</v>
      </c>
      <c r="P4" s="126">
        <f>VLOOKUP(A4,'[1]Data for Bill Impacts'!$A$3:$Y$15,25,FALSE)</f>
        <v>6.0319999999999992E-3</v>
      </c>
      <c r="Q4" s="3">
        <f>ROUND(VLOOKUP(A4,'[2]Rate Design'!$T$8:$Z$20,2,0),2)</f>
        <v>47.11</v>
      </c>
      <c r="R4" s="78">
        <v>0.79</v>
      </c>
      <c r="S4" s="100">
        <f>ROUND(VLOOKUP(A4,'[2]Rate Design'!$T$8:$Z$20,5,0)/100,4)</f>
        <v>1.6E-2</v>
      </c>
      <c r="T4" s="126">
        <f>VLOOKUP(A4,'[1]Data for Bill Impacts'!$A$3:$Y$15,21,FALSE)</f>
        <v>0</v>
      </c>
      <c r="U4" s="157">
        <f t="shared" ref="U4:U15" si="0">T4</f>
        <v>0</v>
      </c>
      <c r="V4" s="173">
        <f t="shared" ref="V4:V15" si="1">M4</f>
        <v>0</v>
      </c>
      <c r="W4" s="126">
        <f t="shared" ref="W4:W15" si="2">N4</f>
        <v>2.0000000000000001E-4</v>
      </c>
      <c r="X4" s="126">
        <f t="shared" ref="X4:X15" si="3">O4</f>
        <v>7.2069999999999999E-3</v>
      </c>
      <c r="Y4" s="126">
        <f t="shared" ref="Y4:Y15" si="4">P4</f>
        <v>6.0319999999999992E-3</v>
      </c>
    </row>
    <row r="5" spans="1:25" x14ac:dyDescent="0.2">
      <c r="A5" s="6" t="s">
        <v>2</v>
      </c>
      <c r="B5" s="127">
        <v>1.105</v>
      </c>
      <c r="C5" s="7">
        <v>750</v>
      </c>
      <c r="D5" s="7">
        <v>600</v>
      </c>
      <c r="E5" s="2"/>
      <c r="F5" s="4" t="s">
        <v>18</v>
      </c>
      <c r="G5" s="122">
        <f>VLOOKUP(A5,'[1]Data for Bill Impacts'!$A$2:$Y$15,17,FALSE)</f>
        <v>34.219678307903934</v>
      </c>
      <c r="H5" s="78"/>
      <c r="I5" s="78">
        <v>0.79</v>
      </c>
      <c r="J5" s="126">
        <f>VLOOKUP(A5,'[1]Data for Bill Impacts'!$A$3:$Y$15,19,FALSE)</f>
        <v>3.2199999999999999E-2</v>
      </c>
      <c r="K5" s="122"/>
      <c r="L5" s="126"/>
      <c r="M5" s="122">
        <f>VLOOKUP(A5,'[1]Data for Bill Impacts'!$A$3:$Y$15,22,FALSE)</f>
        <v>-0.02</v>
      </c>
      <c r="N5" s="126">
        <f>VLOOKUP(A5,'[1]Data for Bill Impacts'!$A$3:$Y$15,23,FALSE)</f>
        <v>2.0000000000000001E-4</v>
      </c>
      <c r="O5" s="126">
        <f>VLOOKUP(A5,'[1]Data for Bill Impacts'!$A$3:$Y$15,24,FALSE)</f>
        <v>6.7400000000000003E-3</v>
      </c>
      <c r="P5" s="126">
        <f>VLOOKUP(A5,'[1]Data for Bill Impacts'!$A$3:$Y$15,25,FALSE)</f>
        <v>5.6299999999999996E-3</v>
      </c>
      <c r="Q5" s="3">
        <f>ROUND(VLOOKUP(A5,'[2]Rate Design'!$T$8:$Z$20,2,0),2)-[3]Sheet1!D7</f>
        <v>44.23967830790393</v>
      </c>
      <c r="R5" s="78">
        <v>0.79</v>
      </c>
      <c r="S5" s="100">
        <f>ROUND(VLOOKUP(A5,'[2]Rate Design'!$T$8:$Z$20,5,0)/100,4)</f>
        <v>2.6800000000000001E-2</v>
      </c>
      <c r="T5" s="126">
        <f>VLOOKUP(A5,'[1]Data for Bill Impacts'!$A$3:$Y$15,21,FALSE)</f>
        <v>0</v>
      </c>
      <c r="U5" s="157">
        <f t="shared" si="0"/>
        <v>0</v>
      </c>
      <c r="V5" s="173">
        <f t="shared" si="1"/>
        <v>-0.02</v>
      </c>
      <c r="W5" s="126">
        <f t="shared" si="2"/>
        <v>2.0000000000000001E-4</v>
      </c>
      <c r="X5" s="126">
        <f t="shared" si="3"/>
        <v>6.7400000000000003E-3</v>
      </c>
      <c r="Y5" s="126">
        <f t="shared" si="4"/>
        <v>5.6299999999999996E-3</v>
      </c>
    </row>
    <row r="6" spans="1:25" x14ac:dyDescent="0.2">
      <c r="A6" s="6" t="s">
        <v>3</v>
      </c>
      <c r="B6" s="127">
        <v>1.1040000000000001</v>
      </c>
      <c r="C6" s="7">
        <v>500</v>
      </c>
      <c r="D6" s="7">
        <v>600</v>
      </c>
      <c r="E6" s="2"/>
      <c r="F6" s="4" t="s">
        <v>18</v>
      </c>
      <c r="G6" s="122">
        <f>VLOOKUP(A6,'[1]Data for Bill Impacts'!$A$2:$Y$15,17,FALSE)</f>
        <v>45.14</v>
      </c>
      <c r="H6" s="78"/>
      <c r="I6" s="78">
        <v>0.79</v>
      </c>
      <c r="J6" s="126">
        <f>VLOOKUP(A6,'[1]Data for Bill Impacts'!$A$3:$Y$15,19,FALSE)</f>
        <v>5.2999999999999999E-2</v>
      </c>
      <c r="K6" s="122"/>
      <c r="L6" s="126"/>
      <c r="M6" s="122">
        <f>VLOOKUP(A6,'[1]Data for Bill Impacts'!$A$3:$Y$15,22,FALSE)</f>
        <v>0</v>
      </c>
      <c r="N6" s="126">
        <f>VLOOKUP(A6,'[1]Data for Bill Impacts'!$A$3:$Y$15,23,FALSE)</f>
        <v>2.0000000000000001E-4</v>
      </c>
      <c r="O6" s="126">
        <f>VLOOKUP(A6,'[1]Data for Bill Impacts'!$A$3:$Y$15,24,FALSE)</f>
        <v>5.6559999999999996E-3</v>
      </c>
      <c r="P6" s="126">
        <f>VLOOKUP(A6,'[1]Data for Bill Impacts'!$A$3:$Y$15,25,FALSE)</f>
        <v>4.8209999999999998E-3</v>
      </c>
      <c r="Q6" s="3">
        <f>ROUND(VLOOKUP(A6,'[2]Rate Design'!$T$8:$Z$20,2,0),2)</f>
        <v>50.12</v>
      </c>
      <c r="R6" s="78">
        <v>0.79</v>
      </c>
      <c r="S6" s="100">
        <f>ROUND(VLOOKUP(A6,'[2]Rate Design'!$T$8:$Z$20,5,0)/100,4)</f>
        <v>4.3900000000000002E-2</v>
      </c>
      <c r="T6" s="126">
        <f>VLOOKUP(A6,'[1]Data for Bill Impacts'!$A$3:$Y$15,21,FALSE)</f>
        <v>0</v>
      </c>
      <c r="U6" s="157">
        <f t="shared" si="0"/>
        <v>0</v>
      </c>
      <c r="V6" s="173">
        <f t="shared" si="1"/>
        <v>0</v>
      </c>
      <c r="W6" s="126">
        <f t="shared" si="2"/>
        <v>2.0000000000000001E-4</v>
      </c>
      <c r="X6" s="126">
        <f t="shared" si="3"/>
        <v>5.6559999999999996E-3</v>
      </c>
      <c r="Y6" s="126">
        <f t="shared" si="4"/>
        <v>4.8209999999999998E-3</v>
      </c>
    </row>
    <row r="7" spans="1:25" x14ac:dyDescent="0.2">
      <c r="A7" s="6" t="s">
        <v>4</v>
      </c>
      <c r="B7" s="127">
        <v>1.0960000000000001</v>
      </c>
      <c r="C7" s="7">
        <v>2000</v>
      </c>
      <c r="D7" s="7">
        <v>750</v>
      </c>
      <c r="E7" s="2"/>
      <c r="F7" s="4" t="s">
        <v>18</v>
      </c>
      <c r="G7" s="122">
        <f>VLOOKUP(A7,'[1]Data for Bill Impacts'!$A$2:$Y$15,17,FALSE)</f>
        <v>30.26</v>
      </c>
      <c r="H7" s="78"/>
      <c r="I7" s="78">
        <v>0.79</v>
      </c>
      <c r="J7" s="126">
        <f>VLOOKUP(A7,'[1]Data for Bill Impacts'!$A$3:$Y$15,19,FALSE)</f>
        <v>6.1400000000000003E-2</v>
      </c>
      <c r="K7" s="122"/>
      <c r="L7" s="126"/>
      <c r="M7" s="122">
        <f>VLOOKUP(A7,'[1]Data for Bill Impacts'!$A$3:$Y$15,22,FALSE)</f>
        <v>0</v>
      </c>
      <c r="N7" s="126">
        <f>VLOOKUP(A7,'[1]Data for Bill Impacts'!$A$3:$Y$15,23,FALSE)</f>
        <v>2.0000000000000001E-4</v>
      </c>
      <c r="O7" s="126">
        <f>VLOOKUP(A7,'[1]Data for Bill Impacts'!$A$3:$Y$15,24,FALSE)</f>
        <v>5.6930000000000001E-3</v>
      </c>
      <c r="P7" s="126">
        <f>VLOOKUP(A7,'[1]Data for Bill Impacts'!$A$3:$Y$15,25,FALSE)</f>
        <v>4.4740000000000005E-3</v>
      </c>
      <c r="Q7" s="3">
        <f>ROUND(VLOOKUP(A7,'[2]Rate Design'!$T$8:$Z$20,2,0),2)</f>
        <v>30.91</v>
      </c>
      <c r="R7" s="78">
        <v>0.79</v>
      </c>
      <c r="S7" s="100">
        <f>ROUND(VLOOKUP(A7,'[2]Rate Design'!$T$8:$Z$20,5,0)/100,4)</f>
        <v>6.3399999999999998E-2</v>
      </c>
      <c r="T7" s="126">
        <f>VLOOKUP(A7,'[1]Data for Bill Impacts'!$A$3:$Y$15,21,FALSE)</f>
        <v>1.9E-3</v>
      </c>
      <c r="U7" s="126">
        <f t="shared" si="0"/>
        <v>1.9E-3</v>
      </c>
      <c r="V7" s="173">
        <f t="shared" si="1"/>
        <v>0</v>
      </c>
      <c r="W7" s="126">
        <f t="shared" si="2"/>
        <v>2.0000000000000001E-4</v>
      </c>
      <c r="X7" s="126">
        <f t="shared" si="3"/>
        <v>5.6930000000000001E-3</v>
      </c>
      <c r="Y7" s="126">
        <f t="shared" si="4"/>
        <v>4.4740000000000005E-3</v>
      </c>
    </row>
    <row r="8" spans="1:25" x14ac:dyDescent="0.2">
      <c r="A8" s="6" t="s">
        <v>6</v>
      </c>
      <c r="B8" s="127">
        <v>1.0669999999999999</v>
      </c>
      <c r="C8" s="7">
        <v>2000</v>
      </c>
      <c r="D8" s="7">
        <v>750</v>
      </c>
      <c r="E8" s="2"/>
      <c r="F8" s="4" t="s">
        <v>18</v>
      </c>
      <c r="G8" s="122">
        <f>VLOOKUP(A8,'[1]Data for Bill Impacts'!$A$2:$Y$15,17,FALSE)</f>
        <v>24.52</v>
      </c>
      <c r="H8" s="78"/>
      <c r="I8" s="78">
        <v>0.79</v>
      </c>
      <c r="J8" s="126">
        <f>VLOOKUP(A8,'[1]Data for Bill Impacts'!$A$3:$Y$15,19,FALSE)</f>
        <v>2.9000000000000001E-2</v>
      </c>
      <c r="K8" s="122"/>
      <c r="L8" s="126"/>
      <c r="M8" s="122">
        <f>VLOOKUP(A8,'[1]Data for Bill Impacts'!$A$3:$Y$15,22,FALSE)</f>
        <v>0.01</v>
      </c>
      <c r="N8" s="126">
        <f>VLOOKUP(A8,'[1]Data for Bill Impacts'!$A$3:$Y$15,23,FALSE)</f>
        <v>2.0000000000000001E-4</v>
      </c>
      <c r="O8" s="126">
        <f>VLOOKUP(A8,'[1]Data for Bill Impacts'!$A$3:$Y$15,24,FALSE)</f>
        <v>6.1060000000000003E-3</v>
      </c>
      <c r="P8" s="126">
        <f>VLOOKUP(A8,'[1]Data for Bill Impacts'!$A$3:$Y$15,25,FALSE)</f>
        <v>4.6519999999999999E-3</v>
      </c>
      <c r="Q8" s="3">
        <f>ROUND(VLOOKUP(A8,'[2]Rate Design'!$T$8:$Z$20,2,0),2)</f>
        <v>25.11</v>
      </c>
      <c r="R8" s="78">
        <v>0.79</v>
      </c>
      <c r="S8" s="100">
        <f>ROUND(VLOOKUP(A8,'[2]Rate Design'!$T$8:$Z$20,5,0)/100,4)</f>
        <v>0.03</v>
      </c>
      <c r="T8" s="126">
        <f>VLOOKUP(A8,'[1]Data for Bill Impacts'!$A$3:$Y$15,21,FALSE)</f>
        <v>1.9E-3</v>
      </c>
      <c r="U8" s="126">
        <f t="shared" si="0"/>
        <v>1.9E-3</v>
      </c>
      <c r="V8" s="173">
        <f t="shared" si="1"/>
        <v>0.01</v>
      </c>
      <c r="W8" s="126">
        <f t="shared" si="2"/>
        <v>2.0000000000000001E-4</v>
      </c>
      <c r="X8" s="126">
        <f t="shared" si="3"/>
        <v>6.1060000000000003E-3</v>
      </c>
      <c r="Y8" s="126">
        <f t="shared" si="4"/>
        <v>4.6519999999999999E-3</v>
      </c>
    </row>
    <row r="9" spans="1:25" x14ac:dyDescent="0.2">
      <c r="A9" s="6" t="s">
        <v>8</v>
      </c>
      <c r="B9" s="127">
        <v>1.0920000000000001</v>
      </c>
      <c r="C9" s="7">
        <v>1440</v>
      </c>
      <c r="D9" s="7">
        <v>750</v>
      </c>
      <c r="E9" s="2"/>
      <c r="F9" s="4" t="s">
        <v>18</v>
      </c>
      <c r="G9" s="122">
        <f>VLOOKUP(A9,'[1]Data for Bill Impacts'!$A$2:$Y$15,17,FALSE)</f>
        <v>4.21</v>
      </c>
      <c r="H9" s="78"/>
      <c r="I9" s="78">
        <v>0</v>
      </c>
      <c r="J9" s="126">
        <f>VLOOKUP(A9,'[1]Data for Bill Impacts'!$A$3:$Y$15,19,FALSE)</f>
        <v>0.1013</v>
      </c>
      <c r="K9" s="122"/>
      <c r="L9" s="126"/>
      <c r="M9" s="122">
        <f>VLOOKUP(A9,'[1]Data for Bill Impacts'!$A$3:$Y$15,22,FALSE)</f>
        <v>0</v>
      </c>
      <c r="N9" s="126">
        <f>VLOOKUP(A9,'[1]Data for Bill Impacts'!$A$3:$Y$15,23,FALSE)</f>
        <v>2.0000000000000001E-4</v>
      </c>
      <c r="O9" s="126">
        <f>VLOOKUP(A9,'[1]Data for Bill Impacts'!$A$3:$Y$15,24,FALSE)</f>
        <v>4.6979999999999999E-3</v>
      </c>
      <c r="P9" s="126">
        <f>VLOOKUP(A9,'[1]Data for Bill Impacts'!$A$3:$Y$15,25,FALSE)</f>
        <v>4.2899999999999995E-3</v>
      </c>
      <c r="Q9" s="3">
        <f>ROUND(VLOOKUP(A9,'[2]Rate Design'!$T$8:$Z$20,2,0),2)</f>
        <v>4.33</v>
      </c>
      <c r="R9" s="78">
        <v>0</v>
      </c>
      <c r="S9" s="100">
        <f>ROUND(VLOOKUP(A9,'[2]Rate Design'!$T$8:$Z$20,5,0)/100,4)</f>
        <v>0.10440000000000001</v>
      </c>
      <c r="T9" s="126">
        <f>VLOOKUP(A9,'[1]Data for Bill Impacts'!$A$3:$Y$15,21,FALSE)</f>
        <v>0</v>
      </c>
      <c r="U9" s="126">
        <f t="shared" si="0"/>
        <v>0</v>
      </c>
      <c r="V9" s="173">
        <f t="shared" si="1"/>
        <v>0</v>
      </c>
      <c r="W9" s="126">
        <f t="shared" si="2"/>
        <v>2.0000000000000001E-4</v>
      </c>
      <c r="X9" s="126">
        <f t="shared" si="3"/>
        <v>4.6979999999999999E-3</v>
      </c>
      <c r="Y9" s="126">
        <f t="shared" si="4"/>
        <v>4.2899999999999995E-3</v>
      </c>
    </row>
    <row r="10" spans="1:25" x14ac:dyDescent="0.2">
      <c r="A10" s="6" t="s">
        <v>9</v>
      </c>
      <c r="B10" s="127">
        <v>1.0920000000000001</v>
      </c>
      <c r="C10" s="7">
        <v>62</v>
      </c>
      <c r="D10" s="7">
        <v>750</v>
      </c>
      <c r="E10" s="2"/>
      <c r="F10" s="4" t="s">
        <v>18</v>
      </c>
      <c r="G10" s="122">
        <f>VLOOKUP(A10,'[1]Data for Bill Impacts'!$A$2:$Y$15,17,FALSE)</f>
        <v>3.26</v>
      </c>
      <c r="H10" s="78"/>
      <c r="I10" s="78">
        <v>0</v>
      </c>
      <c r="J10" s="126">
        <f>VLOOKUP(A10,'[1]Data for Bill Impacts'!$A$3:$Y$15,19,FALSE)</f>
        <v>0.1239</v>
      </c>
      <c r="K10" s="122"/>
      <c r="L10" s="126"/>
      <c r="M10" s="122">
        <f>VLOOKUP(A10,'[1]Data for Bill Impacts'!$A$3:$Y$15,22,FALSE)</f>
        <v>0</v>
      </c>
      <c r="N10" s="126">
        <f>VLOOKUP(A10,'[1]Data for Bill Impacts'!$A$3:$Y$15,23,FALSE)</f>
        <v>1E-4</v>
      </c>
      <c r="O10" s="126">
        <f>VLOOKUP(A10,'[1]Data for Bill Impacts'!$A$3:$Y$15,24,FALSE)</f>
        <v>4.6979999999999999E-3</v>
      </c>
      <c r="P10" s="126">
        <f>VLOOKUP(A10,'[1]Data for Bill Impacts'!$A$3:$Y$15,25,FALSE)</f>
        <v>4.2899999999999995E-3</v>
      </c>
      <c r="Q10" s="3">
        <f>ROUND(VLOOKUP(A10,'[2]Rate Design'!$T$8:$Z$20,2,0),2)</f>
        <v>3.45</v>
      </c>
      <c r="R10" s="78">
        <v>0</v>
      </c>
      <c r="S10" s="100">
        <f>ROUND(VLOOKUP(A10,'[2]Rate Design'!$T$8:$Z$20,5,0)/100,4)</f>
        <v>0.13120000000000001</v>
      </c>
      <c r="T10" s="126">
        <f>VLOOKUP(A10,'[1]Data for Bill Impacts'!$A$3:$Y$15,21,FALSE)</f>
        <v>0</v>
      </c>
      <c r="U10" s="126">
        <f t="shared" si="0"/>
        <v>0</v>
      </c>
      <c r="V10" s="173">
        <f t="shared" si="1"/>
        <v>0</v>
      </c>
      <c r="W10" s="126">
        <f t="shared" si="2"/>
        <v>1E-4</v>
      </c>
      <c r="X10" s="126">
        <f t="shared" si="3"/>
        <v>4.6979999999999999E-3</v>
      </c>
      <c r="Y10" s="126">
        <f t="shared" si="4"/>
        <v>4.2899999999999995E-3</v>
      </c>
    </row>
    <row r="11" spans="1:25" x14ac:dyDescent="0.2">
      <c r="A11" s="8" t="s">
        <v>12</v>
      </c>
      <c r="B11" s="127">
        <v>1.0920000000000001</v>
      </c>
      <c r="C11" s="7">
        <v>500</v>
      </c>
      <c r="D11" s="7">
        <v>750</v>
      </c>
      <c r="E11" s="2"/>
      <c r="F11" s="4" t="s">
        <v>18</v>
      </c>
      <c r="G11" s="122">
        <f>VLOOKUP(A11,'[1]Data for Bill Impacts'!$A$2:$Y$15,17,FALSE)</f>
        <v>35.76</v>
      </c>
      <c r="H11" s="78"/>
      <c r="I11" s="78">
        <v>0</v>
      </c>
      <c r="J11" s="126">
        <f>VLOOKUP(A11,'[1]Data for Bill Impacts'!$A$3:$Y$15,19,FALSE)</f>
        <v>2.93E-2</v>
      </c>
      <c r="K11" s="122"/>
      <c r="L11" s="126"/>
      <c r="M11" s="122">
        <f>VLOOKUP(A11,'[1]Data for Bill Impacts'!$A$3:$Y$15,22,FALSE)</f>
        <v>-0.01</v>
      </c>
      <c r="N11" s="126">
        <f>VLOOKUP(A11,'[1]Data for Bill Impacts'!$A$3:$Y$15,23,FALSE)</f>
        <v>2.0000000000000001E-4</v>
      </c>
      <c r="O11" s="126">
        <f>VLOOKUP(A11,'[1]Data for Bill Impacts'!$A$3:$Y$15,24,FALSE)</f>
        <v>4.7699999999999999E-3</v>
      </c>
      <c r="P11" s="126">
        <f>VLOOKUP(A11,'[1]Data for Bill Impacts'!$A$3:$Y$15,25,FALSE)</f>
        <v>3.7950000000000002E-3</v>
      </c>
      <c r="Q11" s="3">
        <f>ROUND(VLOOKUP(A11,'[2]Rate Design'!$T$8:$Z$20,2,0),2)</f>
        <v>36.880000000000003</v>
      </c>
      <c r="R11" s="78">
        <v>0</v>
      </c>
      <c r="S11" s="100">
        <f>ROUND(VLOOKUP(A11,'[2]Rate Design'!$T$8:$Z$20,5,0)/100,4)</f>
        <v>0.03</v>
      </c>
      <c r="T11" s="126">
        <f>VLOOKUP(A11,'[1]Data for Bill Impacts'!$A$3:$Y$15,21,FALSE)</f>
        <v>0</v>
      </c>
      <c r="U11" s="126">
        <f t="shared" si="0"/>
        <v>0</v>
      </c>
      <c r="V11" s="173">
        <f t="shared" si="1"/>
        <v>-0.01</v>
      </c>
      <c r="W11" s="126">
        <f t="shared" si="2"/>
        <v>2.0000000000000001E-4</v>
      </c>
      <c r="X11" s="126">
        <f t="shared" si="3"/>
        <v>4.7699999999999999E-3</v>
      </c>
      <c r="Y11" s="126">
        <f t="shared" si="4"/>
        <v>3.7950000000000002E-3</v>
      </c>
    </row>
    <row r="12" spans="1:25" x14ac:dyDescent="0.2">
      <c r="A12" s="6" t="s">
        <v>5</v>
      </c>
      <c r="B12" s="127">
        <v>1.0609999999999999</v>
      </c>
      <c r="C12" s="7">
        <v>36000</v>
      </c>
      <c r="D12" s="7">
        <v>0</v>
      </c>
      <c r="E12" s="2">
        <v>117</v>
      </c>
      <c r="F12" s="4" t="s">
        <v>19</v>
      </c>
      <c r="G12" s="122">
        <f>VLOOKUP(A12,'[1]Data for Bill Impacts'!$A$2:$Y$15,17,FALSE)</f>
        <v>104.42</v>
      </c>
      <c r="H12" s="78"/>
      <c r="I12" s="78">
        <v>0</v>
      </c>
      <c r="J12" s="126">
        <f>VLOOKUP(A12,'[1]Data for Bill Impacts'!$A$3:$Y$15,19,FALSE)</f>
        <v>17.353200000000001</v>
      </c>
      <c r="K12" s="122"/>
      <c r="L12" s="126"/>
      <c r="M12" s="122">
        <f>VLOOKUP(A12,'[1]Data for Bill Impacts'!$A$3:$Y$15,22,FALSE)</f>
        <v>-0.02</v>
      </c>
      <c r="N12" s="126">
        <f>VLOOKUP(A12,'[1]Data for Bill Impacts'!$A$3:$Y$15,23,FALSE)</f>
        <v>4.7E-2</v>
      </c>
      <c r="O12" s="126">
        <f>VLOOKUP(A12,'[1]Data for Bill Impacts'!$A$3:$Y$15,24,FALSE)</f>
        <v>1.6718177000000001</v>
      </c>
      <c r="P12" s="126">
        <f>VLOOKUP(A12,'[1]Data for Bill Impacts'!$A$3:$Y$15,25,FALSE)</f>
        <v>1.2769135</v>
      </c>
      <c r="Q12" s="3">
        <f>ROUND(VLOOKUP(A12,'[2]Rate Design'!$T$8:$Z$20,2,0),2)</f>
        <v>106.28</v>
      </c>
      <c r="R12" s="78">
        <v>0</v>
      </c>
      <c r="S12" s="100">
        <f>ROUND(VLOOKUP(A12,'[2]Rate Design'!$T$8:$Z$20,6,0),4)</f>
        <v>17.8734</v>
      </c>
      <c r="T12" s="126">
        <f>VLOOKUP(A12,'[1]Data for Bill Impacts'!$A$3:$Y$15,21,FALSE)</f>
        <v>1.9E-3</v>
      </c>
      <c r="U12" s="126">
        <f t="shared" si="0"/>
        <v>1.9E-3</v>
      </c>
      <c r="V12" s="173">
        <f t="shared" si="1"/>
        <v>-0.02</v>
      </c>
      <c r="W12" s="126">
        <f t="shared" si="2"/>
        <v>4.7E-2</v>
      </c>
      <c r="X12" s="126">
        <f t="shared" si="3"/>
        <v>1.6718177000000001</v>
      </c>
      <c r="Y12" s="126">
        <f t="shared" si="4"/>
        <v>1.2769135</v>
      </c>
    </row>
    <row r="13" spans="1:25" x14ac:dyDescent="0.2">
      <c r="A13" s="6" t="s">
        <v>7</v>
      </c>
      <c r="B13" s="127">
        <v>1.05</v>
      </c>
      <c r="C13" s="7">
        <v>36000</v>
      </c>
      <c r="D13" s="7">
        <v>0</v>
      </c>
      <c r="E13" s="2">
        <v>117</v>
      </c>
      <c r="F13" s="4" t="s">
        <v>19</v>
      </c>
      <c r="G13" s="122">
        <f>VLOOKUP(A13,'[1]Data for Bill Impacts'!$A$2:$Y$15,17,FALSE)</f>
        <v>102.94</v>
      </c>
      <c r="H13" s="78"/>
      <c r="I13" s="78">
        <v>0</v>
      </c>
      <c r="J13" s="126">
        <f>VLOOKUP(A13,'[1]Data for Bill Impacts'!$A$3:$Y$15,19,FALSE)</f>
        <v>9.9375</v>
      </c>
      <c r="K13" s="122"/>
      <c r="L13" s="126"/>
      <c r="M13" s="122">
        <f>VLOOKUP(A13,'[1]Data for Bill Impacts'!$A$3:$Y$15,22,FALSE)</f>
        <v>0.01</v>
      </c>
      <c r="N13" s="126">
        <f>VLOOKUP(A13,'[1]Data for Bill Impacts'!$A$3:$Y$15,23,FALSE)</f>
        <v>6.4600000000000005E-2</v>
      </c>
      <c r="O13" s="126">
        <f>VLOOKUP(A13,'[1]Data for Bill Impacts'!$A$3:$Y$15,24,FALSE)</f>
        <v>2.2310400000000001</v>
      </c>
      <c r="P13" s="126">
        <f>VLOOKUP(A13,'[1]Data for Bill Impacts'!$A$3:$Y$15,25,FALSE)</f>
        <v>1.7046749999999999</v>
      </c>
      <c r="Q13" s="3">
        <f>ROUND(VLOOKUP(A13,'[2]Rate Design'!$T$8:$Z$20,2,0),2)</f>
        <v>105.1</v>
      </c>
      <c r="R13" s="78">
        <v>0</v>
      </c>
      <c r="S13" s="100">
        <f>ROUND(VLOOKUP(A13,'[2]Rate Design'!$T$8:$Z$20,6,0),4)</f>
        <v>10.236800000000001</v>
      </c>
      <c r="T13" s="126">
        <f>VLOOKUP(A13,'[1]Data for Bill Impacts'!$A$3:$Y$15,21,FALSE)</f>
        <v>1.9E-3</v>
      </c>
      <c r="U13" s="126">
        <f t="shared" si="0"/>
        <v>1.9E-3</v>
      </c>
      <c r="V13" s="173">
        <f t="shared" si="1"/>
        <v>0.01</v>
      </c>
      <c r="W13" s="126">
        <f t="shared" si="2"/>
        <v>6.4600000000000005E-2</v>
      </c>
      <c r="X13" s="126">
        <f t="shared" si="3"/>
        <v>2.2310400000000001</v>
      </c>
      <c r="Y13" s="126">
        <f t="shared" si="4"/>
        <v>1.7046749999999999</v>
      </c>
    </row>
    <row r="14" spans="1:25" x14ac:dyDescent="0.2">
      <c r="A14" s="8" t="s">
        <v>10</v>
      </c>
      <c r="B14" s="127">
        <v>1.0609999999999999</v>
      </c>
      <c r="C14" s="7">
        <v>2000</v>
      </c>
      <c r="D14" s="7">
        <v>0</v>
      </c>
      <c r="E14" s="2">
        <v>15</v>
      </c>
      <c r="F14" s="4" t="s">
        <v>19</v>
      </c>
      <c r="G14" s="122">
        <f>VLOOKUP(A14,'[1]Data for Bill Impacts'!$A$2:$Y$15,17,FALSE)</f>
        <v>198.03</v>
      </c>
      <c r="H14" s="78"/>
      <c r="I14" s="78">
        <v>0</v>
      </c>
      <c r="J14" s="126">
        <f>VLOOKUP(A14,'[1]Data for Bill Impacts'!$A$3:$Y$15,19,FALSE)</f>
        <v>9.5955999999999992</v>
      </c>
      <c r="K14" s="122"/>
      <c r="L14" s="126"/>
      <c r="M14" s="122">
        <f>VLOOKUP(A14,'[1]Data for Bill Impacts'!$A$3:$Y$15,22,FALSE)</f>
        <v>0.01</v>
      </c>
      <c r="N14" s="126">
        <f>VLOOKUP(A14,'[1]Data for Bill Impacts'!$A$3:$Y$15,23,FALSE)</f>
        <v>1.72E-2</v>
      </c>
      <c r="O14" s="126">
        <f>VLOOKUP(A14,'[1]Data for Bill Impacts'!$A$3:$Y$15,24,FALSE)</f>
        <v>0.63108279999999994</v>
      </c>
      <c r="P14" s="126">
        <f>VLOOKUP(A14,'[1]Data for Bill Impacts'!$A$3:$Y$15,25,FALSE)</f>
        <v>0.54747599999999996</v>
      </c>
      <c r="Q14" s="3">
        <f>ROUND(VLOOKUP(A14,'[2]Rate Design'!$T$8:$Z$20,2,0),2)</f>
        <v>198.03</v>
      </c>
      <c r="R14" s="78">
        <v>0</v>
      </c>
      <c r="S14" s="100">
        <f>ROUND(VLOOKUP(A14,'[2]Rate Design'!$T$8:$Z$20,6,0),4)</f>
        <v>10.379</v>
      </c>
      <c r="T14" s="126">
        <f>VLOOKUP(A14,'[1]Data for Bill Impacts'!$A$3:$Y$15,21,FALSE)</f>
        <v>1.9E-3</v>
      </c>
      <c r="U14" s="126">
        <f t="shared" si="0"/>
        <v>1.9E-3</v>
      </c>
      <c r="V14" s="173">
        <f t="shared" si="1"/>
        <v>0.01</v>
      </c>
      <c r="W14" s="126">
        <f t="shared" si="2"/>
        <v>1.72E-2</v>
      </c>
      <c r="X14" s="126">
        <f t="shared" si="3"/>
        <v>0.63108279999999994</v>
      </c>
      <c r="Y14" s="126">
        <f t="shared" si="4"/>
        <v>0.54747599999999996</v>
      </c>
    </row>
    <row r="15" spans="1:25" x14ac:dyDescent="0.2">
      <c r="A15" s="8" t="s">
        <v>11</v>
      </c>
      <c r="B15" s="127">
        <v>1.034</v>
      </c>
      <c r="C15" s="7">
        <v>36000</v>
      </c>
      <c r="D15" s="7">
        <v>0</v>
      </c>
      <c r="E15" s="2">
        <v>117</v>
      </c>
      <c r="F15" s="4" t="s">
        <v>19</v>
      </c>
      <c r="G15" s="122">
        <f>VLOOKUP(A15,'[1]Data for Bill Impacts'!$A$2:$Y$15,17,FALSE)</f>
        <v>1226.6300000000001</v>
      </c>
      <c r="H15" s="78"/>
      <c r="I15" s="78">
        <v>0</v>
      </c>
      <c r="J15" s="126">
        <f>VLOOKUP(A15,'[1]Data for Bill Impacts'!$A$3:$Y$15,19,FALSE)</f>
        <v>1.3683020513538697</v>
      </c>
      <c r="K15" s="122"/>
      <c r="L15" s="126"/>
      <c r="M15" s="122">
        <f>VLOOKUP(A15,'[1]Data for Bill Impacts'!$A$3:$Y$15,22,FALSE)</f>
        <v>3.83</v>
      </c>
      <c r="N15" s="126">
        <f>VLOOKUP(A15,'[1]Data for Bill Impacts'!$A$3:$Y$15,23,FALSE)</f>
        <v>0.27289999999999998</v>
      </c>
      <c r="O15" s="126">
        <f>VLOOKUP(A15,'[1]Data for Bill Impacts'!$A$3:$Y$15,24,FALSE)</f>
        <v>3.4866480000000002</v>
      </c>
      <c r="P15" s="126">
        <f>VLOOKUP(A15,'[1]Data for Bill Impacts'!$A$3:$Y$15,25,FALSE)</f>
        <v>2.6021643999999999</v>
      </c>
      <c r="Q15" s="3">
        <f>SUM('[4]Rate Calc'!$G$16:$H$16)</f>
        <v>1256.8800000000001</v>
      </c>
      <c r="R15" s="78">
        <v>0</v>
      </c>
      <c r="S15" s="100">
        <f>'[4]Rate Calc'!$D$36</f>
        <v>1.4140356552332787</v>
      </c>
      <c r="T15" s="126">
        <f>VLOOKUP(A15,'[1]Data for Bill Impacts'!$A$3:$Y$15,21,FALSE)</f>
        <v>1.9E-3</v>
      </c>
      <c r="U15" s="126">
        <f t="shared" si="0"/>
        <v>1.9E-3</v>
      </c>
      <c r="V15" s="173">
        <f t="shared" si="1"/>
        <v>3.83</v>
      </c>
      <c r="W15" s="126">
        <f t="shared" si="2"/>
        <v>0.27289999999999998</v>
      </c>
      <c r="X15" s="126">
        <f t="shared" si="3"/>
        <v>3.4866480000000002</v>
      </c>
      <c r="Y15" s="126">
        <f t="shared" si="4"/>
        <v>2.6021643999999999</v>
      </c>
    </row>
    <row r="16" spans="1:25" x14ac:dyDescent="0.2">
      <c r="G16"/>
      <c r="H16"/>
      <c r="I16"/>
      <c r="J16"/>
      <c r="K16"/>
      <c r="L16"/>
      <c r="M16"/>
      <c r="N16"/>
      <c r="O16"/>
      <c r="P16"/>
      <c r="T16" s="5"/>
      <c r="U16" s="5"/>
      <c r="V16" s="5"/>
      <c r="W16" s="68"/>
      <c r="X16" s="5"/>
    </row>
    <row r="17" spans="1:25" x14ac:dyDescent="0.2">
      <c r="G17"/>
      <c r="H17"/>
      <c r="I17"/>
      <c r="J17"/>
      <c r="K17"/>
      <c r="L17"/>
      <c r="M17"/>
      <c r="N17"/>
      <c r="O17" s="68"/>
      <c r="P17" s="68"/>
      <c r="T17" s="5"/>
      <c r="U17" s="5"/>
      <c r="V17" s="5"/>
      <c r="W17" s="5"/>
      <c r="X17" s="5"/>
    </row>
    <row r="18" spans="1:25" ht="38.25" x14ac:dyDescent="0.2">
      <c r="A18" s="10" t="s">
        <v>13</v>
      </c>
      <c r="B18" s="10" t="s">
        <v>14</v>
      </c>
      <c r="C18" s="167" t="s">
        <v>114</v>
      </c>
      <c r="D18" s="167" t="s">
        <v>115</v>
      </c>
      <c r="G18"/>
      <c r="H18"/>
      <c r="I18"/>
      <c r="J18"/>
      <c r="K18"/>
      <c r="L18"/>
      <c r="M18"/>
      <c r="N18"/>
      <c r="O18"/>
      <c r="P18" s="68"/>
      <c r="Q18" s="68"/>
      <c r="U18" s="5"/>
      <c r="V18" s="5"/>
      <c r="W18" s="5"/>
      <c r="X18" s="5"/>
      <c r="Y18" s="5"/>
    </row>
    <row r="19" spans="1:25" x14ac:dyDescent="0.2">
      <c r="A19" s="6" t="s">
        <v>0</v>
      </c>
      <c r="B19" s="127">
        <v>1.0569999999999999</v>
      </c>
      <c r="C19" s="166">
        <f>VLOOKUP(A19,[5]Sheet1!$A$9:$I$22,8,FALSE)</f>
        <v>755</v>
      </c>
      <c r="D19" s="2"/>
      <c r="G19"/>
      <c r="H19"/>
      <c r="I19"/>
      <c r="J19"/>
      <c r="K19"/>
      <c r="L19"/>
      <c r="M19"/>
      <c r="N19"/>
      <c r="O19"/>
      <c r="P19" s="68"/>
      <c r="Q19" s="68"/>
      <c r="U19" s="5"/>
      <c r="V19" s="5"/>
      <c r="W19" s="5"/>
      <c r="X19" s="5"/>
      <c r="Y19" s="5"/>
    </row>
    <row r="20" spans="1:25" x14ac:dyDescent="0.2">
      <c r="A20" s="6" t="s">
        <v>1</v>
      </c>
      <c r="B20" s="127">
        <v>1.0760000000000001</v>
      </c>
      <c r="C20" s="166">
        <f>VLOOKUP(A20,[5]Sheet1!$A$9:$I$22,8,FALSE)</f>
        <v>920</v>
      </c>
      <c r="D20" s="2"/>
      <c r="G20"/>
      <c r="H20"/>
      <c r="I20"/>
      <c r="J20"/>
      <c r="K20"/>
      <c r="L20"/>
      <c r="M20"/>
      <c r="N20"/>
      <c r="O20"/>
      <c r="P20" s="68"/>
      <c r="Q20" s="68"/>
      <c r="U20" s="5"/>
      <c r="V20" s="5"/>
      <c r="W20" s="5"/>
      <c r="X20" s="5"/>
      <c r="Y20" s="5"/>
    </row>
    <row r="21" spans="1:25" x14ac:dyDescent="0.2">
      <c r="A21" s="6" t="s">
        <v>2</v>
      </c>
      <c r="B21" s="127">
        <v>1.105</v>
      </c>
      <c r="C21" s="166">
        <f>VLOOKUP(A21,[5]Sheet1!$A$9:$I$22,8,FALSE)</f>
        <v>1152</v>
      </c>
      <c r="D21" s="2"/>
      <c r="G21"/>
      <c r="H21"/>
      <c r="I21"/>
      <c r="J21"/>
      <c r="K21"/>
      <c r="L21"/>
      <c r="M21"/>
      <c r="N21"/>
      <c r="O21"/>
      <c r="P21"/>
      <c r="U21" s="5"/>
      <c r="V21" s="5"/>
      <c r="W21" s="5"/>
      <c r="X21" s="5"/>
      <c r="Y21" s="5"/>
    </row>
    <row r="22" spans="1:25" x14ac:dyDescent="0.2">
      <c r="A22" s="6" t="s">
        <v>3</v>
      </c>
      <c r="B22" s="127">
        <v>1.1040000000000001</v>
      </c>
      <c r="C22" s="166">
        <f>VLOOKUP(A22,[5]Sheet1!$A$9:$I$22,8,FALSE)</f>
        <v>352</v>
      </c>
      <c r="D22" s="2"/>
      <c r="G22"/>
      <c r="H22"/>
      <c r="I22"/>
      <c r="J22"/>
      <c r="K22"/>
      <c r="L22"/>
      <c r="M22"/>
      <c r="N22"/>
      <c r="O22"/>
      <c r="P22"/>
      <c r="T22" s="68"/>
      <c r="U22" s="5"/>
      <c r="V22" s="5"/>
      <c r="W22" s="5"/>
      <c r="X22" s="5"/>
      <c r="Y22" s="5"/>
    </row>
    <row r="23" spans="1:25" x14ac:dyDescent="0.2">
      <c r="A23" s="6" t="s">
        <v>4</v>
      </c>
      <c r="B23" s="127">
        <v>1.0960000000000001</v>
      </c>
      <c r="C23" s="166">
        <f>VLOOKUP(A23,[5]Sheet1!$A$9:$I$22,8,FALSE)</f>
        <v>1982</v>
      </c>
      <c r="D23" s="2"/>
      <c r="G23"/>
      <c r="H23"/>
      <c r="I23"/>
      <c r="J23"/>
      <c r="K23"/>
      <c r="L23"/>
      <c r="M23"/>
      <c r="N23"/>
      <c r="O23"/>
      <c r="P23"/>
      <c r="U23" s="5"/>
      <c r="V23" s="5"/>
      <c r="W23" s="5"/>
      <c r="X23" s="5"/>
      <c r="Y23" s="5"/>
    </row>
    <row r="24" spans="1:25" x14ac:dyDescent="0.2">
      <c r="A24" s="6" t="s">
        <v>6</v>
      </c>
      <c r="B24" s="127">
        <v>1.0669999999999999</v>
      </c>
      <c r="C24" s="166">
        <f>VLOOKUP(A24,[5]Sheet1!$A$9:$I$22,8,FALSE)</f>
        <v>2759</v>
      </c>
      <c r="D24" s="2"/>
      <c r="G24"/>
      <c r="H24"/>
      <c r="I24"/>
      <c r="J24"/>
      <c r="K24"/>
      <c r="L24"/>
      <c r="M24"/>
      <c r="N24"/>
      <c r="O24"/>
      <c r="P24"/>
      <c r="U24" s="5"/>
      <c r="V24" s="5"/>
      <c r="W24" s="5"/>
      <c r="X24" s="5"/>
      <c r="Y24" s="5"/>
    </row>
    <row r="25" spans="1:25" x14ac:dyDescent="0.2">
      <c r="A25" s="6" t="s">
        <v>8</v>
      </c>
      <c r="B25" s="127">
        <v>1.0920000000000001</v>
      </c>
      <c r="C25" s="166">
        <f>VLOOKUP(A25,[5]Sheet1!$A$9:$I$22,8,FALSE)</f>
        <v>517</v>
      </c>
      <c r="D25" s="2"/>
      <c r="G25"/>
      <c r="H25"/>
      <c r="I25"/>
      <c r="J25"/>
      <c r="K25"/>
      <c r="L25"/>
      <c r="M25"/>
      <c r="N25"/>
      <c r="O25"/>
      <c r="P25"/>
      <c r="U25" s="5"/>
      <c r="V25" s="5"/>
      <c r="W25" s="5"/>
      <c r="X25" s="5"/>
      <c r="Y25" s="5"/>
    </row>
    <row r="26" spans="1:25" x14ac:dyDescent="0.2">
      <c r="A26" s="6" t="s">
        <v>9</v>
      </c>
      <c r="B26" s="127">
        <v>1.0920000000000001</v>
      </c>
      <c r="C26" s="166">
        <f>VLOOKUP(A26,[5]Sheet1!$A$9:$I$22,8,FALSE)</f>
        <v>71</v>
      </c>
      <c r="D26" s="2"/>
      <c r="G26"/>
      <c r="H26"/>
      <c r="I26"/>
      <c r="J26"/>
      <c r="K26"/>
      <c r="L26"/>
      <c r="M26"/>
      <c r="N26"/>
      <c r="O26"/>
      <c r="P26"/>
      <c r="U26" s="5"/>
      <c r="V26" s="5"/>
      <c r="W26" s="5"/>
      <c r="X26" s="5"/>
      <c r="Y26" s="5"/>
    </row>
    <row r="27" spans="1:25" x14ac:dyDescent="0.2">
      <c r="A27" s="8" t="s">
        <v>12</v>
      </c>
      <c r="B27" s="127">
        <v>1.0920000000000001</v>
      </c>
      <c r="C27" s="166">
        <f>VLOOKUP(A27,[5]Sheet1!$A$9:$I$22,8,FALSE)</f>
        <v>364</v>
      </c>
      <c r="D27" s="2"/>
      <c r="G27"/>
      <c r="H27"/>
      <c r="I27"/>
      <c r="J27"/>
      <c r="K27"/>
      <c r="L27"/>
      <c r="M27"/>
      <c r="N27"/>
      <c r="O27"/>
      <c r="P27"/>
      <c r="U27" s="5"/>
      <c r="V27" s="5"/>
      <c r="W27" s="5"/>
      <c r="X27" s="5"/>
      <c r="Y27" s="5"/>
    </row>
    <row r="28" spans="1:25" x14ac:dyDescent="0.2">
      <c r="A28" s="6" t="s">
        <v>5</v>
      </c>
      <c r="B28" s="127">
        <v>1.0609999999999999</v>
      </c>
      <c r="C28" s="166">
        <f>VLOOKUP(A28,[5]Sheet1!$A$9:$I$22,8,FALSE)</f>
        <v>36104</v>
      </c>
      <c r="D28" s="166">
        <f>VLOOKUP(A28,[5]Sheet1!$A$10:$I$22,9,FALSE)</f>
        <v>124</v>
      </c>
      <c r="G28"/>
      <c r="H28"/>
      <c r="I28"/>
      <c r="J28"/>
      <c r="K28"/>
      <c r="L28"/>
      <c r="M28"/>
      <c r="N28"/>
      <c r="O28"/>
      <c r="P28"/>
    </row>
    <row r="29" spans="1:25" x14ac:dyDescent="0.2">
      <c r="A29" s="6" t="s">
        <v>7</v>
      </c>
      <c r="B29" s="127">
        <v>1.05</v>
      </c>
      <c r="C29" s="166">
        <f>VLOOKUP(A29,[5]Sheet1!$A$9:$I$22,8,FALSE)</f>
        <v>50525</v>
      </c>
      <c r="D29" s="166">
        <f>VLOOKUP(A29,[5]Sheet1!$A$10:$I$22,9,FALSE)</f>
        <v>135</v>
      </c>
      <c r="G29"/>
      <c r="H29"/>
      <c r="I29"/>
      <c r="J29"/>
      <c r="K29"/>
      <c r="L29"/>
      <c r="M29"/>
      <c r="N29"/>
      <c r="O29"/>
      <c r="P29"/>
    </row>
    <row r="30" spans="1:25" x14ac:dyDescent="0.2">
      <c r="A30" s="8" t="s">
        <v>10</v>
      </c>
      <c r="B30" s="127">
        <v>1.0609999999999999</v>
      </c>
      <c r="C30" s="166">
        <f>VLOOKUP(A30,[5]Sheet1!$A$9:$I$22,8,FALSE)</f>
        <v>1328</v>
      </c>
      <c r="D30" s="166">
        <f>VLOOKUP(A30,[5]Sheet1!$A$10:$I$22,9,FALSE)</f>
        <v>13</v>
      </c>
      <c r="G30"/>
      <c r="H30"/>
      <c r="I30"/>
      <c r="J30"/>
      <c r="K30"/>
      <c r="L30"/>
      <c r="M30"/>
      <c r="N30"/>
      <c r="O30"/>
      <c r="P30"/>
    </row>
    <row r="31" spans="1:25" x14ac:dyDescent="0.2">
      <c r="A31" s="8" t="s">
        <v>11</v>
      </c>
      <c r="B31" s="127">
        <v>1.034</v>
      </c>
      <c r="C31" s="166">
        <f>VLOOKUP(A31,[5]Sheet1!$A$9:$I$22,8,FALSE)</f>
        <v>1601036</v>
      </c>
      <c r="D31" s="166">
        <f>VLOOKUP(A31,[5]Sheet1!$A$10:$I$22,9,FALSE)</f>
        <v>3091</v>
      </c>
      <c r="G31"/>
      <c r="H31"/>
      <c r="I31"/>
      <c r="J31"/>
      <c r="K31"/>
      <c r="L31"/>
      <c r="M31"/>
      <c r="N31"/>
      <c r="O31"/>
      <c r="P31"/>
    </row>
    <row r="32" spans="1:25" x14ac:dyDescent="0.2">
      <c r="G32"/>
      <c r="H32"/>
      <c r="I32"/>
      <c r="J32"/>
      <c r="K32"/>
      <c r="L32"/>
      <c r="M32"/>
      <c r="N32"/>
      <c r="O32"/>
      <c r="P32"/>
    </row>
    <row r="33" spans="7:16" x14ac:dyDescent="0.2">
      <c r="G33"/>
      <c r="H33"/>
      <c r="I33"/>
      <c r="J33"/>
      <c r="K33"/>
      <c r="L33"/>
      <c r="M33"/>
      <c r="N33"/>
      <c r="O33"/>
      <c r="P33"/>
    </row>
    <row r="34" spans="7:16" x14ac:dyDescent="0.2">
      <c r="G34"/>
      <c r="H34"/>
      <c r="I34"/>
      <c r="J34"/>
      <c r="K34"/>
      <c r="L34"/>
      <c r="M34"/>
      <c r="N34"/>
      <c r="O34"/>
      <c r="P34"/>
    </row>
    <row r="35" spans="7:16" x14ac:dyDescent="0.2">
      <c r="G35"/>
      <c r="H35"/>
      <c r="I35"/>
      <c r="J35"/>
      <c r="K35"/>
      <c r="L35"/>
      <c r="M35"/>
      <c r="N35"/>
      <c r="O35"/>
      <c r="P35"/>
    </row>
    <row r="36" spans="7:16" x14ac:dyDescent="0.2">
      <c r="G36"/>
      <c r="H36"/>
      <c r="I36"/>
      <c r="J36"/>
      <c r="K36"/>
      <c r="L36"/>
      <c r="M36"/>
      <c r="N36"/>
      <c r="O36"/>
      <c r="P36"/>
    </row>
    <row r="37" spans="7:16" x14ac:dyDescent="0.2">
      <c r="G37"/>
      <c r="H37"/>
      <c r="I37"/>
      <c r="J37"/>
      <c r="K37"/>
      <c r="L37"/>
      <c r="M37"/>
      <c r="N37"/>
      <c r="O37"/>
      <c r="P37"/>
    </row>
    <row r="38" spans="7:16" x14ac:dyDescent="0.2">
      <c r="G38"/>
      <c r="H38"/>
      <c r="I38"/>
      <c r="J38"/>
      <c r="K38"/>
      <c r="L38"/>
      <c r="M38"/>
      <c r="N38"/>
      <c r="O38"/>
      <c r="P38"/>
    </row>
    <row r="39" spans="7:16" x14ac:dyDescent="0.2">
      <c r="G39"/>
      <c r="H39"/>
      <c r="I39"/>
      <c r="J39"/>
      <c r="K39"/>
      <c r="L39"/>
      <c r="M39"/>
      <c r="N39"/>
      <c r="O39"/>
      <c r="P39"/>
    </row>
    <row r="40" spans="7:16" x14ac:dyDescent="0.2">
      <c r="G40"/>
      <c r="H40"/>
      <c r="I40"/>
      <c r="J40"/>
      <c r="K40"/>
      <c r="L40"/>
      <c r="M40"/>
      <c r="N40"/>
      <c r="O40"/>
      <c r="P40"/>
    </row>
    <row r="41" spans="7:16" x14ac:dyDescent="0.2">
      <c r="G41"/>
      <c r="H41"/>
      <c r="I41"/>
      <c r="J41"/>
      <c r="K41"/>
      <c r="L41"/>
      <c r="M41"/>
      <c r="N41"/>
      <c r="O41"/>
      <c r="P41"/>
    </row>
    <row r="42" spans="7:16" x14ac:dyDescent="0.2">
      <c r="G42"/>
      <c r="H42"/>
      <c r="I42"/>
      <c r="J42"/>
      <c r="K42"/>
      <c r="L42"/>
      <c r="M42"/>
      <c r="N42"/>
      <c r="O42"/>
      <c r="P42"/>
    </row>
    <row r="43" spans="7:16" x14ac:dyDescent="0.2">
      <c r="G43"/>
      <c r="H43"/>
      <c r="I43"/>
      <c r="J43"/>
      <c r="K43"/>
      <c r="L43"/>
      <c r="M43"/>
      <c r="N43"/>
      <c r="O43"/>
      <c r="P43"/>
    </row>
    <row r="44" spans="7:16" x14ac:dyDescent="0.2">
      <c r="G44"/>
      <c r="H44"/>
      <c r="I44"/>
      <c r="J44"/>
      <c r="K44"/>
      <c r="L44"/>
      <c r="M44"/>
      <c r="N44"/>
      <c r="O44"/>
      <c r="P44"/>
    </row>
    <row r="45" spans="7:16" x14ac:dyDescent="0.2">
      <c r="G45"/>
      <c r="H45"/>
      <c r="I45"/>
      <c r="J45"/>
      <c r="K45"/>
      <c r="L45"/>
      <c r="M45"/>
      <c r="N45"/>
      <c r="O45"/>
      <c r="P45"/>
    </row>
    <row r="46" spans="7:16" x14ac:dyDescent="0.2">
      <c r="G46"/>
      <c r="H46"/>
      <c r="I46"/>
      <c r="J46"/>
      <c r="K46"/>
      <c r="L46"/>
      <c r="M46"/>
      <c r="N46"/>
      <c r="O46"/>
      <c r="P46"/>
    </row>
    <row r="47" spans="7:16" x14ac:dyDescent="0.2">
      <c r="G47"/>
      <c r="H47"/>
      <c r="I47"/>
      <c r="J47"/>
      <c r="K47"/>
      <c r="L47"/>
      <c r="M47"/>
      <c r="N47"/>
      <c r="O47"/>
      <c r="P47"/>
    </row>
    <row r="48" spans="7:16" x14ac:dyDescent="0.2">
      <c r="G48"/>
      <c r="H48"/>
      <c r="I48"/>
      <c r="J48"/>
      <c r="K48"/>
      <c r="L48"/>
      <c r="M48"/>
      <c r="N48"/>
      <c r="O48"/>
      <c r="P48"/>
    </row>
    <row r="49" spans="7:16" x14ac:dyDescent="0.2">
      <c r="G49"/>
      <c r="H49"/>
      <c r="I49"/>
      <c r="J49"/>
      <c r="K49"/>
      <c r="L49"/>
      <c r="M49"/>
      <c r="N49"/>
      <c r="O49"/>
      <c r="P49"/>
    </row>
    <row r="50" spans="7:16" x14ac:dyDescent="0.2">
      <c r="G50"/>
      <c r="H50"/>
      <c r="I50"/>
      <c r="J50"/>
      <c r="K50"/>
      <c r="L50"/>
      <c r="M50"/>
      <c r="N50"/>
      <c r="O50"/>
      <c r="P50"/>
    </row>
    <row r="51" spans="7:16" x14ac:dyDescent="0.2">
      <c r="G51"/>
      <c r="H51"/>
      <c r="I51"/>
      <c r="J51"/>
      <c r="K51"/>
      <c r="L51"/>
      <c r="M51"/>
      <c r="N51"/>
      <c r="O51"/>
      <c r="P51"/>
    </row>
    <row r="52" spans="7:16" x14ac:dyDescent="0.2">
      <c r="G52"/>
      <c r="H52"/>
      <c r="I52"/>
      <c r="J52"/>
      <c r="K52"/>
      <c r="L52"/>
      <c r="M52"/>
      <c r="N52"/>
      <c r="O52"/>
      <c r="P52"/>
    </row>
    <row r="53" spans="7:16" x14ac:dyDescent="0.2">
      <c r="G53"/>
      <c r="H53"/>
      <c r="I53"/>
      <c r="J53"/>
      <c r="K53"/>
      <c r="L53"/>
      <c r="M53"/>
      <c r="N53"/>
      <c r="O53"/>
      <c r="P53"/>
    </row>
    <row r="54" spans="7:16" x14ac:dyDescent="0.2">
      <c r="G54"/>
      <c r="H54"/>
      <c r="I54"/>
      <c r="J54"/>
      <c r="K54"/>
      <c r="L54"/>
      <c r="M54"/>
      <c r="N54"/>
      <c r="O54"/>
      <c r="P54"/>
    </row>
    <row r="55" spans="7:16" x14ac:dyDescent="0.2">
      <c r="G55"/>
      <c r="H55"/>
      <c r="I55"/>
      <c r="J55"/>
      <c r="K55"/>
      <c r="L55"/>
      <c r="M55"/>
      <c r="N55"/>
      <c r="O55"/>
      <c r="P55"/>
    </row>
    <row r="56" spans="7:16" x14ac:dyDescent="0.2">
      <c r="G56"/>
      <c r="H56"/>
      <c r="I56"/>
      <c r="J56"/>
      <c r="K56"/>
      <c r="L56"/>
      <c r="M56"/>
      <c r="N56"/>
      <c r="O56"/>
      <c r="P56"/>
    </row>
    <row r="57" spans="7:16" x14ac:dyDescent="0.2">
      <c r="G57"/>
      <c r="H57"/>
      <c r="I57"/>
      <c r="J57"/>
      <c r="K57"/>
      <c r="L57"/>
      <c r="M57"/>
      <c r="N57"/>
      <c r="O57"/>
      <c r="P57"/>
    </row>
    <row r="58" spans="7:16" x14ac:dyDescent="0.2">
      <c r="G58"/>
      <c r="H58"/>
      <c r="I58"/>
      <c r="J58"/>
      <c r="K58"/>
      <c r="L58"/>
      <c r="M58"/>
      <c r="N58"/>
      <c r="O58"/>
      <c r="P58"/>
    </row>
    <row r="59" spans="7:16" x14ac:dyDescent="0.2">
      <c r="G59"/>
      <c r="H59"/>
      <c r="I59"/>
      <c r="J59"/>
      <c r="K59"/>
      <c r="L59"/>
      <c r="M59"/>
      <c r="N59"/>
      <c r="O59"/>
      <c r="P59"/>
    </row>
    <row r="60" spans="7:16" x14ac:dyDescent="0.2">
      <c r="G60"/>
      <c r="H60"/>
      <c r="I60"/>
      <c r="J60"/>
      <c r="K60"/>
      <c r="L60"/>
      <c r="M60"/>
      <c r="N60"/>
      <c r="O60"/>
      <c r="P60"/>
    </row>
    <row r="61" spans="7:16" x14ac:dyDescent="0.2">
      <c r="G61"/>
      <c r="H61"/>
      <c r="I61"/>
      <c r="J61"/>
      <c r="K61"/>
      <c r="L61"/>
      <c r="M61"/>
      <c r="N61"/>
      <c r="O61"/>
      <c r="P61"/>
    </row>
    <row r="62" spans="7:16" x14ac:dyDescent="0.2">
      <c r="G62"/>
      <c r="H62"/>
      <c r="I62"/>
      <c r="J62"/>
      <c r="K62"/>
      <c r="L62"/>
      <c r="M62"/>
      <c r="N62"/>
      <c r="O62"/>
      <c r="P62"/>
    </row>
    <row r="63" spans="7:16" x14ac:dyDescent="0.2">
      <c r="G63"/>
      <c r="H63"/>
      <c r="I63"/>
      <c r="J63"/>
      <c r="K63"/>
      <c r="L63"/>
      <c r="M63"/>
      <c r="N63"/>
      <c r="O63"/>
      <c r="P63"/>
    </row>
    <row r="64" spans="7:16" x14ac:dyDescent="0.2">
      <c r="G64"/>
      <c r="H64"/>
      <c r="I64"/>
      <c r="J64"/>
      <c r="K64"/>
      <c r="L64"/>
      <c r="M64"/>
      <c r="N64"/>
      <c r="O64"/>
      <c r="P64"/>
    </row>
    <row r="65" spans="7:16" x14ac:dyDescent="0.2">
      <c r="G65"/>
      <c r="H65"/>
      <c r="I65"/>
      <c r="J65"/>
      <c r="K65"/>
      <c r="L65"/>
      <c r="M65"/>
      <c r="N65"/>
      <c r="O65"/>
      <c r="P65"/>
    </row>
    <row r="66" spans="7:16" x14ac:dyDescent="0.2">
      <c r="G66"/>
      <c r="H66"/>
      <c r="I66"/>
      <c r="J66"/>
      <c r="K66"/>
      <c r="L66"/>
      <c r="M66"/>
      <c r="N66"/>
      <c r="O66"/>
      <c r="P66"/>
    </row>
    <row r="67" spans="7:16" x14ac:dyDescent="0.2">
      <c r="G67"/>
      <c r="H67"/>
      <c r="I67"/>
      <c r="J67"/>
      <c r="K67"/>
      <c r="L67"/>
      <c r="M67"/>
      <c r="N67"/>
      <c r="O67"/>
      <c r="P67"/>
    </row>
    <row r="68" spans="7:16" x14ac:dyDescent="0.2">
      <c r="G68"/>
      <c r="H68"/>
      <c r="I68"/>
      <c r="J68"/>
      <c r="K68"/>
      <c r="L68"/>
      <c r="M68"/>
      <c r="N68"/>
      <c r="O68"/>
      <c r="P68"/>
    </row>
    <row r="69" spans="7:16" x14ac:dyDescent="0.2">
      <c r="G69"/>
      <c r="H69"/>
      <c r="I69"/>
      <c r="J69"/>
      <c r="K69"/>
      <c r="L69"/>
      <c r="M69"/>
      <c r="N69"/>
      <c r="O69"/>
      <c r="P69"/>
    </row>
    <row r="70" spans="7:16" x14ac:dyDescent="0.2">
      <c r="G70"/>
      <c r="H70"/>
      <c r="I70"/>
      <c r="J70"/>
      <c r="K70"/>
      <c r="L70"/>
      <c r="M70"/>
      <c r="N70"/>
      <c r="O70"/>
      <c r="P70"/>
    </row>
    <row r="71" spans="7:16" x14ac:dyDescent="0.2">
      <c r="G71"/>
      <c r="H71"/>
      <c r="I71"/>
      <c r="J71"/>
      <c r="K71"/>
      <c r="L71"/>
      <c r="M71"/>
      <c r="N71"/>
      <c r="O71"/>
      <c r="P71"/>
    </row>
    <row r="72" spans="7:16" x14ac:dyDescent="0.2">
      <c r="G72"/>
      <c r="H72"/>
      <c r="I72"/>
      <c r="J72"/>
      <c r="K72"/>
      <c r="L72"/>
      <c r="M72"/>
      <c r="N72"/>
      <c r="O72"/>
      <c r="P72"/>
    </row>
    <row r="73" spans="7:16" x14ac:dyDescent="0.2">
      <c r="G73"/>
      <c r="H73"/>
      <c r="I73"/>
      <c r="J73"/>
      <c r="K73"/>
      <c r="L73"/>
      <c r="M73"/>
      <c r="N73"/>
      <c r="O73"/>
      <c r="P73"/>
    </row>
    <row r="74" spans="7:16" x14ac:dyDescent="0.2">
      <c r="G74"/>
      <c r="H74"/>
      <c r="I74"/>
      <c r="J74"/>
      <c r="K74"/>
      <c r="L74"/>
      <c r="M74"/>
      <c r="N74"/>
      <c r="O74"/>
      <c r="P74"/>
    </row>
    <row r="75" spans="7:16" x14ac:dyDescent="0.2">
      <c r="G75"/>
      <c r="H75"/>
      <c r="I75"/>
      <c r="J75"/>
      <c r="K75"/>
      <c r="L75"/>
      <c r="M75"/>
      <c r="N75"/>
      <c r="O75"/>
      <c r="P75"/>
    </row>
    <row r="76" spans="7:16" x14ac:dyDescent="0.2">
      <c r="G76"/>
      <c r="H76"/>
      <c r="I76"/>
      <c r="J76"/>
      <c r="K76"/>
      <c r="L76"/>
      <c r="M76"/>
      <c r="N76"/>
      <c r="O76"/>
      <c r="P76"/>
    </row>
    <row r="77" spans="7:16" x14ac:dyDescent="0.2">
      <c r="G77"/>
      <c r="H77"/>
      <c r="I77"/>
      <c r="J77"/>
      <c r="K77"/>
      <c r="L77"/>
      <c r="M77"/>
      <c r="N77"/>
      <c r="O77"/>
      <c r="P77"/>
    </row>
    <row r="78" spans="7:16" x14ac:dyDescent="0.2">
      <c r="G78"/>
      <c r="H78"/>
      <c r="I78"/>
      <c r="J78"/>
      <c r="K78"/>
      <c r="L78"/>
      <c r="M78"/>
      <c r="N78"/>
      <c r="O78"/>
      <c r="P78"/>
    </row>
    <row r="79" spans="7:16" x14ac:dyDescent="0.2">
      <c r="G79"/>
      <c r="H79"/>
      <c r="I79"/>
      <c r="J79"/>
      <c r="K79"/>
      <c r="L79"/>
      <c r="M79"/>
      <c r="N79"/>
      <c r="O79"/>
      <c r="P79"/>
    </row>
    <row r="80" spans="7:16" x14ac:dyDescent="0.2">
      <c r="G80"/>
      <c r="H80"/>
      <c r="I80"/>
      <c r="J80"/>
      <c r="K80"/>
      <c r="L80"/>
      <c r="M80"/>
      <c r="N80"/>
      <c r="O80"/>
      <c r="P80"/>
    </row>
    <row r="81" spans="7:16" x14ac:dyDescent="0.2">
      <c r="G81"/>
      <c r="H81"/>
      <c r="I81"/>
      <c r="J81"/>
      <c r="K81"/>
      <c r="L81"/>
      <c r="M81"/>
      <c r="N81"/>
      <c r="O81"/>
      <c r="P81"/>
    </row>
    <row r="82" spans="7:16" x14ac:dyDescent="0.2">
      <c r="G82"/>
      <c r="H82"/>
      <c r="I82"/>
      <c r="J82"/>
      <c r="K82"/>
      <c r="L82"/>
      <c r="M82"/>
      <c r="N82"/>
      <c r="O82"/>
      <c r="P82"/>
    </row>
    <row r="83" spans="7:16" x14ac:dyDescent="0.2">
      <c r="G83"/>
      <c r="H83"/>
      <c r="I83"/>
      <c r="J83"/>
      <c r="K83"/>
      <c r="L83"/>
      <c r="M83"/>
      <c r="N83"/>
      <c r="O83"/>
      <c r="P83"/>
    </row>
    <row r="84" spans="7:16" x14ac:dyDescent="0.2">
      <c r="G84"/>
      <c r="H84"/>
      <c r="I84"/>
      <c r="J84"/>
      <c r="K84"/>
      <c r="L84"/>
      <c r="M84"/>
      <c r="N84"/>
      <c r="O84"/>
      <c r="P84"/>
    </row>
    <row r="85" spans="7:16" x14ac:dyDescent="0.2">
      <c r="G85"/>
      <c r="H85"/>
      <c r="I85"/>
      <c r="J85"/>
      <c r="K85"/>
      <c r="L85"/>
      <c r="M85"/>
      <c r="N85"/>
      <c r="O85"/>
      <c r="P85"/>
    </row>
    <row r="86" spans="7:16" x14ac:dyDescent="0.2">
      <c r="G86"/>
      <c r="H86"/>
      <c r="I86"/>
      <c r="J86"/>
      <c r="K86"/>
      <c r="L86"/>
      <c r="M86"/>
      <c r="N86"/>
      <c r="O86"/>
      <c r="P86"/>
    </row>
    <row r="87" spans="7:16" x14ac:dyDescent="0.2">
      <c r="G87"/>
      <c r="H87"/>
      <c r="I87"/>
      <c r="J87"/>
      <c r="K87"/>
      <c r="L87"/>
      <c r="M87"/>
      <c r="N87"/>
      <c r="O87"/>
      <c r="P87"/>
    </row>
    <row r="88" spans="7:16" x14ac:dyDescent="0.2">
      <c r="G88"/>
      <c r="H88"/>
      <c r="I88"/>
      <c r="J88"/>
      <c r="K88"/>
      <c r="L88"/>
      <c r="M88"/>
      <c r="N88"/>
      <c r="O88"/>
      <c r="P88"/>
    </row>
    <row r="89" spans="7:16" x14ac:dyDescent="0.2">
      <c r="G89"/>
      <c r="H89"/>
      <c r="I89"/>
      <c r="J89"/>
      <c r="K89"/>
      <c r="L89"/>
      <c r="M89"/>
      <c r="N89"/>
      <c r="O89"/>
      <c r="P89"/>
    </row>
  </sheetData>
  <pageMargins left="0.7" right="0.7" top="0.75" bottom="0.75" header="0.3" footer="0.3"/>
  <pageSetup paperSize="5" scale="61" fitToHeight="0" orientation="landscape" r:id="rId1"/>
  <headerFooter>
    <oddHeader>&amp;RFiled: 2017-03-31
EB-2017-0049
Exhibit H1-4-1
Attachment 3
Page &amp;P of &amp;N</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1" tint="0.499984740745262"/>
    <pageSetUpPr fitToPage="1"/>
  </sheetPr>
  <dimension ref="A1:K68"/>
  <sheetViews>
    <sheetView tabSelected="1" view="pageBreakPreview" zoomScaleNormal="100" zoomScaleSheetLayoutView="100" workbookViewId="0">
      <selection activeCell="C3" sqref="C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120</v>
      </c>
      <c r="B1" s="188"/>
      <c r="C1" s="188"/>
      <c r="D1" s="188"/>
      <c r="E1" s="188"/>
      <c r="F1" s="188"/>
      <c r="G1" s="188"/>
      <c r="H1" s="188"/>
      <c r="I1" s="188"/>
      <c r="J1" s="188"/>
      <c r="K1" s="189"/>
    </row>
    <row r="3" spans="1:11" x14ac:dyDescent="0.2">
      <c r="A3" s="13" t="s">
        <v>13</v>
      </c>
      <c r="B3" s="13" t="s">
        <v>1</v>
      </c>
    </row>
    <row r="4" spans="1:11" x14ac:dyDescent="0.2">
      <c r="A4" s="15" t="s">
        <v>62</v>
      </c>
      <c r="B4" s="15">
        <v>1800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68">
        <f>B4*B6</f>
        <v>1936.8000000000002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0.17327521322000325</v>
      </c>
      <c r="K12" s="106"/>
    </row>
    <row r="13" spans="1:11" x14ac:dyDescent="0.2">
      <c r="A13" s="107" t="s">
        <v>32</v>
      </c>
      <c r="B13" s="73">
        <f>IF(B4&gt;B7,(B4)-B7,0)</f>
        <v>1200</v>
      </c>
      <c r="C13" s="21">
        <v>0.121</v>
      </c>
      <c r="D13" s="22">
        <f>B13*C13</f>
        <v>145.19999999999999</v>
      </c>
      <c r="E13" s="73">
        <f t="shared" ref="E13" si="0">B13</f>
        <v>1200</v>
      </c>
      <c r="F13" s="21">
        <f>C13</f>
        <v>0.121</v>
      </c>
      <c r="G13" s="22">
        <f>E13*F13</f>
        <v>145.19999999999999</v>
      </c>
      <c r="H13" s="22">
        <f t="shared" ref="H13:H46" si="1">G13-D13</f>
        <v>0</v>
      </c>
      <c r="I13" s="23">
        <f t="shared" ref="I13:I46" si="2">IF(ISERROR(H13/D13),0,(H13/D13))</f>
        <v>0</v>
      </c>
      <c r="J13" s="23">
        <f>G13/$G$46</f>
        <v>0.40711263688583282</v>
      </c>
      <c r="K13" s="108"/>
    </row>
    <row r="14" spans="1:11" s="1" customFormat="1" x14ac:dyDescent="0.2">
      <c r="A14" s="46" t="s">
        <v>33</v>
      </c>
      <c r="B14" s="24"/>
      <c r="C14" s="25"/>
      <c r="D14" s="25">
        <f>SUM(D12:D13)</f>
        <v>207</v>
      </c>
      <c r="E14" s="76"/>
      <c r="F14" s="25"/>
      <c r="G14" s="25">
        <f>SUM(G12:G13)</f>
        <v>207</v>
      </c>
      <c r="H14" s="25">
        <f t="shared" si="1"/>
        <v>0</v>
      </c>
      <c r="I14" s="27">
        <f t="shared" si="2"/>
        <v>0</v>
      </c>
      <c r="J14" s="27">
        <f>G14/$G$46</f>
        <v>0.58038785010583616</v>
      </c>
      <c r="K14" s="108"/>
    </row>
    <row r="15" spans="1:11" s="1" customFormat="1" x14ac:dyDescent="0.2">
      <c r="A15" s="109" t="s">
        <v>34</v>
      </c>
      <c r="B15" s="75">
        <f>B4*0.65</f>
        <v>1170</v>
      </c>
      <c r="C15" s="28">
        <v>8.6999999999999994E-2</v>
      </c>
      <c r="D15" s="22">
        <f>B15*C15</f>
        <v>101.78999999999999</v>
      </c>
      <c r="E15" s="73">
        <f t="shared" ref="E15:F17" si="3">B15</f>
        <v>1170</v>
      </c>
      <c r="F15" s="28">
        <f t="shared" si="3"/>
        <v>8.6999999999999994E-2</v>
      </c>
      <c r="G15" s="22">
        <f>E15*F15</f>
        <v>101.78999999999999</v>
      </c>
      <c r="H15" s="22">
        <f t="shared" si="1"/>
        <v>0</v>
      </c>
      <c r="I15" s="23">
        <f t="shared" si="2"/>
        <v>0</v>
      </c>
      <c r="J15" s="23"/>
      <c r="K15" s="108">
        <f t="shared" ref="K15:K26" si="4">G15/$G$51</f>
        <v>0.29211825553226184</v>
      </c>
    </row>
    <row r="16" spans="1:11" s="1" customFormat="1" x14ac:dyDescent="0.2">
      <c r="A16" s="109" t="s">
        <v>35</v>
      </c>
      <c r="B16" s="75">
        <f>B4*0.17</f>
        <v>306</v>
      </c>
      <c r="C16" s="28">
        <v>0.13200000000000001</v>
      </c>
      <c r="D16" s="22">
        <f>B16*C16</f>
        <v>40.392000000000003</v>
      </c>
      <c r="E16" s="73">
        <f t="shared" si="3"/>
        <v>306</v>
      </c>
      <c r="F16" s="28">
        <f t="shared" si="3"/>
        <v>0.13200000000000001</v>
      </c>
      <c r="G16" s="22">
        <f>E16*F16</f>
        <v>40.392000000000003</v>
      </c>
      <c r="H16" s="22">
        <f t="shared" si="1"/>
        <v>0</v>
      </c>
      <c r="I16" s="23">
        <f t="shared" si="2"/>
        <v>0</v>
      </c>
      <c r="J16" s="23"/>
      <c r="K16" s="108">
        <f t="shared" si="4"/>
        <v>0.11591748283190019</v>
      </c>
    </row>
    <row r="17" spans="1:11" s="1" customFormat="1" x14ac:dyDescent="0.2">
      <c r="A17" s="109" t="s">
        <v>36</v>
      </c>
      <c r="B17" s="75">
        <f>B4*0.18</f>
        <v>324</v>
      </c>
      <c r="C17" s="28">
        <v>0.18</v>
      </c>
      <c r="D17" s="22">
        <f>B17*C17</f>
        <v>58.32</v>
      </c>
      <c r="E17" s="73">
        <f t="shared" si="3"/>
        <v>324</v>
      </c>
      <c r="F17" s="28">
        <f t="shared" si="3"/>
        <v>0.18</v>
      </c>
      <c r="G17" s="22">
        <f>E17*F17</f>
        <v>58.32</v>
      </c>
      <c r="H17" s="22">
        <f t="shared" si="1"/>
        <v>0</v>
      </c>
      <c r="I17" s="23">
        <f t="shared" si="2"/>
        <v>0</v>
      </c>
      <c r="J17" s="23"/>
      <c r="K17" s="108">
        <f t="shared" si="4"/>
        <v>0.16736748858081846</v>
      </c>
    </row>
    <row r="18" spans="1:11" s="1" customFormat="1" x14ac:dyDescent="0.2">
      <c r="A18" s="61" t="s">
        <v>37</v>
      </c>
      <c r="B18" s="29"/>
      <c r="C18" s="30"/>
      <c r="D18" s="30">
        <f>SUM(D15:D17)</f>
        <v>200.50199999999998</v>
      </c>
      <c r="E18" s="77"/>
      <c r="F18" s="30"/>
      <c r="G18" s="30">
        <f>SUM(G15:G17)</f>
        <v>200.50199999999998</v>
      </c>
      <c r="H18" s="31">
        <f t="shared" si="1"/>
        <v>0</v>
      </c>
      <c r="I18" s="32">
        <f t="shared" si="2"/>
        <v>0</v>
      </c>
      <c r="J18" s="33">
        <f t="shared" ref="J18:J26" si="5">G18/$G$46</f>
        <v>0.56216871846338334</v>
      </c>
      <c r="K18" s="62">
        <f t="shared" si="4"/>
        <v>0.57540322694498047</v>
      </c>
    </row>
    <row r="19" spans="1:11" x14ac:dyDescent="0.2">
      <c r="A19" s="107" t="s">
        <v>38</v>
      </c>
      <c r="B19" s="73">
        <v>1</v>
      </c>
      <c r="C19" s="78">
        <f>VLOOKUP($B$3,'Data for Bill Impacts'!$A$3:$Y$15,7,0)</f>
        <v>42.25</v>
      </c>
      <c r="D19" s="22">
        <f>B19*C19</f>
        <v>42.25</v>
      </c>
      <c r="E19" s="73">
        <f t="shared" ref="E19:E41" si="6">B19</f>
        <v>1</v>
      </c>
      <c r="F19" s="122">
        <f>VLOOKUP($B$3,'Data for Bill Impacts'!$A$3:$Y$15,17,0)</f>
        <v>47.11</v>
      </c>
      <c r="G19" s="22">
        <f>E19*F19</f>
        <v>47.11</v>
      </c>
      <c r="H19" s="22">
        <f t="shared" si="1"/>
        <v>4.8599999999999994</v>
      </c>
      <c r="I19" s="23">
        <f t="shared" si="2"/>
        <v>0.11502958579881656</v>
      </c>
      <c r="J19" s="23">
        <f t="shared" si="5"/>
        <v>0.132087302504763</v>
      </c>
      <c r="K19" s="108">
        <f t="shared" si="4"/>
        <v>0.13519688592322285</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1800</v>
      </c>
      <c r="C23" s="78">
        <f>VLOOKUP($B$3,'Data for Bill Impacts'!$A$3:$Y$15,10,0)</f>
        <v>1.9400000000000001E-2</v>
      </c>
      <c r="D23" s="22">
        <f>B23*C23</f>
        <v>34.92</v>
      </c>
      <c r="E23" s="73">
        <f t="shared" si="6"/>
        <v>1800</v>
      </c>
      <c r="F23" s="78">
        <f>VLOOKUP($B$3,'Data for Bill Impacts'!$A$3:$Y$15,19,0)</f>
        <v>1.6E-2</v>
      </c>
      <c r="G23" s="22">
        <f>E23*F23</f>
        <v>28.8</v>
      </c>
      <c r="H23" s="22">
        <f t="shared" si="1"/>
        <v>-6.120000000000001</v>
      </c>
      <c r="I23" s="23">
        <f t="shared" si="2"/>
        <v>-0.1752577319587629</v>
      </c>
      <c r="J23" s="23">
        <f t="shared" si="5"/>
        <v>8.0749613927768499E-2</v>
      </c>
      <c r="K23" s="108">
        <f t="shared" si="4"/>
        <v>8.2650611644848618E-2</v>
      </c>
    </row>
    <row r="24" spans="1:11" x14ac:dyDescent="0.2">
      <c r="A24" s="107" t="s">
        <v>121</v>
      </c>
      <c r="B24" s="73">
        <f>IF($B$9="kWh",$B$4,$B$5)</f>
        <v>1800</v>
      </c>
      <c r="C24" s="126">
        <f>VLOOKUP($B$3,'Data for Bill Impacts'!$A$3:$Y$15,14,0)</f>
        <v>2.0000000000000001E-4</v>
      </c>
      <c r="D24" s="22">
        <f>B24*C24</f>
        <v>0.36000000000000004</v>
      </c>
      <c r="E24" s="73">
        <f>B24</f>
        <v>1800</v>
      </c>
      <c r="F24" s="126">
        <f>VLOOKUP($B$3,'Data for Bill Impacts'!$A$3:$Y$15,23,0)</f>
        <v>2.0000000000000001E-4</v>
      </c>
      <c r="G24" s="22">
        <f>E24*F24</f>
        <v>0.36000000000000004</v>
      </c>
      <c r="H24" s="22">
        <f>G24-D24</f>
        <v>0</v>
      </c>
      <c r="I24" s="23">
        <f>IF(ISERROR(H24/D24),0,(H24/D24))</f>
        <v>0</v>
      </c>
      <c r="J24" s="23">
        <f t="shared" si="5"/>
        <v>1.0093701740971064E-3</v>
      </c>
      <c r="K24" s="108">
        <f t="shared" si="4"/>
        <v>1.0331326455606078E-3</v>
      </c>
    </row>
    <row r="25" spans="1:11" s="1" customFormat="1" x14ac:dyDescent="0.2">
      <c r="A25" s="110" t="s">
        <v>72</v>
      </c>
      <c r="B25" s="74"/>
      <c r="C25" s="35"/>
      <c r="D25" s="35">
        <f>SUM(D19:D24)</f>
        <v>77.53</v>
      </c>
      <c r="E25" s="73"/>
      <c r="F25" s="35"/>
      <c r="G25" s="35">
        <f>SUM(G19:G24)</f>
        <v>76.27</v>
      </c>
      <c r="H25" s="35">
        <f t="shared" si="1"/>
        <v>-1.2600000000000051</v>
      </c>
      <c r="I25" s="36">
        <f t="shared" si="2"/>
        <v>-1.6251773507029603E-2</v>
      </c>
      <c r="J25" s="36">
        <f t="shared" si="5"/>
        <v>0.21384628660662858</v>
      </c>
      <c r="K25" s="111">
        <f t="shared" si="4"/>
        <v>0.21888063021363208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2.2150067709353167E-3</v>
      </c>
      <c r="K26" s="108">
        <f t="shared" si="4"/>
        <v>2.267152194424667E-3</v>
      </c>
    </row>
    <row r="27" spans="1:11" s="1" customFormat="1" x14ac:dyDescent="0.2">
      <c r="A27" s="119" t="s">
        <v>75</v>
      </c>
      <c r="B27" s="120">
        <f>B8-B4</f>
        <v>136.80000000000018</v>
      </c>
      <c r="C27" s="121">
        <f>IF(B4&gt;B7,C13,C12)</f>
        <v>0.121</v>
      </c>
      <c r="D27" s="22">
        <f>B27*C27</f>
        <v>16.552800000000023</v>
      </c>
      <c r="E27" s="73">
        <f>B27</f>
        <v>136.80000000000018</v>
      </c>
      <c r="F27" s="121">
        <f>C27</f>
        <v>0.121</v>
      </c>
      <c r="G27" s="22">
        <f>E27*F27</f>
        <v>16.552800000000023</v>
      </c>
      <c r="H27" s="22">
        <f t="shared" si="1"/>
        <v>0</v>
      </c>
      <c r="I27" s="23">
        <f>IF(ISERROR(H27/D27),0,(H27/D27))</f>
        <v>0</v>
      </c>
      <c r="J27" s="23">
        <f t="shared" ref="J27:J46" si="9">G27/$G$46</f>
        <v>4.6410840604985008E-2</v>
      </c>
      <c r="K27" s="108">
        <f t="shared" ref="K27:K41" si="10">G27/$G$51</f>
        <v>4.7503439042876808E-2</v>
      </c>
    </row>
    <row r="28" spans="1:11" s="1" customFormat="1" x14ac:dyDescent="0.2">
      <c r="A28" s="119" t="s">
        <v>74</v>
      </c>
      <c r="B28" s="120">
        <f>B8-B4</f>
        <v>136.80000000000018</v>
      </c>
      <c r="C28" s="121">
        <f>0.65*C15+0.17*C16+0.18*C17</f>
        <v>0.11139</v>
      </c>
      <c r="D28" s="22">
        <f>B28*C28</f>
        <v>15.238152000000021</v>
      </c>
      <c r="E28" s="73">
        <f>B28</f>
        <v>136.80000000000018</v>
      </c>
      <c r="F28" s="121">
        <f>C28</f>
        <v>0.11139</v>
      </c>
      <c r="G28" s="22">
        <f>E28*F28</f>
        <v>15.238152000000021</v>
      </c>
      <c r="H28" s="22">
        <f t="shared" si="1"/>
        <v>0</v>
      </c>
      <c r="I28" s="23">
        <f>IF(ISERROR(H28/D28),0,(H28/D28))</f>
        <v>0</v>
      </c>
      <c r="J28" s="23">
        <f t="shared" si="9"/>
        <v>4.2724822603217194E-2</v>
      </c>
      <c r="K28" s="108">
        <f t="shared" si="10"/>
        <v>4.3730645247818577E-2</v>
      </c>
    </row>
    <row r="29" spans="1:11" s="1" customFormat="1" x14ac:dyDescent="0.2">
      <c r="A29" s="110" t="s">
        <v>78</v>
      </c>
      <c r="B29" s="74"/>
      <c r="C29" s="35"/>
      <c r="D29" s="35">
        <f>SUM(D25,D26:D27)</f>
        <v>94.872800000000026</v>
      </c>
      <c r="E29" s="73"/>
      <c r="F29" s="35"/>
      <c r="G29" s="35">
        <f>SUM(G25,G26:G27)</f>
        <v>93.612800000000021</v>
      </c>
      <c r="H29" s="35">
        <f t="shared" si="1"/>
        <v>-1.2600000000000051</v>
      </c>
      <c r="I29" s="36">
        <f>IF(ISERROR(H29/D29),0,(H29/D29))</f>
        <v>-1.3280940374902024E-2</v>
      </c>
      <c r="J29" s="36">
        <f t="shared" si="9"/>
        <v>0.26247213398254893</v>
      </c>
      <c r="K29" s="111">
        <f t="shared" si="10"/>
        <v>0.26865122145093356</v>
      </c>
    </row>
    <row r="30" spans="1:11" s="1" customFormat="1" x14ac:dyDescent="0.2">
      <c r="A30" s="110" t="s">
        <v>77</v>
      </c>
      <c r="B30" s="74"/>
      <c r="C30" s="35"/>
      <c r="D30" s="35">
        <f>SUM(D25,D26,D28)</f>
        <v>93.558152000000035</v>
      </c>
      <c r="E30" s="73"/>
      <c r="F30" s="35"/>
      <c r="G30" s="35">
        <f>SUM(G25,G26,G28)</f>
        <v>92.298152000000016</v>
      </c>
      <c r="H30" s="35">
        <f t="shared" si="1"/>
        <v>-1.2600000000000193</v>
      </c>
      <c r="I30" s="36">
        <f>IF(ISERROR(H30/D30),0,(H30/D30))</f>
        <v>-1.3467559726917424E-2</v>
      </c>
      <c r="J30" s="36">
        <f t="shared" si="9"/>
        <v>0.25878611598078111</v>
      </c>
      <c r="K30" s="111">
        <f t="shared" si="10"/>
        <v>0.26487842765587533</v>
      </c>
    </row>
    <row r="31" spans="1:11" x14ac:dyDescent="0.2">
      <c r="A31" s="107" t="s">
        <v>40</v>
      </c>
      <c r="B31" s="73">
        <f>B8</f>
        <v>1936.8000000000002</v>
      </c>
      <c r="C31" s="126">
        <f>VLOOKUP($B$3,'Data for Bill Impacts'!$A$3:$Y$15,15,0)</f>
        <v>7.2069999999999999E-3</v>
      </c>
      <c r="D31" s="22">
        <f>B31*C31</f>
        <v>13.9585176</v>
      </c>
      <c r="E31" s="73">
        <f t="shared" si="6"/>
        <v>1936.8000000000002</v>
      </c>
      <c r="F31" s="126">
        <f>VLOOKUP($B$3,'Data for Bill Impacts'!$A$3:$Y$15,24,0)</f>
        <v>7.2069999999999999E-3</v>
      </c>
      <c r="G31" s="22">
        <f>E31*F31</f>
        <v>13.9585176</v>
      </c>
      <c r="H31" s="22">
        <f t="shared" si="1"/>
        <v>0</v>
      </c>
      <c r="I31" s="23">
        <f t="shared" si="2"/>
        <v>0</v>
      </c>
      <c r="J31" s="23">
        <f t="shared" si="9"/>
        <v>3.9136975944582007E-2</v>
      </c>
      <c r="K31" s="108">
        <f t="shared" si="10"/>
        <v>4.0058333933867513E-2</v>
      </c>
    </row>
    <row r="32" spans="1:11" x14ac:dyDescent="0.2">
      <c r="A32" s="107" t="s">
        <v>41</v>
      </c>
      <c r="B32" s="73">
        <f>B8</f>
        <v>1936.8000000000002</v>
      </c>
      <c r="C32" s="126">
        <f>VLOOKUP($B$3,'Data for Bill Impacts'!$A$3:$Y$15,16,0)</f>
        <v>6.0319999999999992E-3</v>
      </c>
      <c r="D32" s="22">
        <f>B32*C32</f>
        <v>11.6827776</v>
      </c>
      <c r="E32" s="73">
        <f t="shared" si="6"/>
        <v>1936.8000000000002</v>
      </c>
      <c r="F32" s="126">
        <f>VLOOKUP($B$3,'Data for Bill Impacts'!$A$3:$Y$15,25,0)</f>
        <v>6.0319999999999992E-3</v>
      </c>
      <c r="G32" s="22">
        <f>E32*F32</f>
        <v>11.6827776</v>
      </c>
      <c r="H32" s="22">
        <f t="shared" si="1"/>
        <v>0</v>
      </c>
      <c r="I32" s="23">
        <f t="shared" si="2"/>
        <v>0</v>
      </c>
      <c r="J32" s="23">
        <f t="shared" si="9"/>
        <v>3.2756242389027149E-2</v>
      </c>
      <c r="K32" s="108">
        <f t="shared" si="10"/>
        <v>3.3527385914956132E-2</v>
      </c>
    </row>
    <row r="33" spans="1:11" s="1" customFormat="1" x14ac:dyDescent="0.2">
      <c r="A33" s="110" t="s">
        <v>76</v>
      </c>
      <c r="B33" s="74"/>
      <c r="C33" s="35"/>
      <c r="D33" s="35">
        <f>SUM(D31:D32)</f>
        <v>25.641295200000002</v>
      </c>
      <c r="E33" s="73"/>
      <c r="F33" s="35"/>
      <c r="G33" s="35">
        <f>SUM(G31:G32)</f>
        <v>25.641295200000002</v>
      </c>
      <c r="H33" s="35">
        <f t="shared" si="1"/>
        <v>0</v>
      </c>
      <c r="I33" s="36">
        <f t="shared" si="2"/>
        <v>0</v>
      </c>
      <c r="J33" s="36">
        <f t="shared" si="9"/>
        <v>7.1893218333609163E-2</v>
      </c>
      <c r="K33" s="111">
        <f t="shared" si="10"/>
        <v>7.3585719848823644E-2</v>
      </c>
    </row>
    <row r="34" spans="1:11" s="1" customFormat="1" x14ac:dyDescent="0.2">
      <c r="A34" s="110" t="s">
        <v>91</v>
      </c>
      <c r="B34" s="74"/>
      <c r="C34" s="35"/>
      <c r="D34" s="35">
        <f>D29+D33</f>
        <v>120.51409520000003</v>
      </c>
      <c r="E34" s="73"/>
      <c r="F34" s="35"/>
      <c r="G34" s="35">
        <f>G29+G33</f>
        <v>119.25409520000002</v>
      </c>
      <c r="H34" s="35">
        <f t="shared" si="1"/>
        <v>-1.2600000000000051</v>
      </c>
      <c r="I34" s="36">
        <f t="shared" si="2"/>
        <v>-1.0455208562193187E-2</v>
      </c>
      <c r="J34" s="36">
        <f t="shared" si="9"/>
        <v>0.3343653523161581</v>
      </c>
      <c r="K34" s="111">
        <f t="shared" si="10"/>
        <v>0.34223694129975724</v>
      </c>
    </row>
    <row r="35" spans="1:11" s="1" customFormat="1" x14ac:dyDescent="0.2">
      <c r="A35" s="110" t="s">
        <v>92</v>
      </c>
      <c r="B35" s="74"/>
      <c r="C35" s="35"/>
      <c r="D35" s="35">
        <f>D30+D33</f>
        <v>119.19944720000004</v>
      </c>
      <c r="E35" s="73"/>
      <c r="F35" s="35"/>
      <c r="G35" s="35">
        <f>G30+G33</f>
        <v>117.93944720000002</v>
      </c>
      <c r="H35" s="35">
        <f t="shared" si="1"/>
        <v>-1.2600000000000193</v>
      </c>
      <c r="I35" s="36">
        <f t="shared" si="2"/>
        <v>-1.0570518820325695E-2</v>
      </c>
      <c r="J35" s="36">
        <f t="shared" si="9"/>
        <v>0.33067933431439023</v>
      </c>
      <c r="K35" s="111">
        <f t="shared" si="10"/>
        <v>0.33846414750469894</v>
      </c>
    </row>
    <row r="36" spans="1:11" x14ac:dyDescent="0.2">
      <c r="A36" s="107" t="s">
        <v>42</v>
      </c>
      <c r="B36" s="73">
        <f>B8</f>
        <v>1936.8000000000002</v>
      </c>
      <c r="C36" s="34">
        <v>3.5999999999999999E-3</v>
      </c>
      <c r="D36" s="22">
        <f>B36*C36</f>
        <v>6.9724800000000009</v>
      </c>
      <c r="E36" s="73">
        <f t="shared" si="6"/>
        <v>1936.8000000000002</v>
      </c>
      <c r="F36" s="34">
        <v>3.5999999999999999E-3</v>
      </c>
      <c r="G36" s="22">
        <f>E36*F36</f>
        <v>6.9724800000000009</v>
      </c>
      <c r="H36" s="22">
        <f t="shared" si="1"/>
        <v>0</v>
      </c>
      <c r="I36" s="23">
        <f t="shared" si="2"/>
        <v>0</v>
      </c>
      <c r="J36" s="23">
        <f t="shared" si="9"/>
        <v>1.9549481531912757E-2</v>
      </c>
      <c r="K36" s="108">
        <f t="shared" si="10"/>
        <v>2.0009713079217853E-2</v>
      </c>
    </row>
    <row r="37" spans="1:11" x14ac:dyDescent="0.2">
      <c r="A37" s="107" t="s">
        <v>43</v>
      </c>
      <c r="B37" s="73">
        <f>B8</f>
        <v>1936.8000000000002</v>
      </c>
      <c r="C37" s="34">
        <v>2.0999999999999999E-3</v>
      </c>
      <c r="D37" s="22">
        <f>B37*C37</f>
        <v>4.0672800000000002</v>
      </c>
      <c r="E37" s="73">
        <f t="shared" si="6"/>
        <v>1936.8000000000002</v>
      </c>
      <c r="F37" s="34">
        <v>2.0999999999999999E-3</v>
      </c>
      <c r="G37" s="22">
        <f>E37*F37</f>
        <v>4.0672800000000002</v>
      </c>
      <c r="H37" s="22">
        <f>G37-D37</f>
        <v>0</v>
      </c>
      <c r="I37" s="23">
        <f t="shared" si="2"/>
        <v>0</v>
      </c>
      <c r="J37" s="23">
        <f t="shared" si="9"/>
        <v>1.1403864226949107E-2</v>
      </c>
      <c r="K37" s="108">
        <f t="shared" si="10"/>
        <v>1.1672332629543748E-2</v>
      </c>
    </row>
    <row r="38" spans="1:11" x14ac:dyDescent="0.2">
      <c r="A38" s="107" t="s">
        <v>96</v>
      </c>
      <c r="B38" s="73">
        <f>B8</f>
        <v>1936.8000000000002</v>
      </c>
      <c r="C38" s="34">
        <v>1.1000000000000001E-3</v>
      </c>
      <c r="D38" s="22">
        <f>B38*C38</f>
        <v>2.1304800000000004</v>
      </c>
      <c r="E38" s="73">
        <f t="shared" si="6"/>
        <v>1936.8000000000002</v>
      </c>
      <c r="F38" s="34">
        <v>1.1000000000000001E-3</v>
      </c>
      <c r="G38" s="22">
        <f>E38*F38</f>
        <v>2.1304800000000004</v>
      </c>
      <c r="H38" s="22">
        <f>G38-D38</f>
        <v>0</v>
      </c>
      <c r="I38" s="23">
        <f t="shared" ref="I38" si="11">IF(ISERROR(H38/D38),0,(H38/D38))</f>
        <v>0</v>
      </c>
      <c r="J38" s="23">
        <f t="shared" ref="J38" si="12">G38/$G$46</f>
        <v>5.9734526903066762E-3</v>
      </c>
      <c r="K38" s="108">
        <f t="shared" ref="K38" si="13">G38/$G$51</f>
        <v>6.1140789964276776E-3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7.0095150978965711E-4</v>
      </c>
      <c r="K39" s="108">
        <f t="shared" si="10"/>
        <v>7.174532260837554E-4</v>
      </c>
    </row>
    <row r="40" spans="1:11" s="1" customFormat="1" x14ac:dyDescent="0.2">
      <c r="A40" s="110" t="s">
        <v>45</v>
      </c>
      <c r="B40" s="74"/>
      <c r="C40" s="35"/>
      <c r="D40" s="35">
        <f>SUM(D36:D39)</f>
        <v>13.420240000000002</v>
      </c>
      <c r="E40" s="73"/>
      <c r="F40" s="35"/>
      <c r="G40" s="35">
        <f>SUM(G36:G39)</f>
        <v>13.420240000000002</v>
      </c>
      <c r="H40" s="35">
        <f t="shared" si="1"/>
        <v>0</v>
      </c>
      <c r="I40" s="36">
        <f t="shared" si="2"/>
        <v>0</v>
      </c>
      <c r="J40" s="36">
        <f t="shared" si="9"/>
        <v>3.76277499589582E-2</v>
      </c>
      <c r="K40" s="111">
        <f t="shared" si="10"/>
        <v>3.8513577931273031E-2</v>
      </c>
    </row>
    <row r="41" spans="1:11" s="1" customFormat="1" ht="13.5" thickBot="1" x14ac:dyDescent="0.25">
      <c r="A41" s="112" t="s">
        <v>46</v>
      </c>
      <c r="B41" s="113">
        <f>B4</f>
        <v>1800</v>
      </c>
      <c r="C41" s="114">
        <v>0</v>
      </c>
      <c r="D41" s="115">
        <f>B41*C41</f>
        <v>0</v>
      </c>
      <c r="E41" s="116">
        <f t="shared" si="6"/>
        <v>1800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340.93433520000002</v>
      </c>
      <c r="E42" s="38"/>
      <c r="F42" s="39"/>
      <c r="G42" s="39">
        <f>SUM(G14,G25,G26,G27,G33,G40,G41)</f>
        <v>339.67433520000003</v>
      </c>
      <c r="H42" s="39">
        <f t="shared" si="1"/>
        <v>-1.2599999999999909</v>
      </c>
      <c r="I42" s="40">
        <f>IF(ISERROR(H42/D42),0,(H42/D42))</f>
        <v>-3.6957263317607641E-3</v>
      </c>
      <c r="J42" s="40">
        <f t="shared" si="9"/>
        <v>0.95238095238095244</v>
      </c>
      <c r="K42" s="41"/>
    </row>
    <row r="43" spans="1:11" x14ac:dyDescent="0.2">
      <c r="A43" s="154" t="s">
        <v>102</v>
      </c>
      <c r="B43" s="43"/>
      <c r="C43" s="26">
        <v>0.13</v>
      </c>
      <c r="D43" s="26">
        <f>D42*C43</f>
        <v>44.321463576000006</v>
      </c>
      <c r="E43" s="26"/>
      <c r="F43" s="26">
        <f>C43</f>
        <v>0.13</v>
      </c>
      <c r="G43" s="26">
        <f>G42*F43</f>
        <v>44.157663576000004</v>
      </c>
      <c r="H43" s="26">
        <f t="shared" si="1"/>
        <v>-0.16380000000000194</v>
      </c>
      <c r="I43" s="44">
        <f t="shared" si="2"/>
        <v>-3.6957263317608344E-3</v>
      </c>
      <c r="J43" s="44">
        <f t="shared" si="9"/>
        <v>0.12380952380952381</v>
      </c>
      <c r="K43" s="45"/>
    </row>
    <row r="44" spans="1:11" s="1" customFormat="1" x14ac:dyDescent="0.2">
      <c r="A44" s="46" t="s">
        <v>103</v>
      </c>
      <c r="B44" s="24"/>
      <c r="C44" s="25"/>
      <c r="D44" s="25">
        <f>SUM(D42:D43)</f>
        <v>385.25579877600001</v>
      </c>
      <c r="E44" s="25"/>
      <c r="F44" s="25"/>
      <c r="G44" s="25">
        <f>SUM(G42:G43)</f>
        <v>383.83199877600003</v>
      </c>
      <c r="H44" s="25">
        <f t="shared" si="1"/>
        <v>-1.4237999999999715</v>
      </c>
      <c r="I44" s="27">
        <f t="shared" si="2"/>
        <v>-3.6957263317607173E-3</v>
      </c>
      <c r="J44" s="27">
        <f t="shared" si="9"/>
        <v>1.0761904761904761</v>
      </c>
      <c r="K44" s="47"/>
    </row>
    <row r="45" spans="1:11" x14ac:dyDescent="0.2">
      <c r="A45" s="42" t="s">
        <v>104</v>
      </c>
      <c r="B45" s="43"/>
      <c r="C45" s="26">
        <v>-0.08</v>
      </c>
      <c r="D45" s="26">
        <f>D42*C45</f>
        <v>-27.274746816000004</v>
      </c>
      <c r="E45" s="26"/>
      <c r="F45" s="26">
        <f>C45</f>
        <v>-0.08</v>
      </c>
      <c r="G45" s="26">
        <f>G42*F45</f>
        <v>-27.173946816000004</v>
      </c>
      <c r="H45" s="26">
        <f t="shared" si="1"/>
        <v>0.10079999999999956</v>
      </c>
      <c r="I45" s="44">
        <f t="shared" si="2"/>
        <v>-3.6957263317607745E-3</v>
      </c>
      <c r="J45" s="44">
        <f t="shared" si="9"/>
        <v>-7.6190476190476197E-2</v>
      </c>
      <c r="K45" s="45"/>
    </row>
    <row r="46" spans="1:11" s="1" customFormat="1" ht="13.5" thickBot="1" x14ac:dyDescent="0.25">
      <c r="A46" s="48" t="s">
        <v>105</v>
      </c>
      <c r="B46" s="49"/>
      <c r="C46" s="50"/>
      <c r="D46" s="50">
        <f>SUM(D44:D45)</f>
        <v>357.98105196</v>
      </c>
      <c r="E46" s="50"/>
      <c r="F46" s="50"/>
      <c r="G46" s="50">
        <f>SUM(G44:G45)</f>
        <v>356.65805196000002</v>
      </c>
      <c r="H46" s="50">
        <f t="shared" si="1"/>
        <v>-1.3229999999999791</v>
      </c>
      <c r="I46" s="51">
        <f t="shared" si="2"/>
        <v>-3.6957263317607329E-3</v>
      </c>
      <c r="J46" s="51">
        <f t="shared" si="9"/>
        <v>1</v>
      </c>
      <c r="K46" s="52"/>
    </row>
    <row r="47" spans="1:11" x14ac:dyDescent="0.2">
      <c r="A47" s="53" t="s">
        <v>106</v>
      </c>
      <c r="B47" s="54"/>
      <c r="C47" s="55"/>
      <c r="D47" s="55">
        <f>SUM(D18,D25,D26,D28,D33,D40,D41)</f>
        <v>333.1216872</v>
      </c>
      <c r="E47" s="55"/>
      <c r="F47" s="55"/>
      <c r="G47" s="55">
        <f>SUM(G18,G25,G26,G28,G33,G40,G41)</f>
        <v>331.86168720000001</v>
      </c>
      <c r="H47" s="55">
        <f>G47-D47</f>
        <v>-1.2599999999999909</v>
      </c>
      <c r="I47" s="56">
        <f>IF(ISERROR(H47/D47),0,(H47/D47))</f>
        <v>-3.7824015920149643E-3</v>
      </c>
      <c r="J47" s="56"/>
      <c r="K47" s="57">
        <f>G47/$G$51</f>
        <v>0.95238095238095244</v>
      </c>
    </row>
    <row r="48" spans="1:11" x14ac:dyDescent="0.2">
      <c r="A48" s="58" t="s">
        <v>102</v>
      </c>
      <c r="B48" s="59"/>
      <c r="C48" s="31">
        <v>0.13</v>
      </c>
      <c r="D48" s="31">
        <f>D47*C48</f>
        <v>43.305819335999999</v>
      </c>
      <c r="E48" s="31"/>
      <c r="F48" s="31">
        <f>C48</f>
        <v>0.13</v>
      </c>
      <c r="G48" s="31">
        <f>G47*F48</f>
        <v>43.142019336000004</v>
      </c>
      <c r="H48" s="31">
        <f>G48-D48</f>
        <v>-0.16379999999999484</v>
      </c>
      <c r="I48" s="32">
        <f>IF(ISERROR(H48/D48),0,(H48/D48))</f>
        <v>-3.7824015920148724E-3</v>
      </c>
      <c r="J48" s="32"/>
      <c r="K48" s="60">
        <f>G48/$G$51</f>
        <v>0.12380952380952383</v>
      </c>
    </row>
    <row r="49" spans="1:11" x14ac:dyDescent="0.2">
      <c r="A49" s="61" t="s">
        <v>107</v>
      </c>
      <c r="B49" s="29"/>
      <c r="C49" s="30"/>
      <c r="D49" s="30">
        <f>SUM(D47:D48)</f>
        <v>376.42750653600001</v>
      </c>
      <c r="E49" s="30"/>
      <c r="F49" s="30"/>
      <c r="G49" s="30">
        <f>SUM(G47:G48)</f>
        <v>375.00370653599998</v>
      </c>
      <c r="H49" s="30">
        <f>G49-D49</f>
        <v>-1.4238000000000284</v>
      </c>
      <c r="I49" s="33">
        <f>IF(ISERROR(H49/D49),0,(H49/D49))</f>
        <v>-3.7824015920150666E-3</v>
      </c>
      <c r="J49" s="33"/>
      <c r="K49" s="62">
        <f>G49/$G$51</f>
        <v>1.0761904761904761</v>
      </c>
    </row>
    <row r="50" spans="1:11" x14ac:dyDescent="0.2">
      <c r="A50" s="58" t="s">
        <v>104</v>
      </c>
      <c r="B50" s="59"/>
      <c r="C50" s="31">
        <v>-0.08</v>
      </c>
      <c r="D50" s="31">
        <f>D47*C50</f>
        <v>-26.649734976000001</v>
      </c>
      <c r="E50" s="31"/>
      <c r="F50" s="31">
        <f>C50</f>
        <v>-0.08</v>
      </c>
      <c r="G50" s="31">
        <f>G47*F50</f>
        <v>-26.548934976000002</v>
      </c>
      <c r="H50" s="31">
        <f>G50-D50</f>
        <v>0.10079999999999956</v>
      </c>
      <c r="I50" s="32">
        <f>IF(ISERROR(H50/D50),0,(H50/D50))</f>
        <v>-3.7824015920149747E-3</v>
      </c>
      <c r="J50" s="32"/>
      <c r="K50" s="60">
        <f>G50/$G$51</f>
        <v>-7.6190476190476197E-2</v>
      </c>
    </row>
    <row r="51" spans="1:11" ht="13.5" thickBot="1" x14ac:dyDescent="0.25">
      <c r="A51" s="63" t="s">
        <v>116</v>
      </c>
      <c r="B51" s="64"/>
      <c r="C51" s="65"/>
      <c r="D51" s="65">
        <f>SUM(D49:D50)</f>
        <v>349.77777156000002</v>
      </c>
      <c r="E51" s="65"/>
      <c r="F51" s="65"/>
      <c r="G51" s="65">
        <f>SUM(G49:G50)</f>
        <v>348.45477155999998</v>
      </c>
      <c r="H51" s="65">
        <f>G51-D51</f>
        <v>-1.3230000000000359</v>
      </c>
      <c r="I51" s="66">
        <f>IF(ISERROR(H51/D51),0,(H51/D51))</f>
        <v>-3.782401592015094E-3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1" tint="0.499984740745262"/>
    <pageSetUpPr fitToPage="1"/>
  </sheetPr>
  <dimension ref="A1:K68"/>
  <sheetViews>
    <sheetView tabSelected="1" view="pageBreakPreview" topLeftCell="A13" zoomScaleNormal="100" zoomScaleSheetLayoutView="100" workbookViewId="0">
      <selection activeCell="C3" sqref="C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117</v>
      </c>
      <c r="B1" s="188"/>
      <c r="C1" s="188"/>
      <c r="D1" s="188"/>
      <c r="E1" s="188"/>
      <c r="F1" s="188"/>
      <c r="G1" s="188"/>
      <c r="H1" s="188"/>
      <c r="I1" s="188"/>
      <c r="J1" s="188"/>
      <c r="K1" s="189"/>
    </row>
    <row r="3" spans="1:11" x14ac:dyDescent="0.2">
      <c r="A3" s="13" t="s">
        <v>13</v>
      </c>
      <c r="B3" s="13" t="s">
        <v>2</v>
      </c>
    </row>
    <row r="4" spans="1:11" x14ac:dyDescent="0.2">
      <c r="A4" s="15" t="s">
        <v>62</v>
      </c>
      <c r="B4" s="15">
        <v>450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68">
        <f>B4*B6</f>
        <v>497.25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450</v>
      </c>
      <c r="C12" s="103">
        <v>0.10299999999999999</v>
      </c>
      <c r="D12" s="104">
        <f>B12*C12</f>
        <v>46.349999999999994</v>
      </c>
      <c r="E12" s="102">
        <f>B12</f>
        <v>450</v>
      </c>
      <c r="F12" s="103">
        <f>C12</f>
        <v>0.10299999999999999</v>
      </c>
      <c r="G12" s="104">
        <f>E12*F12</f>
        <v>46.349999999999994</v>
      </c>
      <c r="H12" s="104">
        <f>G12-D12</f>
        <v>0</v>
      </c>
      <c r="I12" s="105">
        <f>IF(ISERROR(H12/D12),0,(H12/D12))</f>
        <v>0</v>
      </c>
      <c r="J12" s="105">
        <f>G12/$G$46</f>
        <v>0.37358952921060745</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46.349999999999994</v>
      </c>
      <c r="E14" s="76"/>
      <c r="F14" s="25"/>
      <c r="G14" s="25">
        <f>SUM(G12:G13)</f>
        <v>46.349999999999994</v>
      </c>
      <c r="H14" s="25">
        <f t="shared" si="1"/>
        <v>0</v>
      </c>
      <c r="I14" s="27">
        <f t="shared" si="2"/>
        <v>0</v>
      </c>
      <c r="J14" s="27">
        <f>G14/$G$46</f>
        <v>0.37358952921060745</v>
      </c>
      <c r="K14" s="108"/>
    </row>
    <row r="15" spans="1:11" s="1" customFormat="1" x14ac:dyDescent="0.2">
      <c r="A15" s="109" t="s">
        <v>34</v>
      </c>
      <c r="B15" s="75">
        <f>B4*0.65</f>
        <v>292.5</v>
      </c>
      <c r="C15" s="28">
        <v>8.6999999999999994E-2</v>
      </c>
      <c r="D15" s="22">
        <f>B15*C15</f>
        <v>25.447499999999998</v>
      </c>
      <c r="E15" s="73">
        <f t="shared" ref="E15:F17" si="3">B15</f>
        <v>292.5</v>
      </c>
      <c r="F15" s="28">
        <f t="shared" si="3"/>
        <v>8.6999999999999994E-2</v>
      </c>
      <c r="G15" s="22">
        <f>E15*F15</f>
        <v>25.447499999999998</v>
      </c>
      <c r="H15" s="22">
        <f t="shared" si="1"/>
        <v>0</v>
      </c>
      <c r="I15" s="23">
        <f t="shared" si="2"/>
        <v>0</v>
      </c>
      <c r="J15" s="23"/>
      <c r="K15" s="108">
        <f t="shared" ref="K15:K26" si="4">G15/$G$51</f>
        <v>0.19811647041940092</v>
      </c>
    </row>
    <row r="16" spans="1:11" s="1" customFormat="1" x14ac:dyDescent="0.2">
      <c r="A16" s="109" t="s">
        <v>35</v>
      </c>
      <c r="B16" s="75">
        <f>B4*0.17</f>
        <v>76.5</v>
      </c>
      <c r="C16" s="28">
        <v>0.13200000000000001</v>
      </c>
      <c r="D16" s="22">
        <f>B16*C16</f>
        <v>10.098000000000001</v>
      </c>
      <c r="E16" s="73">
        <f t="shared" si="3"/>
        <v>76.5</v>
      </c>
      <c r="F16" s="28">
        <f t="shared" si="3"/>
        <v>0.13200000000000001</v>
      </c>
      <c r="G16" s="22">
        <f>E16*F16</f>
        <v>10.098000000000001</v>
      </c>
      <c r="H16" s="22">
        <f t="shared" si="1"/>
        <v>0</v>
      </c>
      <c r="I16" s="23">
        <f t="shared" si="2"/>
        <v>0</v>
      </c>
      <c r="J16" s="23"/>
      <c r="K16" s="108">
        <f t="shared" si="4"/>
        <v>7.8615978712844509E-2</v>
      </c>
    </row>
    <row r="17" spans="1:11" s="1" customFormat="1" x14ac:dyDescent="0.2">
      <c r="A17" s="109" t="s">
        <v>36</v>
      </c>
      <c r="B17" s="75">
        <f>B4*0.18</f>
        <v>81</v>
      </c>
      <c r="C17" s="28">
        <v>0.18</v>
      </c>
      <c r="D17" s="22">
        <f>B17*C17</f>
        <v>14.58</v>
      </c>
      <c r="E17" s="73">
        <f t="shared" si="3"/>
        <v>81</v>
      </c>
      <c r="F17" s="28">
        <f t="shared" si="3"/>
        <v>0.18</v>
      </c>
      <c r="G17" s="22">
        <f>E17*F17</f>
        <v>14.58</v>
      </c>
      <c r="H17" s="22">
        <f t="shared" si="1"/>
        <v>0</v>
      </c>
      <c r="I17" s="23">
        <f t="shared" si="2"/>
        <v>0</v>
      </c>
      <c r="J17" s="23"/>
      <c r="K17" s="108">
        <f t="shared" si="4"/>
        <v>0.11350970188485571</v>
      </c>
    </row>
    <row r="18" spans="1:11" s="1" customFormat="1" x14ac:dyDescent="0.2">
      <c r="A18" s="61" t="s">
        <v>37</v>
      </c>
      <c r="B18" s="29"/>
      <c r="C18" s="30"/>
      <c r="D18" s="30">
        <f>SUM(D15:D17)</f>
        <v>50.125499999999995</v>
      </c>
      <c r="E18" s="77"/>
      <c r="F18" s="30"/>
      <c r="G18" s="30">
        <f>SUM(G15:G17)</f>
        <v>50.125499999999995</v>
      </c>
      <c r="H18" s="31">
        <f t="shared" si="1"/>
        <v>0</v>
      </c>
      <c r="I18" s="32">
        <f t="shared" si="2"/>
        <v>0</v>
      </c>
      <c r="J18" s="33">
        <f t="shared" ref="J18:J26" si="5">G18/$G$46</f>
        <v>0.40402075396863651</v>
      </c>
      <c r="K18" s="62">
        <f t="shared" si="4"/>
        <v>0.39024215101710114</v>
      </c>
    </row>
    <row r="19" spans="1:11" x14ac:dyDescent="0.2">
      <c r="A19" s="107" t="s">
        <v>112</v>
      </c>
      <c r="B19" s="73">
        <v>1</v>
      </c>
      <c r="C19" s="122">
        <f>VLOOKUP($B$3,'Data for Bill Impacts'!$A$3:$Y$15,7,0)</f>
        <v>34.219678307903934</v>
      </c>
      <c r="D19" s="22">
        <f>B19*C19</f>
        <v>34.219678307903934</v>
      </c>
      <c r="E19" s="73">
        <f t="shared" ref="E19:E41" si="6">B19</f>
        <v>1</v>
      </c>
      <c r="F19" s="122">
        <f>VLOOKUP($B$3,'Data for Bill Impacts'!$A$3:$Y$15,17,0)</f>
        <v>44.23967830790393</v>
      </c>
      <c r="G19" s="22">
        <f>E19*F19</f>
        <v>44.23967830790393</v>
      </c>
      <c r="H19" s="22">
        <f t="shared" si="1"/>
        <v>10.019999999999996</v>
      </c>
      <c r="I19" s="23">
        <f t="shared" si="2"/>
        <v>0.29281397416543259</v>
      </c>
      <c r="J19" s="23">
        <f t="shared" si="5"/>
        <v>0.35657994803621473</v>
      </c>
      <c r="K19" s="108">
        <f t="shared" si="4"/>
        <v>0.34441925214074709</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-0.02</v>
      </c>
      <c r="D22" s="22">
        <f t="shared" si="8"/>
        <v>-0.02</v>
      </c>
      <c r="E22" s="73">
        <f t="shared" si="6"/>
        <v>1</v>
      </c>
      <c r="F22" s="122">
        <f>VLOOKUP($B$3,'Data for Bill Impacts'!$A$3:$Y$15,22,0)</f>
        <v>-0.02</v>
      </c>
      <c r="G22" s="22">
        <f t="shared" si="7"/>
        <v>-0.02</v>
      </c>
      <c r="H22" s="22">
        <f t="shared" si="1"/>
        <v>0</v>
      </c>
      <c r="I22" s="23">
        <f t="shared" si="2"/>
        <v>0</v>
      </c>
      <c r="J22" s="23">
        <f t="shared" si="5"/>
        <v>-1.6120368034977669E-4</v>
      </c>
      <c r="K22" s="108">
        <f t="shared" si="4"/>
        <v>-1.5570603825083086E-4</v>
      </c>
    </row>
    <row r="23" spans="1:11" x14ac:dyDescent="0.2">
      <c r="A23" s="107" t="s">
        <v>39</v>
      </c>
      <c r="B23" s="73">
        <f>IF($B$9="kWh",$B$4,$B$5)</f>
        <v>450</v>
      </c>
      <c r="C23" s="78">
        <f>VLOOKUP($B$3,'Data for Bill Impacts'!$A$3:$Y$15,10,0)</f>
        <v>3.2199999999999999E-2</v>
      </c>
      <c r="D23" s="22">
        <f>B23*C23</f>
        <v>14.49</v>
      </c>
      <c r="E23" s="73">
        <f t="shared" si="6"/>
        <v>450</v>
      </c>
      <c r="F23" s="78">
        <f>VLOOKUP($B$3,'Data for Bill Impacts'!$A$3:$Y$15,19,0)</f>
        <v>2.6800000000000001E-2</v>
      </c>
      <c r="G23" s="22">
        <f>E23*F23</f>
        <v>12.06</v>
      </c>
      <c r="H23" s="22">
        <f t="shared" si="1"/>
        <v>-2.4299999999999997</v>
      </c>
      <c r="I23" s="23">
        <f t="shared" si="2"/>
        <v>-0.16770186335403725</v>
      </c>
      <c r="J23" s="23">
        <f t="shared" si="5"/>
        <v>9.7205819250915343E-2</v>
      </c>
      <c r="K23" s="108">
        <f t="shared" si="4"/>
        <v>9.3890741065251027E-2</v>
      </c>
    </row>
    <row r="24" spans="1:11" x14ac:dyDescent="0.2">
      <c r="A24" s="107" t="s">
        <v>121</v>
      </c>
      <c r="B24" s="73">
        <f>IF($B$9="kWh",$B$4,$B$5)</f>
        <v>450</v>
      </c>
      <c r="C24" s="126">
        <f>VLOOKUP($B$3,'Data for Bill Impacts'!$A$3:$Y$15,14,0)</f>
        <v>2.0000000000000001E-4</v>
      </c>
      <c r="D24" s="22">
        <f>B24*C24</f>
        <v>9.0000000000000011E-2</v>
      </c>
      <c r="E24" s="73">
        <f>B24</f>
        <v>450</v>
      </c>
      <c r="F24" s="126">
        <f>VLOOKUP($B$3,'Data for Bill Impacts'!$A$3:$Y$15,23,0)</f>
        <v>2.0000000000000001E-4</v>
      </c>
      <c r="G24" s="22">
        <f>E24*F24</f>
        <v>9.0000000000000011E-2</v>
      </c>
      <c r="H24" s="22">
        <f>G24-D24</f>
        <v>0</v>
      </c>
      <c r="I24" s="23">
        <f>IF(ISERROR(H24/D24),0,(H24/D24))</f>
        <v>0</v>
      </c>
      <c r="J24" s="23">
        <f t="shared" si="5"/>
        <v>7.254165615739952E-4</v>
      </c>
      <c r="K24" s="108">
        <f t="shared" si="4"/>
        <v>7.0067717212873902E-4</v>
      </c>
    </row>
    <row r="25" spans="1:11" s="1" customFormat="1" x14ac:dyDescent="0.2">
      <c r="A25" s="110" t="s">
        <v>72</v>
      </c>
      <c r="B25" s="74"/>
      <c r="C25" s="35"/>
      <c r="D25" s="35">
        <f>SUM(D19:D24)</f>
        <v>48.779678307903936</v>
      </c>
      <c r="E25" s="73"/>
      <c r="F25" s="35"/>
      <c r="G25" s="35">
        <f>SUM(G19:G24)</f>
        <v>56.369678307903932</v>
      </c>
      <c r="H25" s="35">
        <f t="shared" si="1"/>
        <v>7.5899999999999963</v>
      </c>
      <c r="I25" s="36">
        <f t="shared" si="2"/>
        <v>0.15559758209332356</v>
      </c>
      <c r="J25" s="36">
        <f t="shared" si="5"/>
        <v>0.45434998016835432</v>
      </c>
      <c r="K25" s="111">
        <f t="shared" si="4"/>
        <v>0.43885496433987603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6.3675453738161799E-3</v>
      </c>
      <c r="K26" s="108">
        <f t="shared" si="4"/>
        <v>6.1503885109078201E-3</v>
      </c>
    </row>
    <row r="27" spans="1:11" s="1" customFormat="1" x14ac:dyDescent="0.2">
      <c r="A27" s="119" t="s">
        <v>75</v>
      </c>
      <c r="B27" s="120">
        <f>B8-B4</f>
        <v>47.25</v>
      </c>
      <c r="C27" s="121">
        <f>IF(B4&gt;B7,C13,C12)</f>
        <v>0.10299999999999999</v>
      </c>
      <c r="D27" s="22">
        <f>B27*C27</f>
        <v>4.8667499999999997</v>
      </c>
      <c r="E27" s="73">
        <f>B27</f>
        <v>47.25</v>
      </c>
      <c r="F27" s="121">
        <f>C27</f>
        <v>0.10299999999999999</v>
      </c>
      <c r="G27" s="22">
        <f>E27*F27</f>
        <v>4.8667499999999997</v>
      </c>
      <c r="H27" s="22">
        <f t="shared" si="1"/>
        <v>0</v>
      </c>
      <c r="I27" s="23">
        <f>IF(ISERROR(H27/D27),0,(H27/D27))</f>
        <v>0</v>
      </c>
      <c r="J27" s="23">
        <f t="shared" ref="J27:J46" si="9">G27/$G$46</f>
        <v>3.9226900567113782E-2</v>
      </c>
      <c r="K27" s="108">
        <f t="shared" ref="K27:K41" si="10">G27/$G$51</f>
        <v>3.7889118082861557E-2</v>
      </c>
    </row>
    <row r="28" spans="1:11" s="1" customFormat="1" x14ac:dyDescent="0.2">
      <c r="A28" s="119" t="s">
        <v>74</v>
      </c>
      <c r="B28" s="120">
        <f>B8-B4</f>
        <v>47.25</v>
      </c>
      <c r="C28" s="121">
        <f>0.65*C15+0.17*C16+0.18*C17</f>
        <v>0.11139</v>
      </c>
      <c r="D28" s="22">
        <f>B28*C28</f>
        <v>5.2631775000000003</v>
      </c>
      <c r="E28" s="73">
        <f>B28</f>
        <v>47.25</v>
      </c>
      <c r="F28" s="121">
        <f>C28</f>
        <v>0.11139</v>
      </c>
      <c r="G28" s="22">
        <f>E28*F28</f>
        <v>5.2631775000000003</v>
      </c>
      <c r="H28" s="22">
        <f t="shared" si="1"/>
        <v>0</v>
      </c>
      <c r="I28" s="23">
        <f>IF(ISERROR(H28/D28),0,(H28/D28))</f>
        <v>0</v>
      </c>
      <c r="J28" s="23">
        <f t="shared" si="9"/>
        <v>4.242217916670684E-2</v>
      </c>
      <c r="K28" s="108">
        <f t="shared" si="10"/>
        <v>4.0975425856795623E-2</v>
      </c>
    </row>
    <row r="29" spans="1:11" s="1" customFormat="1" x14ac:dyDescent="0.2">
      <c r="A29" s="110" t="s">
        <v>78</v>
      </c>
      <c r="B29" s="74"/>
      <c r="C29" s="35"/>
      <c r="D29" s="35">
        <f>SUM(D25,D26:D27)</f>
        <v>54.436428307903938</v>
      </c>
      <c r="E29" s="73"/>
      <c r="F29" s="35"/>
      <c r="G29" s="35">
        <f>SUM(G25,G26:G27)</f>
        <v>62.026428307903927</v>
      </c>
      <c r="H29" s="35">
        <f t="shared" si="1"/>
        <v>7.5899999999999892</v>
      </c>
      <c r="I29" s="36">
        <f>IF(ISERROR(H29/D29),0,(H29/D29))</f>
        <v>0.1394286920712238</v>
      </c>
      <c r="J29" s="36">
        <f t="shared" si="9"/>
        <v>0.49994442610928425</v>
      </c>
      <c r="K29" s="111">
        <f t="shared" si="10"/>
        <v>0.4828944709336454</v>
      </c>
    </row>
    <row r="30" spans="1:11" s="1" customFormat="1" x14ac:dyDescent="0.2">
      <c r="A30" s="110" t="s">
        <v>77</v>
      </c>
      <c r="B30" s="74"/>
      <c r="C30" s="35"/>
      <c r="D30" s="35">
        <f>SUM(D25,D26,D28)</f>
        <v>54.832855807903933</v>
      </c>
      <c r="E30" s="73"/>
      <c r="F30" s="35"/>
      <c r="G30" s="35">
        <f>SUM(G25,G26,G28)</f>
        <v>62.422855807903929</v>
      </c>
      <c r="H30" s="35">
        <f t="shared" si="1"/>
        <v>7.5899999999999963</v>
      </c>
      <c r="I30" s="36">
        <f>IF(ISERROR(H30/D30),0,(H30/D30))</f>
        <v>0.13842065834743425</v>
      </c>
      <c r="J30" s="36">
        <f t="shared" si="9"/>
        <v>0.50313970470887726</v>
      </c>
      <c r="K30" s="111">
        <f t="shared" si="10"/>
        <v>0.48598077870757944</v>
      </c>
    </row>
    <row r="31" spans="1:11" x14ac:dyDescent="0.2">
      <c r="A31" s="107" t="s">
        <v>40</v>
      </c>
      <c r="B31" s="73">
        <f>B8</f>
        <v>497.25</v>
      </c>
      <c r="C31" s="126">
        <f>VLOOKUP($B$3,'Data for Bill Impacts'!$A$3:$Y$15,15,0)</f>
        <v>6.7400000000000003E-3</v>
      </c>
      <c r="D31" s="22">
        <f>B31*C31</f>
        <v>3.3514650000000001</v>
      </c>
      <c r="E31" s="73">
        <f t="shared" si="6"/>
        <v>497.25</v>
      </c>
      <c r="F31" s="126">
        <f>VLOOKUP($B$3,'Data for Bill Impacts'!$A$3:$Y$15,24,0)</f>
        <v>6.7400000000000003E-3</v>
      </c>
      <c r="G31" s="22">
        <f>E31*F31</f>
        <v>3.3514650000000001</v>
      </c>
      <c r="H31" s="22">
        <f t="shared" si="1"/>
        <v>0</v>
      </c>
      <c r="I31" s="23">
        <f t="shared" si="2"/>
        <v>0</v>
      </c>
      <c r="J31" s="23">
        <f t="shared" si="9"/>
        <v>2.7013424628173216E-2</v>
      </c>
      <c r="K31" s="108">
        <f t="shared" si="10"/>
        <v>2.6092166874316047E-2</v>
      </c>
    </row>
    <row r="32" spans="1:11" x14ac:dyDescent="0.2">
      <c r="A32" s="107" t="s">
        <v>41</v>
      </c>
      <c r="B32" s="73">
        <f>B8</f>
        <v>497.25</v>
      </c>
      <c r="C32" s="126">
        <f>VLOOKUP($B$3,'Data for Bill Impacts'!$A$3:$Y$15,16,0)</f>
        <v>5.6299999999999996E-3</v>
      </c>
      <c r="D32" s="22">
        <f>B32*C32</f>
        <v>2.7995174999999999</v>
      </c>
      <c r="E32" s="73">
        <f t="shared" si="6"/>
        <v>497.25</v>
      </c>
      <c r="F32" s="126">
        <f>VLOOKUP($B$3,'Data for Bill Impacts'!$A$3:$Y$15,25,0)</f>
        <v>5.6299999999999996E-3</v>
      </c>
      <c r="G32" s="22">
        <f>E32*F32</f>
        <v>2.7995174999999999</v>
      </c>
      <c r="H32" s="22">
        <f t="shared" si="1"/>
        <v>0</v>
      </c>
      <c r="I32" s="23">
        <f t="shared" si="2"/>
        <v>0</v>
      </c>
      <c r="J32" s="23">
        <f t="shared" si="9"/>
        <v>2.2564626210180298E-2</v>
      </c>
      <c r="K32" s="108">
        <f t="shared" si="10"/>
        <v>2.1795088946943521E-2</v>
      </c>
    </row>
    <row r="33" spans="1:11" s="1" customFormat="1" x14ac:dyDescent="0.2">
      <c r="A33" s="110" t="s">
        <v>76</v>
      </c>
      <c r="B33" s="74"/>
      <c r="C33" s="35"/>
      <c r="D33" s="35">
        <f>SUM(D31:D32)</f>
        <v>6.1509824999999996</v>
      </c>
      <c r="E33" s="73"/>
      <c r="F33" s="35"/>
      <c r="G33" s="35">
        <f>SUM(G31:G32)</f>
        <v>6.1509824999999996</v>
      </c>
      <c r="H33" s="35">
        <f t="shared" si="1"/>
        <v>0</v>
      </c>
      <c r="I33" s="36">
        <f t="shared" si="2"/>
        <v>0</v>
      </c>
      <c r="J33" s="36">
        <f t="shared" si="9"/>
        <v>4.957805083835351E-2</v>
      </c>
      <c r="K33" s="111">
        <f t="shared" si="10"/>
        <v>4.7887255821259564E-2</v>
      </c>
    </row>
    <row r="34" spans="1:11" s="1" customFormat="1" x14ac:dyDescent="0.2">
      <c r="A34" s="110" t="s">
        <v>91</v>
      </c>
      <c r="B34" s="74"/>
      <c r="C34" s="35"/>
      <c r="D34" s="35">
        <f>D29+D33</f>
        <v>60.587410807903936</v>
      </c>
      <c r="E34" s="73"/>
      <c r="F34" s="35"/>
      <c r="G34" s="35">
        <f>G29+G33</f>
        <v>68.177410807903925</v>
      </c>
      <c r="H34" s="35">
        <f t="shared" si="1"/>
        <v>7.5899999999999892</v>
      </c>
      <c r="I34" s="36">
        <f t="shared" si="2"/>
        <v>0.12527354938577165</v>
      </c>
      <c r="J34" s="36">
        <f t="shared" si="9"/>
        <v>0.54952247694763778</v>
      </c>
      <c r="K34" s="111">
        <f t="shared" si="10"/>
        <v>0.53078172675490498</v>
      </c>
    </row>
    <row r="35" spans="1:11" s="1" customFormat="1" x14ac:dyDescent="0.2">
      <c r="A35" s="110" t="s">
        <v>92</v>
      </c>
      <c r="B35" s="74"/>
      <c r="C35" s="35"/>
      <c r="D35" s="35">
        <f>D30+D33</f>
        <v>60.98383830790393</v>
      </c>
      <c r="E35" s="73"/>
      <c r="F35" s="35"/>
      <c r="G35" s="35">
        <f>G30+G33</f>
        <v>68.573838307903927</v>
      </c>
      <c r="H35" s="35">
        <f t="shared" si="1"/>
        <v>7.5899999999999963</v>
      </c>
      <c r="I35" s="36">
        <f t="shared" si="2"/>
        <v>0.12445920444821</v>
      </c>
      <c r="J35" s="36">
        <f t="shared" si="9"/>
        <v>0.55271775554723079</v>
      </c>
      <c r="K35" s="111">
        <f t="shared" si="10"/>
        <v>0.53386803452883902</v>
      </c>
    </row>
    <row r="36" spans="1:11" x14ac:dyDescent="0.2">
      <c r="A36" s="107" t="s">
        <v>42</v>
      </c>
      <c r="B36" s="73">
        <f>B8</f>
        <v>497.25</v>
      </c>
      <c r="C36" s="34">
        <v>3.5999999999999999E-3</v>
      </c>
      <c r="D36" s="22">
        <f>B36*C36</f>
        <v>1.7901</v>
      </c>
      <c r="E36" s="73">
        <f t="shared" si="6"/>
        <v>497.25</v>
      </c>
      <c r="F36" s="34">
        <v>3.5999999999999999E-3</v>
      </c>
      <c r="G36" s="22">
        <f>E36*F36</f>
        <v>1.7901</v>
      </c>
      <c r="H36" s="22">
        <f t="shared" si="1"/>
        <v>0</v>
      </c>
      <c r="I36" s="23">
        <f t="shared" si="2"/>
        <v>0</v>
      </c>
      <c r="J36" s="23">
        <f t="shared" si="9"/>
        <v>1.4428535409706763E-2</v>
      </c>
      <c r="K36" s="108">
        <f t="shared" si="10"/>
        <v>1.3936468953640617E-2</v>
      </c>
    </row>
    <row r="37" spans="1:11" x14ac:dyDescent="0.2">
      <c r="A37" s="107" t="s">
        <v>43</v>
      </c>
      <c r="B37" s="73">
        <f>B8</f>
        <v>497.25</v>
      </c>
      <c r="C37" s="34">
        <v>2.0999999999999999E-3</v>
      </c>
      <c r="D37" s="22">
        <f>B37*C37</f>
        <v>1.044225</v>
      </c>
      <c r="E37" s="73">
        <f t="shared" si="6"/>
        <v>497.25</v>
      </c>
      <c r="F37" s="34">
        <v>2.0999999999999999E-3</v>
      </c>
      <c r="G37" s="22">
        <f>E37*F37</f>
        <v>1.044225</v>
      </c>
      <c r="H37" s="22">
        <f>G37-D37</f>
        <v>0</v>
      </c>
      <c r="I37" s="23">
        <f t="shared" si="2"/>
        <v>0</v>
      </c>
      <c r="J37" s="23">
        <f t="shared" si="9"/>
        <v>8.4166456556622783E-3</v>
      </c>
      <c r="K37" s="108">
        <f t="shared" si="10"/>
        <v>8.1296068896236934E-3</v>
      </c>
    </row>
    <row r="38" spans="1:11" x14ac:dyDescent="0.2">
      <c r="A38" s="107" t="s">
        <v>96</v>
      </c>
      <c r="B38" s="73">
        <f>B8</f>
        <v>497.25</v>
      </c>
      <c r="C38" s="34">
        <v>1.1000000000000001E-3</v>
      </c>
      <c r="D38" s="22">
        <f>B38*C38</f>
        <v>0.54697499999999999</v>
      </c>
      <c r="E38" s="73">
        <f t="shared" si="6"/>
        <v>497.25</v>
      </c>
      <c r="F38" s="34">
        <v>1.1000000000000001E-3</v>
      </c>
      <c r="G38" s="22">
        <f>E38*F38</f>
        <v>0.54697499999999999</v>
      </c>
      <c r="H38" s="22">
        <f>G38-D38</f>
        <v>0</v>
      </c>
      <c r="I38" s="23">
        <f t="shared" ref="I38" si="11">IF(ISERROR(H38/D38),0,(H38/D38))</f>
        <v>0</v>
      </c>
      <c r="J38" s="23">
        <f t="shared" ref="J38" si="12">G38/$G$46</f>
        <v>4.4087191529659552E-3</v>
      </c>
      <c r="K38" s="108">
        <f t="shared" ref="K38" si="13">G38/$G$51</f>
        <v>4.2583655136124105E-3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2.0150460043722087E-3</v>
      </c>
      <c r="K39" s="108">
        <f t="shared" si="10"/>
        <v>1.9463254781353859E-3</v>
      </c>
    </row>
    <row r="40" spans="1:11" s="1" customFormat="1" x14ac:dyDescent="0.2">
      <c r="A40" s="110" t="s">
        <v>45</v>
      </c>
      <c r="B40" s="74"/>
      <c r="C40" s="35"/>
      <c r="D40" s="35">
        <f>SUM(D36:D39)</f>
        <v>3.6312999999999995</v>
      </c>
      <c r="E40" s="73"/>
      <c r="F40" s="35"/>
      <c r="G40" s="35">
        <f>SUM(G36:G39)</f>
        <v>3.6312999999999995</v>
      </c>
      <c r="H40" s="35">
        <f t="shared" si="1"/>
        <v>0</v>
      </c>
      <c r="I40" s="36">
        <f t="shared" si="2"/>
        <v>0</v>
      </c>
      <c r="J40" s="36">
        <f t="shared" si="9"/>
        <v>2.92689462227072E-2</v>
      </c>
      <c r="K40" s="111">
        <f t="shared" si="10"/>
        <v>2.8270766835012104E-2</v>
      </c>
    </row>
    <row r="41" spans="1:11" s="1" customFormat="1" ht="13.5" thickBot="1" x14ac:dyDescent="0.25">
      <c r="A41" s="112" t="s">
        <v>46</v>
      </c>
      <c r="B41" s="113">
        <f>B4</f>
        <v>450</v>
      </c>
      <c r="C41" s="114">
        <v>0</v>
      </c>
      <c r="D41" s="115">
        <f>B41*C41</f>
        <v>0</v>
      </c>
      <c r="E41" s="116">
        <f t="shared" si="6"/>
        <v>450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110.56871080790393</v>
      </c>
      <c r="E42" s="38"/>
      <c r="F42" s="39"/>
      <c r="G42" s="39">
        <f>SUM(G14,G25,G26,G27,G33,G40,G41)</f>
        <v>118.15871080790393</v>
      </c>
      <c r="H42" s="39">
        <f t="shared" si="1"/>
        <v>7.5900000000000034</v>
      </c>
      <c r="I42" s="40">
        <f>IF(ISERROR(H42/D42),0,(H42/D42))</f>
        <v>6.8645098098199381E-2</v>
      </c>
      <c r="J42" s="40">
        <f t="shared" si="9"/>
        <v>0.95238095238095244</v>
      </c>
      <c r="K42" s="41"/>
    </row>
    <row r="43" spans="1:11" x14ac:dyDescent="0.2">
      <c r="A43" s="154" t="s">
        <v>102</v>
      </c>
      <c r="B43" s="43"/>
      <c r="C43" s="26">
        <v>0.13</v>
      </c>
      <c r="D43" s="26">
        <f>D42*C43</f>
        <v>14.37393240502751</v>
      </c>
      <c r="E43" s="26"/>
      <c r="F43" s="26">
        <f>C43</f>
        <v>0.13</v>
      </c>
      <c r="G43" s="26">
        <f>G42*F43</f>
        <v>15.360632405027511</v>
      </c>
      <c r="H43" s="26">
        <f t="shared" si="1"/>
        <v>0.9867000000000008</v>
      </c>
      <c r="I43" s="44">
        <f t="shared" si="2"/>
        <v>6.8645098098199409E-2</v>
      </c>
      <c r="J43" s="44">
        <f t="shared" si="9"/>
        <v>0.12380952380952381</v>
      </c>
      <c r="K43" s="45"/>
    </row>
    <row r="44" spans="1:11" s="1" customFormat="1" x14ac:dyDescent="0.2">
      <c r="A44" s="46" t="s">
        <v>103</v>
      </c>
      <c r="B44" s="24"/>
      <c r="C44" s="25"/>
      <c r="D44" s="25">
        <f>SUM(D42:D43)</f>
        <v>124.94264321293144</v>
      </c>
      <c r="E44" s="25"/>
      <c r="F44" s="25"/>
      <c r="G44" s="25">
        <f>SUM(G42:G43)</f>
        <v>133.51934321293143</v>
      </c>
      <c r="H44" s="25">
        <f t="shared" si="1"/>
        <v>8.5766999999999882</v>
      </c>
      <c r="I44" s="27">
        <f t="shared" si="2"/>
        <v>6.8645098098199256E-2</v>
      </c>
      <c r="J44" s="27">
        <f t="shared" si="9"/>
        <v>1.0761904761904761</v>
      </c>
      <c r="K44" s="47"/>
    </row>
    <row r="45" spans="1:11" x14ac:dyDescent="0.2">
      <c r="A45" s="42" t="s">
        <v>104</v>
      </c>
      <c r="B45" s="43"/>
      <c r="C45" s="26">
        <v>-0.08</v>
      </c>
      <c r="D45" s="26">
        <f>D42*C45</f>
        <v>-8.8454968646323149</v>
      </c>
      <c r="E45" s="26"/>
      <c r="F45" s="26">
        <f>C45</f>
        <v>-0.08</v>
      </c>
      <c r="G45" s="26">
        <f>G42*F45</f>
        <v>-9.4526968646323137</v>
      </c>
      <c r="H45" s="26">
        <f t="shared" si="1"/>
        <v>-0.60719999999999885</v>
      </c>
      <c r="I45" s="44">
        <f t="shared" si="2"/>
        <v>6.8645098098199214E-2</v>
      </c>
      <c r="J45" s="44">
        <f t="shared" si="9"/>
        <v>-7.6190476190476197E-2</v>
      </c>
      <c r="K45" s="45"/>
    </row>
    <row r="46" spans="1:11" s="1" customFormat="1" ht="13.5" thickBot="1" x14ac:dyDescent="0.25">
      <c r="A46" s="48" t="s">
        <v>105</v>
      </c>
      <c r="B46" s="49"/>
      <c r="C46" s="50"/>
      <c r="D46" s="50">
        <f>SUM(D44:D45)</f>
        <v>116.09714634829913</v>
      </c>
      <c r="E46" s="50"/>
      <c r="F46" s="50"/>
      <c r="G46" s="50">
        <f>SUM(G44:G45)</f>
        <v>124.06664634829912</v>
      </c>
      <c r="H46" s="50">
        <f t="shared" si="1"/>
        <v>7.9694999999999823</v>
      </c>
      <c r="I46" s="51">
        <f t="shared" si="2"/>
        <v>6.8645098098199187E-2</v>
      </c>
      <c r="J46" s="51">
        <f t="shared" si="9"/>
        <v>1</v>
      </c>
      <c r="K46" s="52"/>
    </row>
    <row r="47" spans="1:11" x14ac:dyDescent="0.2">
      <c r="A47" s="53" t="s">
        <v>106</v>
      </c>
      <c r="B47" s="54"/>
      <c r="C47" s="55"/>
      <c r="D47" s="55">
        <f>SUM(D18,D25,D26,D28,D33,D40,D41)</f>
        <v>114.74063830790392</v>
      </c>
      <c r="E47" s="55"/>
      <c r="F47" s="55"/>
      <c r="G47" s="55">
        <f>SUM(G18,G25,G26,G28,G33,G40,G41)</f>
        <v>122.33063830790393</v>
      </c>
      <c r="H47" s="55">
        <f>G47-D47</f>
        <v>7.5900000000000034</v>
      </c>
      <c r="I47" s="56">
        <f>IF(ISERROR(H47/D47),0,(H47/D47))</f>
        <v>6.6149187523538169E-2</v>
      </c>
      <c r="J47" s="56"/>
      <c r="K47" s="57">
        <f>G47/$G$51</f>
        <v>0.95238095238095222</v>
      </c>
    </row>
    <row r="48" spans="1:11" x14ac:dyDescent="0.2">
      <c r="A48" s="155" t="s">
        <v>102</v>
      </c>
      <c r="B48" s="59"/>
      <c r="C48" s="31">
        <v>0.13</v>
      </c>
      <c r="D48" s="31">
        <f>D47*C48</f>
        <v>14.916282980027511</v>
      </c>
      <c r="E48" s="31"/>
      <c r="F48" s="31">
        <f>C48</f>
        <v>0.13</v>
      </c>
      <c r="G48" s="31">
        <f>G47*F48</f>
        <v>15.902982980027511</v>
      </c>
      <c r="H48" s="31">
        <f>G48-D48</f>
        <v>0.9867000000000008</v>
      </c>
      <c r="I48" s="32">
        <f>IF(ISERROR(H48/D48),0,(H48/D48))</f>
        <v>6.6149187523538183E-2</v>
      </c>
      <c r="J48" s="32"/>
      <c r="K48" s="60">
        <f>G48/$G$51</f>
        <v>0.1238095238095238</v>
      </c>
    </row>
    <row r="49" spans="1:11" x14ac:dyDescent="0.2">
      <c r="A49" s="61" t="s">
        <v>107</v>
      </c>
      <c r="B49" s="29"/>
      <c r="C49" s="30"/>
      <c r="D49" s="30">
        <f>SUM(D47:D48)</f>
        <v>129.65692128793143</v>
      </c>
      <c r="E49" s="30"/>
      <c r="F49" s="30"/>
      <c r="G49" s="30">
        <f>SUM(G47:G48)</f>
        <v>138.23362128793144</v>
      </c>
      <c r="H49" s="30">
        <f>G49-D49</f>
        <v>8.5767000000000166</v>
      </c>
      <c r="I49" s="33">
        <f>IF(ISERROR(H49/D49),0,(H49/D49))</f>
        <v>6.6149187523538266E-2</v>
      </c>
      <c r="J49" s="33"/>
      <c r="K49" s="62">
        <f>G49/$G$51</f>
        <v>1.0761904761904761</v>
      </c>
    </row>
    <row r="50" spans="1:11" x14ac:dyDescent="0.2">
      <c r="A50" s="58" t="s">
        <v>104</v>
      </c>
      <c r="B50" s="59"/>
      <c r="C50" s="31">
        <v>-0.08</v>
      </c>
      <c r="D50" s="31">
        <f>D47*C50</f>
        <v>-9.1792510646323144</v>
      </c>
      <c r="E50" s="31"/>
      <c r="F50" s="31">
        <f>C50</f>
        <v>-0.08</v>
      </c>
      <c r="G50" s="31">
        <f>G47*F50</f>
        <v>-9.7864510646323151</v>
      </c>
      <c r="H50" s="31">
        <f>G50-D50</f>
        <v>-0.60720000000000063</v>
      </c>
      <c r="I50" s="32">
        <f>IF(ISERROR(H50/D50),0,(H50/D50))</f>
        <v>6.6149187523538197E-2</v>
      </c>
      <c r="J50" s="32"/>
      <c r="K50" s="60">
        <f>G50/$G$51</f>
        <v>-7.6190476190476183E-2</v>
      </c>
    </row>
    <row r="51" spans="1:11" ht="13.5" thickBot="1" x14ac:dyDescent="0.25">
      <c r="A51" s="63" t="s">
        <v>116</v>
      </c>
      <c r="B51" s="64"/>
      <c r="C51" s="65"/>
      <c r="D51" s="65">
        <f>SUM(D49:D50)</f>
        <v>120.47767022329911</v>
      </c>
      <c r="E51" s="65"/>
      <c r="F51" s="65"/>
      <c r="G51" s="65">
        <f>SUM(G49:G50)</f>
        <v>128.44717022329914</v>
      </c>
      <c r="H51" s="65">
        <f>G51-D51</f>
        <v>7.9695000000000249</v>
      </c>
      <c r="I51" s="66">
        <f>IF(ISERROR(H51/D51),0,(H51/D51))</f>
        <v>6.614918752353835E-2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1" tint="0.499984740745262"/>
    <pageSetUpPr fitToPage="1"/>
  </sheetPr>
  <dimension ref="A1:K68"/>
  <sheetViews>
    <sheetView tabSelected="1" zoomScaleNormal="100" zoomScaleSheetLayoutView="100" workbookViewId="0">
      <selection activeCell="C3" sqref="C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118</v>
      </c>
      <c r="B1" s="188"/>
      <c r="C1" s="188"/>
      <c r="D1" s="188"/>
      <c r="E1" s="188"/>
      <c r="F1" s="188"/>
      <c r="G1" s="188"/>
      <c r="H1" s="188"/>
      <c r="I1" s="188"/>
      <c r="J1" s="188"/>
      <c r="K1" s="189"/>
    </row>
    <row r="3" spans="1:11" x14ac:dyDescent="0.2">
      <c r="A3" s="13" t="s">
        <v>13</v>
      </c>
      <c r="B3" s="13" t="s">
        <v>2</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68">
        <f>B4*B6</f>
        <v>828.75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0.34444446506359655</v>
      </c>
      <c r="K12" s="106"/>
    </row>
    <row r="13" spans="1:11" x14ac:dyDescent="0.2">
      <c r="A13" s="107" t="s">
        <v>32</v>
      </c>
      <c r="B13" s="73">
        <f>IF(B4&gt;B7,(B4)-B7,0)</f>
        <v>150</v>
      </c>
      <c r="C13" s="21">
        <v>0.121</v>
      </c>
      <c r="D13" s="22">
        <f>B13*C13</f>
        <v>18.149999999999999</v>
      </c>
      <c r="E13" s="73">
        <f t="shared" ref="E13" si="0">B13</f>
        <v>150</v>
      </c>
      <c r="F13" s="21">
        <f>C13</f>
        <v>0.121</v>
      </c>
      <c r="G13" s="22">
        <f>E13*F13</f>
        <v>18.149999999999999</v>
      </c>
      <c r="H13" s="22">
        <f t="shared" ref="H13:H46" si="1">G13-D13</f>
        <v>0</v>
      </c>
      <c r="I13" s="23">
        <f t="shared" ref="I13:I46" si="2">IF(ISERROR(H13/D13),0,(H13/D13))</f>
        <v>0</v>
      </c>
      <c r="J13" s="23">
        <f>G13/$G$46</f>
        <v>0.10115966085605627</v>
      </c>
      <c r="K13" s="108"/>
    </row>
    <row r="14" spans="1:11" s="1" customFormat="1" x14ac:dyDescent="0.2">
      <c r="A14" s="46" t="s">
        <v>33</v>
      </c>
      <c r="B14" s="24"/>
      <c r="C14" s="25"/>
      <c r="D14" s="25">
        <f>SUM(D12:D13)</f>
        <v>79.949999999999989</v>
      </c>
      <c r="E14" s="76"/>
      <c r="F14" s="25"/>
      <c r="G14" s="25">
        <f>SUM(G12:G13)</f>
        <v>79.949999999999989</v>
      </c>
      <c r="H14" s="25">
        <f t="shared" si="1"/>
        <v>0</v>
      </c>
      <c r="I14" s="27">
        <f t="shared" si="2"/>
        <v>0</v>
      </c>
      <c r="J14" s="27">
        <f>G14/$G$46</f>
        <v>0.44560412591965276</v>
      </c>
      <c r="K14" s="108"/>
    </row>
    <row r="15" spans="1:11" s="1" customFormat="1" x14ac:dyDescent="0.2">
      <c r="A15" s="109" t="s">
        <v>34</v>
      </c>
      <c r="B15" s="75">
        <f>B4*0.65</f>
        <v>487.5</v>
      </c>
      <c r="C15" s="28">
        <v>8.6999999999999994E-2</v>
      </c>
      <c r="D15" s="22">
        <f>B15*C15</f>
        <v>42.412499999999994</v>
      </c>
      <c r="E15" s="73">
        <f t="shared" ref="E15:F17" si="3">B15</f>
        <v>487.5</v>
      </c>
      <c r="F15" s="28">
        <f t="shared" si="3"/>
        <v>8.6999999999999994E-2</v>
      </c>
      <c r="G15" s="22">
        <f>E15*F15</f>
        <v>42.412499999999994</v>
      </c>
      <c r="H15" s="22">
        <f t="shared" si="1"/>
        <v>0</v>
      </c>
      <c r="I15" s="23">
        <f t="shared" si="2"/>
        <v>0</v>
      </c>
      <c r="J15" s="23"/>
      <c r="K15" s="108">
        <f t="shared" ref="K15:K26" si="4">G15/$G$51</f>
        <v>0.23252869667599038</v>
      </c>
    </row>
    <row r="16" spans="1:11" s="1" customFormat="1" x14ac:dyDescent="0.2">
      <c r="A16" s="109" t="s">
        <v>35</v>
      </c>
      <c r="B16" s="75">
        <f>B4*0.17</f>
        <v>127.50000000000001</v>
      </c>
      <c r="C16" s="28">
        <v>0.13200000000000001</v>
      </c>
      <c r="D16" s="22">
        <f>B16*C16</f>
        <v>16.830000000000002</v>
      </c>
      <c r="E16" s="73">
        <f t="shared" si="3"/>
        <v>127.50000000000001</v>
      </c>
      <c r="F16" s="28">
        <f t="shared" si="3"/>
        <v>0.13200000000000001</v>
      </c>
      <c r="G16" s="22">
        <f>E16*F16</f>
        <v>16.830000000000002</v>
      </c>
      <c r="H16" s="22">
        <f t="shared" si="1"/>
        <v>0</v>
      </c>
      <c r="I16" s="23">
        <f t="shared" si="2"/>
        <v>0</v>
      </c>
      <c r="J16" s="23"/>
      <c r="K16" s="108">
        <f t="shared" si="4"/>
        <v>9.2271334277793562E-2</v>
      </c>
    </row>
    <row r="17" spans="1:11" s="1" customFormat="1" x14ac:dyDescent="0.2">
      <c r="A17" s="109" t="s">
        <v>36</v>
      </c>
      <c r="B17" s="75">
        <f>B4*0.18</f>
        <v>135</v>
      </c>
      <c r="C17" s="28">
        <v>0.18</v>
      </c>
      <c r="D17" s="22">
        <f>B17*C17</f>
        <v>24.3</v>
      </c>
      <c r="E17" s="73">
        <f t="shared" si="3"/>
        <v>135</v>
      </c>
      <c r="F17" s="28">
        <f t="shared" si="3"/>
        <v>0.18</v>
      </c>
      <c r="G17" s="22">
        <f>E17*F17</f>
        <v>24.3</v>
      </c>
      <c r="H17" s="22">
        <f t="shared" si="1"/>
        <v>0</v>
      </c>
      <c r="I17" s="23">
        <f t="shared" si="2"/>
        <v>0</v>
      </c>
      <c r="J17" s="23"/>
      <c r="K17" s="108">
        <f t="shared" si="4"/>
        <v>0.13322599066847196</v>
      </c>
    </row>
    <row r="18" spans="1:11" s="1" customFormat="1" x14ac:dyDescent="0.2">
      <c r="A18" s="61" t="s">
        <v>37</v>
      </c>
      <c r="B18" s="29"/>
      <c r="C18" s="30"/>
      <c r="D18" s="30">
        <f>SUM(D15:D17)</f>
        <v>83.54249999999999</v>
      </c>
      <c r="E18" s="77"/>
      <c r="F18" s="30"/>
      <c r="G18" s="30">
        <f>SUM(G15:G17)</f>
        <v>83.54249999999999</v>
      </c>
      <c r="H18" s="31">
        <f t="shared" si="1"/>
        <v>0</v>
      </c>
      <c r="I18" s="32">
        <f t="shared" si="2"/>
        <v>0</v>
      </c>
      <c r="J18" s="33">
        <f t="shared" ref="J18:J26" si="5">G18/$G$46</f>
        <v>0.46562705052711184</v>
      </c>
      <c r="K18" s="62">
        <f t="shared" si="4"/>
        <v>0.45802602162225586</v>
      </c>
    </row>
    <row r="19" spans="1:11" x14ac:dyDescent="0.2">
      <c r="A19" s="107" t="s">
        <v>112</v>
      </c>
      <c r="B19" s="73">
        <v>1</v>
      </c>
      <c r="C19" s="122">
        <f>VLOOKUP($B$3,'Data for Bill Impacts'!$A$3:$Y$15,7,0)</f>
        <v>34.219678307903934</v>
      </c>
      <c r="D19" s="22">
        <f>B19*C19</f>
        <v>34.219678307903934</v>
      </c>
      <c r="E19" s="73">
        <f t="shared" ref="E19:E41" si="6">B19</f>
        <v>1</v>
      </c>
      <c r="F19" s="122">
        <f>VLOOKUP($B$3,'Data for Bill Impacts'!$A$3:$Y$15,17,0)</f>
        <v>44.23967830790393</v>
      </c>
      <c r="G19" s="22">
        <f>E19*F19</f>
        <v>44.23967830790393</v>
      </c>
      <c r="H19" s="22">
        <f t="shared" si="1"/>
        <v>10.019999999999996</v>
      </c>
      <c r="I19" s="23">
        <f t="shared" si="2"/>
        <v>0.29281397416543259</v>
      </c>
      <c r="J19" s="23">
        <f t="shared" si="5"/>
        <v>0.24657139691507388</v>
      </c>
      <c r="K19" s="108">
        <f t="shared" si="4"/>
        <v>0.24254629503806627</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-0.02</v>
      </c>
      <c r="D22" s="22">
        <f t="shared" si="8"/>
        <v>-0.02</v>
      </c>
      <c r="E22" s="73">
        <f t="shared" si="6"/>
        <v>1</v>
      </c>
      <c r="F22" s="122">
        <f>VLOOKUP($B$3,'Data for Bill Impacts'!$A$3:$Y$15,22,0)</f>
        <v>-0.02</v>
      </c>
      <c r="G22" s="22">
        <f t="shared" si="7"/>
        <v>-0.02</v>
      </c>
      <c r="H22" s="22">
        <f t="shared" si="1"/>
        <v>0</v>
      </c>
      <c r="I22" s="23">
        <f t="shared" si="2"/>
        <v>0</v>
      </c>
      <c r="J22" s="23">
        <f t="shared" si="5"/>
        <v>-1.114707006678306E-4</v>
      </c>
      <c r="K22" s="108">
        <f t="shared" si="4"/>
        <v>-1.0965102112631437E-4</v>
      </c>
    </row>
    <row r="23" spans="1:11" x14ac:dyDescent="0.2">
      <c r="A23" s="107" t="s">
        <v>39</v>
      </c>
      <c r="B23" s="73">
        <f>IF($B$9="kWh",$B$4,$B$5)</f>
        <v>750</v>
      </c>
      <c r="C23" s="78">
        <f>VLOOKUP($B$3,'Data for Bill Impacts'!$A$3:$Y$15,10,0)</f>
        <v>3.2199999999999999E-2</v>
      </c>
      <c r="D23" s="22">
        <f>B23*C23</f>
        <v>24.15</v>
      </c>
      <c r="E23" s="73">
        <f t="shared" si="6"/>
        <v>750</v>
      </c>
      <c r="F23" s="78">
        <f>VLOOKUP($B$3,'Data for Bill Impacts'!$A$3:$Y$15,19,0)</f>
        <v>2.6800000000000001E-2</v>
      </c>
      <c r="G23" s="22">
        <f>E23*F23</f>
        <v>20.100000000000001</v>
      </c>
      <c r="H23" s="22">
        <f t="shared" si="1"/>
        <v>-4.0499999999999972</v>
      </c>
      <c r="I23" s="23">
        <f t="shared" si="2"/>
        <v>-0.16770186335403717</v>
      </c>
      <c r="J23" s="23">
        <f t="shared" si="5"/>
        <v>0.11202805417116976</v>
      </c>
      <c r="K23" s="108">
        <f t="shared" si="4"/>
        <v>0.11019927623194596</v>
      </c>
    </row>
    <row r="24" spans="1:11" x14ac:dyDescent="0.2">
      <c r="A24" s="107" t="s">
        <v>121</v>
      </c>
      <c r="B24" s="73">
        <f>IF($B$9="kWh",$B$4,$B$5)</f>
        <v>750</v>
      </c>
      <c r="C24" s="126">
        <f>VLOOKUP($B$3,'Data for Bill Impacts'!$A$3:$Y$15,14,0)</f>
        <v>2.0000000000000001E-4</v>
      </c>
      <c r="D24" s="22">
        <f>B24*C24</f>
        <v>0.15</v>
      </c>
      <c r="E24" s="73">
        <f>B24</f>
        <v>750</v>
      </c>
      <c r="F24" s="126">
        <f>VLOOKUP($B$3,'Data for Bill Impacts'!$A$3:$Y$15,23,0)</f>
        <v>2.0000000000000001E-4</v>
      </c>
      <c r="G24" s="22">
        <f>E24*F24</f>
        <v>0.15</v>
      </c>
      <c r="H24" s="22">
        <f>G24-D24</f>
        <v>0</v>
      </c>
      <c r="I24" s="23">
        <f>IF(ISERROR(H24/D24),0,(H24/D24))</f>
        <v>0</v>
      </c>
      <c r="J24" s="23">
        <f t="shared" si="5"/>
        <v>8.360302550087295E-4</v>
      </c>
      <c r="K24" s="108">
        <f t="shared" si="4"/>
        <v>8.2238265844735781E-4</v>
      </c>
    </row>
    <row r="25" spans="1:11" s="1" customFormat="1" x14ac:dyDescent="0.2">
      <c r="A25" s="110" t="s">
        <v>72</v>
      </c>
      <c r="B25" s="74"/>
      <c r="C25" s="35"/>
      <c r="D25" s="35">
        <f>SUM(D19:D24)</f>
        <v>58.499678307903928</v>
      </c>
      <c r="E25" s="73"/>
      <c r="F25" s="35"/>
      <c r="G25" s="35">
        <f>SUM(G19:G24)</f>
        <v>64.469678307903934</v>
      </c>
      <c r="H25" s="35">
        <f t="shared" si="1"/>
        <v>5.970000000000006</v>
      </c>
      <c r="I25" s="36">
        <f t="shared" si="2"/>
        <v>0.10205184323540793</v>
      </c>
      <c r="J25" s="36">
        <f t="shared" si="5"/>
        <v>0.35932401064058456</v>
      </c>
      <c r="K25" s="111">
        <f t="shared" si="4"/>
        <v>0.35345830290733332</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4.4030926763793093E-3</v>
      </c>
      <c r="K26" s="108">
        <f t="shared" si="4"/>
        <v>4.3312153344894182E-3</v>
      </c>
    </row>
    <row r="27" spans="1:11" s="1" customFormat="1" x14ac:dyDescent="0.2">
      <c r="A27" s="119" t="s">
        <v>75</v>
      </c>
      <c r="B27" s="120">
        <f>B8-B4</f>
        <v>78.75</v>
      </c>
      <c r="C27" s="121">
        <f>IF(B4&gt;B7,C13,C12)</f>
        <v>0.121</v>
      </c>
      <c r="D27" s="22">
        <f>B27*C27</f>
        <v>9.5287500000000005</v>
      </c>
      <c r="E27" s="73">
        <f>B27</f>
        <v>78.75</v>
      </c>
      <c r="F27" s="121">
        <f>C27</f>
        <v>0.121</v>
      </c>
      <c r="G27" s="22">
        <f>E27*F27</f>
        <v>9.5287500000000005</v>
      </c>
      <c r="H27" s="22">
        <f t="shared" si="1"/>
        <v>0</v>
      </c>
      <c r="I27" s="23">
        <f>IF(ISERROR(H27/D27),0,(H27/D27))</f>
        <v>0</v>
      </c>
      <c r="J27" s="23">
        <f t="shared" ref="J27:J46" si="9">G27/$G$46</f>
        <v>5.3108821949429542E-2</v>
      </c>
      <c r="K27" s="108">
        <f t="shared" ref="K27:K41" si="10">G27/$G$51</f>
        <v>5.2241858377868405E-2</v>
      </c>
    </row>
    <row r="28" spans="1:11" s="1" customFormat="1" x14ac:dyDescent="0.2">
      <c r="A28" s="119" t="s">
        <v>74</v>
      </c>
      <c r="B28" s="120">
        <f>B8-B4</f>
        <v>78.75</v>
      </c>
      <c r="C28" s="121">
        <f>0.65*C15+0.17*C16+0.18*C17</f>
        <v>0.11139</v>
      </c>
      <c r="D28" s="22">
        <f>B28*C28</f>
        <v>8.7719625000000008</v>
      </c>
      <c r="E28" s="73">
        <f>B28</f>
        <v>78.75</v>
      </c>
      <c r="F28" s="121">
        <f>C28</f>
        <v>0.11139</v>
      </c>
      <c r="G28" s="22">
        <f>E28*F28</f>
        <v>8.7719625000000008</v>
      </c>
      <c r="H28" s="22">
        <f t="shared" si="1"/>
        <v>0</v>
      </c>
      <c r="I28" s="23">
        <f>IF(ISERROR(H28/D28),0,(H28/D28))</f>
        <v>0</v>
      </c>
      <c r="J28" s="23">
        <f t="shared" si="9"/>
        <v>4.8890840305346753E-2</v>
      </c>
      <c r="K28" s="108">
        <f t="shared" si="10"/>
        <v>4.8092732270336877E-2</v>
      </c>
    </row>
    <row r="29" spans="1:11" s="1" customFormat="1" x14ac:dyDescent="0.2">
      <c r="A29" s="110" t="s">
        <v>78</v>
      </c>
      <c r="B29" s="74"/>
      <c r="C29" s="35"/>
      <c r="D29" s="35">
        <f>SUM(D25,D26:D27)</f>
        <v>68.818428307903929</v>
      </c>
      <c r="E29" s="73"/>
      <c r="F29" s="35"/>
      <c r="G29" s="35">
        <f>SUM(G25,G26:G27)</f>
        <v>74.788428307903942</v>
      </c>
      <c r="H29" s="35">
        <f t="shared" si="1"/>
        <v>5.9700000000000131</v>
      </c>
      <c r="I29" s="36">
        <f>IF(ISERROR(H29/D29),0,(H29/D29))</f>
        <v>8.6750019533857137E-2</v>
      </c>
      <c r="J29" s="36">
        <f t="shared" si="9"/>
        <v>0.41683592526639346</v>
      </c>
      <c r="K29" s="111">
        <f t="shared" si="10"/>
        <v>0.41003137661969119</v>
      </c>
    </row>
    <row r="30" spans="1:11" s="1" customFormat="1" x14ac:dyDescent="0.2">
      <c r="A30" s="110" t="s">
        <v>77</v>
      </c>
      <c r="B30" s="74"/>
      <c r="C30" s="35"/>
      <c r="D30" s="35">
        <f>SUM(D25,D26,D28)</f>
        <v>68.061640807903927</v>
      </c>
      <c r="E30" s="73"/>
      <c r="F30" s="35"/>
      <c r="G30" s="35">
        <f>SUM(G25,G26,G28)</f>
        <v>74.031640807903941</v>
      </c>
      <c r="H30" s="35">
        <f t="shared" si="1"/>
        <v>5.9700000000000131</v>
      </c>
      <c r="I30" s="36">
        <f>IF(ISERROR(H30/D30),0,(H30/D30))</f>
        <v>8.7714605894524997E-2</v>
      </c>
      <c r="J30" s="36">
        <f t="shared" si="9"/>
        <v>0.41261794362231063</v>
      </c>
      <c r="K30" s="111">
        <f t="shared" si="10"/>
        <v>0.40588225051215965</v>
      </c>
    </row>
    <row r="31" spans="1:11" x14ac:dyDescent="0.2">
      <c r="A31" s="107" t="s">
        <v>40</v>
      </c>
      <c r="B31" s="73">
        <f>B8</f>
        <v>828.75</v>
      </c>
      <c r="C31" s="126">
        <f>VLOOKUP($B$3,'Data for Bill Impacts'!$A$3:$Y$15,15,0)</f>
        <v>6.7400000000000003E-3</v>
      </c>
      <c r="D31" s="22">
        <f>B31*C31</f>
        <v>5.5857749999999999</v>
      </c>
      <c r="E31" s="73">
        <f t="shared" si="6"/>
        <v>828.75</v>
      </c>
      <c r="F31" s="126">
        <f>VLOOKUP($B$3,'Data for Bill Impacts'!$A$3:$Y$15,24,0)</f>
        <v>6.7400000000000003E-3</v>
      </c>
      <c r="G31" s="22">
        <f>E31*F31</f>
        <v>5.5857749999999999</v>
      </c>
      <c r="H31" s="22">
        <f t="shared" si="1"/>
        <v>0</v>
      </c>
      <c r="I31" s="23">
        <f t="shared" si="2"/>
        <v>0</v>
      </c>
      <c r="J31" s="23">
        <f t="shared" si="9"/>
        <v>3.1132512651142571E-2</v>
      </c>
      <c r="K31" s="108">
        <f t="shared" si="10"/>
        <v>3.0624296626591933E-2</v>
      </c>
    </row>
    <row r="32" spans="1:11" x14ac:dyDescent="0.2">
      <c r="A32" s="107" t="s">
        <v>41</v>
      </c>
      <c r="B32" s="73">
        <f>B8</f>
        <v>828.75</v>
      </c>
      <c r="C32" s="126">
        <f>VLOOKUP($B$3,'Data for Bill Impacts'!$A$3:$Y$15,16,0)</f>
        <v>5.6299999999999996E-3</v>
      </c>
      <c r="D32" s="22">
        <f>B32*C32</f>
        <v>4.6658624999999994</v>
      </c>
      <c r="E32" s="73">
        <f t="shared" si="6"/>
        <v>828.75</v>
      </c>
      <c r="F32" s="126">
        <f>VLOOKUP($B$3,'Data for Bill Impacts'!$A$3:$Y$15,25,0)</f>
        <v>5.6299999999999996E-3</v>
      </c>
      <c r="G32" s="22">
        <f>E32*F32</f>
        <v>4.6658624999999994</v>
      </c>
      <c r="H32" s="22">
        <f t="shared" si="1"/>
        <v>0</v>
      </c>
      <c r="I32" s="23">
        <f t="shared" si="2"/>
        <v>0</v>
      </c>
      <c r="J32" s="23">
        <f t="shared" si="9"/>
        <v>2.6005348104737785E-2</v>
      </c>
      <c r="K32" s="108">
        <f t="shared" si="10"/>
        <v>2.5580829377998895E-2</v>
      </c>
    </row>
    <row r="33" spans="1:11" s="1" customFormat="1" x14ac:dyDescent="0.2">
      <c r="A33" s="110" t="s">
        <v>76</v>
      </c>
      <c r="B33" s="74"/>
      <c r="C33" s="35"/>
      <c r="D33" s="35">
        <f>SUM(D31:D32)</f>
        <v>10.251637499999999</v>
      </c>
      <c r="E33" s="73"/>
      <c r="F33" s="35"/>
      <c r="G33" s="35">
        <f>SUM(G31:G32)</f>
        <v>10.251637499999999</v>
      </c>
      <c r="H33" s="35">
        <f t="shared" si="1"/>
        <v>0</v>
      </c>
      <c r="I33" s="36">
        <f t="shared" si="2"/>
        <v>0</v>
      </c>
      <c r="J33" s="36">
        <f t="shared" si="9"/>
        <v>5.7137860755880357E-2</v>
      </c>
      <c r="K33" s="111">
        <f t="shared" si="10"/>
        <v>5.6205126004590829E-2</v>
      </c>
    </row>
    <row r="34" spans="1:11" s="1" customFormat="1" x14ac:dyDescent="0.2">
      <c r="A34" s="110" t="s">
        <v>91</v>
      </c>
      <c r="B34" s="74"/>
      <c r="C34" s="35"/>
      <c r="D34" s="35">
        <f>D29+D33</f>
        <v>79.07006580790393</v>
      </c>
      <c r="E34" s="73"/>
      <c r="F34" s="35"/>
      <c r="G34" s="35">
        <f>G29+G33</f>
        <v>85.040065807903943</v>
      </c>
      <c r="H34" s="35">
        <f t="shared" si="1"/>
        <v>5.9700000000000131</v>
      </c>
      <c r="I34" s="36">
        <f t="shared" si="2"/>
        <v>7.5502656270753296E-2</v>
      </c>
      <c r="J34" s="36">
        <f t="shared" si="9"/>
        <v>0.4739737860222738</v>
      </c>
      <c r="K34" s="111">
        <f t="shared" si="10"/>
        <v>0.46623650262428201</v>
      </c>
    </row>
    <row r="35" spans="1:11" s="1" customFormat="1" x14ac:dyDescent="0.2">
      <c r="A35" s="110" t="s">
        <v>92</v>
      </c>
      <c r="B35" s="74"/>
      <c r="C35" s="35"/>
      <c r="D35" s="35">
        <f>D30+D33</f>
        <v>78.313278307903929</v>
      </c>
      <c r="E35" s="73"/>
      <c r="F35" s="35"/>
      <c r="G35" s="35">
        <f>G30+G33</f>
        <v>84.283278307903942</v>
      </c>
      <c r="H35" s="35">
        <f t="shared" si="1"/>
        <v>5.9700000000000131</v>
      </c>
      <c r="I35" s="36">
        <f t="shared" si="2"/>
        <v>7.6232283068623355E-2</v>
      </c>
      <c r="J35" s="36">
        <f t="shared" si="9"/>
        <v>0.46975580437819103</v>
      </c>
      <c r="K35" s="111">
        <f t="shared" si="10"/>
        <v>0.46208737651675047</v>
      </c>
    </row>
    <row r="36" spans="1:11" x14ac:dyDescent="0.2">
      <c r="A36" s="107" t="s">
        <v>42</v>
      </c>
      <c r="B36" s="73">
        <f>B8</f>
        <v>828.75</v>
      </c>
      <c r="C36" s="34">
        <v>3.5999999999999999E-3</v>
      </c>
      <c r="D36" s="22">
        <f>B36*C36</f>
        <v>2.9834999999999998</v>
      </c>
      <c r="E36" s="73">
        <f t="shared" si="6"/>
        <v>828.75</v>
      </c>
      <c r="F36" s="34">
        <v>3.5999999999999999E-3</v>
      </c>
      <c r="G36" s="22">
        <f>E36*F36</f>
        <v>2.9834999999999998</v>
      </c>
      <c r="H36" s="22">
        <f t="shared" si="1"/>
        <v>0</v>
      </c>
      <c r="I36" s="23">
        <f t="shared" si="2"/>
        <v>0</v>
      </c>
      <c r="J36" s="23">
        <f t="shared" si="9"/>
        <v>1.6628641772123628E-2</v>
      </c>
      <c r="K36" s="108">
        <f t="shared" si="10"/>
        <v>1.6357191076517945E-2</v>
      </c>
    </row>
    <row r="37" spans="1:11" x14ac:dyDescent="0.2">
      <c r="A37" s="107" t="s">
        <v>43</v>
      </c>
      <c r="B37" s="73">
        <f>B8</f>
        <v>828.75</v>
      </c>
      <c r="C37" s="34">
        <v>2.0999999999999999E-3</v>
      </c>
      <c r="D37" s="22">
        <f>B37*C37</f>
        <v>1.7403749999999998</v>
      </c>
      <c r="E37" s="73">
        <f t="shared" si="6"/>
        <v>828.75</v>
      </c>
      <c r="F37" s="34">
        <v>2.0999999999999999E-3</v>
      </c>
      <c r="G37" s="22">
        <f>E37*F37</f>
        <v>1.7403749999999998</v>
      </c>
      <c r="H37" s="22">
        <f>G37-D37</f>
        <v>0</v>
      </c>
      <c r="I37" s="23">
        <f t="shared" si="2"/>
        <v>0</v>
      </c>
      <c r="J37" s="23">
        <f t="shared" si="9"/>
        <v>9.7000410337387821E-3</v>
      </c>
      <c r="K37" s="108">
        <f t="shared" si="10"/>
        <v>9.5416947946354684E-3</v>
      </c>
    </row>
    <row r="38" spans="1:11" x14ac:dyDescent="0.2">
      <c r="A38" s="107" t="s">
        <v>96</v>
      </c>
      <c r="B38" s="73">
        <f>B8</f>
        <v>828.75</v>
      </c>
      <c r="C38" s="34">
        <v>1.1000000000000001E-3</v>
      </c>
      <c r="D38" s="22">
        <f>B38*C38</f>
        <v>0.91162500000000002</v>
      </c>
      <c r="E38" s="73">
        <f t="shared" si="6"/>
        <v>828.75</v>
      </c>
      <c r="F38" s="34">
        <v>1.1000000000000001E-3</v>
      </c>
      <c r="G38" s="22">
        <f>E38*F38</f>
        <v>0.91162500000000002</v>
      </c>
      <c r="H38" s="22">
        <f>G38-D38</f>
        <v>0</v>
      </c>
      <c r="I38" s="23">
        <f t="shared" ref="I38" si="11">IF(ISERROR(H38/D38),0,(H38/D38))</f>
        <v>0</v>
      </c>
      <c r="J38" s="23">
        <f t="shared" ref="J38" si="12">G38/$G$46</f>
        <v>5.0809738748155532E-3</v>
      </c>
      <c r="K38" s="108">
        <f t="shared" ref="K38" si="13">G38/$G$51</f>
        <v>4.9980306067138169E-3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1.3933837583478825E-3</v>
      </c>
      <c r="K39" s="108">
        <f t="shared" si="10"/>
        <v>1.3706377640789298E-3</v>
      </c>
    </row>
    <row r="40" spans="1:11" s="1" customFormat="1" x14ac:dyDescent="0.2">
      <c r="A40" s="110" t="s">
        <v>45</v>
      </c>
      <c r="B40" s="74"/>
      <c r="C40" s="35"/>
      <c r="D40" s="35">
        <f>SUM(D36:D39)</f>
        <v>5.8854999999999995</v>
      </c>
      <c r="E40" s="73"/>
      <c r="F40" s="35"/>
      <c r="G40" s="35">
        <f>SUM(G36:G39)</f>
        <v>5.8854999999999995</v>
      </c>
      <c r="H40" s="35">
        <f t="shared" si="1"/>
        <v>0</v>
      </c>
      <c r="I40" s="36">
        <f t="shared" si="2"/>
        <v>0</v>
      </c>
      <c r="J40" s="36">
        <f t="shared" si="9"/>
        <v>3.2803040439025849E-2</v>
      </c>
      <c r="K40" s="111">
        <f t="shared" si="10"/>
        <v>3.2267554241946161E-2</v>
      </c>
    </row>
    <row r="41" spans="1:11" s="1" customFormat="1" ht="13.5" thickBot="1" x14ac:dyDescent="0.25">
      <c r="A41" s="112" t="s">
        <v>46</v>
      </c>
      <c r="B41" s="113">
        <f>B4</f>
        <v>750</v>
      </c>
      <c r="C41" s="114">
        <v>0</v>
      </c>
      <c r="D41" s="115">
        <f>B41*C41</f>
        <v>0</v>
      </c>
      <c r="E41" s="116">
        <f t="shared" si="6"/>
        <v>750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164.90556580790391</v>
      </c>
      <c r="E42" s="38"/>
      <c r="F42" s="39"/>
      <c r="G42" s="39">
        <f>SUM(G14,G25,G26,G27,G33,G40,G41)</f>
        <v>170.87556580790391</v>
      </c>
      <c r="H42" s="39">
        <f t="shared" si="1"/>
        <v>5.9699999999999989</v>
      </c>
      <c r="I42" s="40">
        <f>IF(ISERROR(H42/D42),0,(H42/D42))</f>
        <v>3.620253792376156E-2</v>
      </c>
      <c r="J42" s="40">
        <f t="shared" si="9"/>
        <v>0.95238095238095233</v>
      </c>
      <c r="K42" s="41"/>
    </row>
    <row r="43" spans="1:11" x14ac:dyDescent="0.2">
      <c r="A43" s="154" t="s">
        <v>102</v>
      </c>
      <c r="B43" s="43"/>
      <c r="C43" s="26">
        <v>0.13</v>
      </c>
      <c r="D43" s="26">
        <f>D42*C43</f>
        <v>21.43772355502751</v>
      </c>
      <c r="E43" s="26"/>
      <c r="F43" s="26">
        <f>C43</f>
        <v>0.13</v>
      </c>
      <c r="G43" s="26">
        <f>G42*F43</f>
        <v>22.21382355502751</v>
      </c>
      <c r="H43" s="26">
        <f t="shared" si="1"/>
        <v>0.77609999999999957</v>
      </c>
      <c r="I43" s="44">
        <f t="shared" si="2"/>
        <v>3.6202537923761546E-2</v>
      </c>
      <c r="J43" s="44">
        <f t="shared" si="9"/>
        <v>0.12380952380952381</v>
      </c>
      <c r="K43" s="45"/>
    </row>
    <row r="44" spans="1:11" s="1" customFormat="1" x14ac:dyDescent="0.2">
      <c r="A44" s="46" t="s">
        <v>103</v>
      </c>
      <c r="B44" s="24"/>
      <c r="C44" s="25"/>
      <c r="D44" s="25">
        <f>SUM(D42:D43)</f>
        <v>186.34328936293142</v>
      </c>
      <c r="E44" s="25"/>
      <c r="F44" s="25"/>
      <c r="G44" s="25">
        <f>SUM(G42:G43)</f>
        <v>193.08938936293143</v>
      </c>
      <c r="H44" s="25">
        <f t="shared" si="1"/>
        <v>6.7461000000000126</v>
      </c>
      <c r="I44" s="27">
        <f t="shared" si="2"/>
        <v>3.6202537923761637E-2</v>
      </c>
      <c r="J44" s="27">
        <f t="shared" si="9"/>
        <v>1.0761904761904761</v>
      </c>
      <c r="K44" s="47"/>
    </row>
    <row r="45" spans="1:11" x14ac:dyDescent="0.2">
      <c r="A45" s="42" t="s">
        <v>104</v>
      </c>
      <c r="B45" s="43"/>
      <c r="C45" s="26">
        <v>-0.08</v>
      </c>
      <c r="D45" s="26">
        <f>D42*C45</f>
        <v>-13.192445264632314</v>
      </c>
      <c r="E45" s="26"/>
      <c r="F45" s="26">
        <f>C45</f>
        <v>-0.08</v>
      </c>
      <c r="G45" s="26">
        <f>G42*F45</f>
        <v>-13.670045264632313</v>
      </c>
      <c r="H45" s="26">
        <f t="shared" si="1"/>
        <v>-0.47759999999999891</v>
      </c>
      <c r="I45" s="44">
        <f t="shared" si="2"/>
        <v>3.6202537923761484E-2</v>
      </c>
      <c r="J45" s="44">
        <f t="shared" si="9"/>
        <v>-7.6190476190476183E-2</v>
      </c>
      <c r="K45" s="45"/>
    </row>
    <row r="46" spans="1:11" s="1" customFormat="1" ht="13.5" thickBot="1" x14ac:dyDescent="0.25">
      <c r="A46" s="48" t="s">
        <v>105</v>
      </c>
      <c r="B46" s="49"/>
      <c r="C46" s="50"/>
      <c r="D46" s="50">
        <f>SUM(D44:D45)</f>
        <v>173.1508440982991</v>
      </c>
      <c r="E46" s="50"/>
      <c r="F46" s="50"/>
      <c r="G46" s="50">
        <f>SUM(G44:G45)</f>
        <v>179.41934409829912</v>
      </c>
      <c r="H46" s="50">
        <f t="shared" si="1"/>
        <v>6.2685000000000173</v>
      </c>
      <c r="I46" s="51">
        <f t="shared" si="2"/>
        <v>3.6202537923761664E-2</v>
      </c>
      <c r="J46" s="51">
        <f t="shared" si="9"/>
        <v>1</v>
      </c>
      <c r="K46" s="52"/>
    </row>
    <row r="47" spans="1:11" x14ac:dyDescent="0.2">
      <c r="A47" s="53" t="s">
        <v>106</v>
      </c>
      <c r="B47" s="54"/>
      <c r="C47" s="55"/>
      <c r="D47" s="55">
        <f>SUM(D18,D25,D26,D28,D33,D40,D41)</f>
        <v>167.74127830790391</v>
      </c>
      <c r="E47" s="55"/>
      <c r="F47" s="55"/>
      <c r="G47" s="55">
        <f>SUM(G18,G25,G26,G28,G33,G40,G41)</f>
        <v>173.71127830790391</v>
      </c>
      <c r="H47" s="55">
        <f>G47-D47</f>
        <v>5.9699999999999989</v>
      </c>
      <c r="I47" s="56">
        <f>IF(ISERROR(H47/D47),0,(H47/D47))</f>
        <v>3.5590524051220936E-2</v>
      </c>
      <c r="J47" s="56"/>
      <c r="K47" s="57">
        <f>G47/$G$51</f>
        <v>0.95238095238095244</v>
      </c>
    </row>
    <row r="48" spans="1:11" x14ac:dyDescent="0.2">
      <c r="A48" s="58" t="s">
        <v>102</v>
      </c>
      <c r="B48" s="59"/>
      <c r="C48" s="31">
        <v>0.13</v>
      </c>
      <c r="D48" s="31">
        <f>D47*C48</f>
        <v>21.80636618002751</v>
      </c>
      <c r="E48" s="31"/>
      <c r="F48" s="31">
        <f>C48</f>
        <v>0.13</v>
      </c>
      <c r="G48" s="31">
        <f>G47*F48</f>
        <v>22.582466180027509</v>
      </c>
      <c r="H48" s="31">
        <f>G48-D48</f>
        <v>0.77609999999999957</v>
      </c>
      <c r="I48" s="32">
        <f>IF(ISERROR(H48/D48),0,(H48/D48))</f>
        <v>3.5590524051220922E-2</v>
      </c>
      <c r="J48" s="32"/>
      <c r="K48" s="60">
        <f>G48/$G$51</f>
        <v>0.12380952380952381</v>
      </c>
    </row>
    <row r="49" spans="1:11" x14ac:dyDescent="0.2">
      <c r="A49" s="61" t="s">
        <v>107</v>
      </c>
      <c r="B49" s="29"/>
      <c r="C49" s="30"/>
      <c r="D49" s="30">
        <f>SUM(D47:D48)</f>
        <v>189.54764448793142</v>
      </c>
      <c r="E49" s="30"/>
      <c r="F49" s="30"/>
      <c r="G49" s="30">
        <f>SUM(G47:G48)</f>
        <v>196.29374448793141</v>
      </c>
      <c r="H49" s="30">
        <f>G49-D49</f>
        <v>6.7460999999999842</v>
      </c>
      <c r="I49" s="33">
        <f>IF(ISERROR(H49/D49),0,(H49/D49))</f>
        <v>3.5590524051220859E-2</v>
      </c>
      <c r="J49" s="33"/>
      <c r="K49" s="62">
        <f>G49/$G$51</f>
        <v>1.0761904761904761</v>
      </c>
    </row>
    <row r="50" spans="1:11" x14ac:dyDescent="0.2">
      <c r="A50" s="58" t="s">
        <v>104</v>
      </c>
      <c r="B50" s="59"/>
      <c r="C50" s="31">
        <v>-0.08</v>
      </c>
      <c r="D50" s="31">
        <f>D47*C50</f>
        <v>-13.419302264632313</v>
      </c>
      <c r="E50" s="31"/>
      <c r="F50" s="31">
        <f>C50</f>
        <v>-0.08</v>
      </c>
      <c r="G50" s="31">
        <f>G47*F50</f>
        <v>-13.896902264632313</v>
      </c>
      <c r="H50" s="31">
        <f>G50-D50</f>
        <v>-0.47760000000000069</v>
      </c>
      <c r="I50" s="32">
        <f>IF(ISERROR(H50/D50),0,(H50/D50))</f>
        <v>3.5590524051220998E-2</v>
      </c>
      <c r="J50" s="32"/>
      <c r="K50" s="60">
        <f>G50/$G$51</f>
        <v>-7.6190476190476197E-2</v>
      </c>
    </row>
    <row r="51" spans="1:11" ht="13.5" thickBot="1" x14ac:dyDescent="0.25">
      <c r="A51" s="63" t="s">
        <v>116</v>
      </c>
      <c r="B51" s="64"/>
      <c r="C51" s="65"/>
      <c r="D51" s="65">
        <f>SUM(D49:D50)</f>
        <v>176.12834222329911</v>
      </c>
      <c r="E51" s="65"/>
      <c r="F51" s="65"/>
      <c r="G51" s="65">
        <f>SUM(G49:G50)</f>
        <v>182.3968422232991</v>
      </c>
      <c r="H51" s="65">
        <f>G51-D51</f>
        <v>6.2684999999999889</v>
      </c>
      <c r="I51" s="66">
        <f>IF(ISERROR(H51/D51),0,(H51/D51))</f>
        <v>3.559052405122088E-2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1" tint="0.499984740745262"/>
    <pageSetUpPr fitToPage="1"/>
  </sheetPr>
  <dimension ref="A1:K68"/>
  <sheetViews>
    <sheetView tabSelected="1" topLeftCell="A13" zoomScaleNormal="100" zoomScaleSheetLayoutView="100" workbookViewId="0">
      <selection activeCell="C3" sqref="C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119</v>
      </c>
      <c r="B1" s="188"/>
      <c r="C1" s="188"/>
      <c r="D1" s="188"/>
      <c r="E1" s="188"/>
      <c r="F1" s="188"/>
      <c r="G1" s="188"/>
      <c r="H1" s="188"/>
      <c r="I1" s="188"/>
      <c r="J1" s="188"/>
      <c r="K1" s="189"/>
    </row>
    <row r="3" spans="1:11" x14ac:dyDescent="0.2">
      <c r="A3" s="13" t="s">
        <v>13</v>
      </c>
      <c r="B3" s="13" t="s">
        <v>2</v>
      </c>
    </row>
    <row r="4" spans="1:11" x14ac:dyDescent="0.2">
      <c r="A4" s="15" t="s">
        <v>62</v>
      </c>
      <c r="B4" s="15">
        <f>VLOOKUP(B3,'Data for Bill Impacts'!A19:D31,3,FALSE)</f>
        <v>1152</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68">
        <f>B4*B6</f>
        <v>1272.96</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0.2412232542859222</v>
      </c>
      <c r="K12" s="106"/>
    </row>
    <row r="13" spans="1:11" x14ac:dyDescent="0.2">
      <c r="A13" s="107" t="s">
        <v>32</v>
      </c>
      <c r="B13" s="73">
        <f>IF(B4&gt;B7,(B4)-B7,0)</f>
        <v>552</v>
      </c>
      <c r="C13" s="21">
        <v>0.121</v>
      </c>
      <c r="D13" s="22">
        <f>B13*C13</f>
        <v>66.792000000000002</v>
      </c>
      <c r="E13" s="73">
        <f t="shared" ref="E13" si="0">B13</f>
        <v>552</v>
      </c>
      <c r="F13" s="21">
        <f>C13</f>
        <v>0.121</v>
      </c>
      <c r="G13" s="22">
        <f>E13*F13</f>
        <v>66.792000000000002</v>
      </c>
      <c r="H13" s="22">
        <f t="shared" ref="H13:H46" si="1">G13-D13</f>
        <v>0</v>
      </c>
      <c r="I13" s="23">
        <f t="shared" ref="I13:I46" si="2">IF(ISERROR(H13/D13),0,(H13/D13))</f>
        <v>0</v>
      </c>
      <c r="J13" s="23">
        <f>G13/$G$46</f>
        <v>0.26070847249620255</v>
      </c>
      <c r="K13" s="108"/>
    </row>
    <row r="14" spans="1:11" s="1" customFormat="1" x14ac:dyDescent="0.2">
      <c r="A14" s="46" t="s">
        <v>33</v>
      </c>
      <c r="B14" s="24"/>
      <c r="C14" s="25"/>
      <c r="D14" s="25">
        <f>SUM(D12:D13)</f>
        <v>128.59199999999998</v>
      </c>
      <c r="E14" s="76"/>
      <c r="F14" s="25"/>
      <c r="G14" s="25">
        <f>SUM(G12:G13)</f>
        <v>128.59199999999998</v>
      </c>
      <c r="H14" s="25">
        <f t="shared" si="1"/>
        <v>0</v>
      </c>
      <c r="I14" s="27">
        <f t="shared" si="2"/>
        <v>0</v>
      </c>
      <c r="J14" s="27">
        <f>G14/$G$46</f>
        <v>0.50193172678212461</v>
      </c>
      <c r="K14" s="108"/>
    </row>
    <row r="15" spans="1:11" s="1" customFormat="1" x14ac:dyDescent="0.2">
      <c r="A15" s="109" t="s">
        <v>34</v>
      </c>
      <c r="B15" s="75">
        <f>B4*0.65</f>
        <v>748.80000000000007</v>
      </c>
      <c r="C15" s="28">
        <v>8.6999999999999994E-2</v>
      </c>
      <c r="D15" s="22">
        <f>B15*C15</f>
        <v>65.145600000000002</v>
      </c>
      <c r="E15" s="73">
        <f t="shared" ref="E15:F17" si="3">B15</f>
        <v>748.80000000000007</v>
      </c>
      <c r="F15" s="28">
        <f t="shared" si="3"/>
        <v>8.6999999999999994E-2</v>
      </c>
      <c r="G15" s="22">
        <f>E15*F15</f>
        <v>65.145600000000002</v>
      </c>
      <c r="H15" s="22">
        <f t="shared" si="1"/>
        <v>0</v>
      </c>
      <c r="I15" s="23">
        <f t="shared" si="2"/>
        <v>0</v>
      </c>
      <c r="J15" s="23"/>
      <c r="K15" s="108">
        <f t="shared" ref="K15:K26" si="4">G15/$G$51</f>
        <v>0.25578449400932274</v>
      </c>
    </row>
    <row r="16" spans="1:11" s="1" customFormat="1" x14ac:dyDescent="0.2">
      <c r="A16" s="109" t="s">
        <v>35</v>
      </c>
      <c r="B16" s="75">
        <f>B4*0.17</f>
        <v>195.84</v>
      </c>
      <c r="C16" s="28">
        <v>0.13200000000000001</v>
      </c>
      <c r="D16" s="22">
        <f>B16*C16</f>
        <v>25.85088</v>
      </c>
      <c r="E16" s="73">
        <f t="shared" si="3"/>
        <v>195.84</v>
      </c>
      <c r="F16" s="28">
        <f t="shared" si="3"/>
        <v>0.13200000000000001</v>
      </c>
      <c r="G16" s="22">
        <f>E16*F16</f>
        <v>25.85088</v>
      </c>
      <c r="H16" s="22">
        <f t="shared" si="1"/>
        <v>0</v>
      </c>
      <c r="I16" s="23">
        <f t="shared" si="2"/>
        <v>0</v>
      </c>
      <c r="J16" s="23"/>
      <c r="K16" s="108">
        <f t="shared" si="4"/>
        <v>0.10149962945303628</v>
      </c>
    </row>
    <row r="17" spans="1:11" s="1" customFormat="1" x14ac:dyDescent="0.2">
      <c r="A17" s="109" t="s">
        <v>36</v>
      </c>
      <c r="B17" s="75">
        <f>B4*0.18</f>
        <v>207.35999999999999</v>
      </c>
      <c r="C17" s="28">
        <v>0.18</v>
      </c>
      <c r="D17" s="22">
        <f>B17*C17</f>
        <v>37.324799999999996</v>
      </c>
      <c r="E17" s="73">
        <f t="shared" si="3"/>
        <v>207.35999999999999</v>
      </c>
      <c r="F17" s="28">
        <f t="shared" si="3"/>
        <v>0.18</v>
      </c>
      <c r="G17" s="22">
        <f>E17*F17</f>
        <v>37.324799999999996</v>
      </c>
      <c r="H17" s="22">
        <f t="shared" si="1"/>
        <v>0</v>
      </c>
      <c r="I17" s="23">
        <f t="shared" si="2"/>
        <v>0</v>
      </c>
      <c r="J17" s="23"/>
      <c r="K17" s="108">
        <f t="shared" si="4"/>
        <v>0.14655026712470479</v>
      </c>
    </row>
    <row r="18" spans="1:11" s="1" customFormat="1" x14ac:dyDescent="0.2">
      <c r="A18" s="61" t="s">
        <v>37</v>
      </c>
      <c r="B18" s="29"/>
      <c r="C18" s="30"/>
      <c r="D18" s="30">
        <f>SUM(D15:D17)</f>
        <v>128.32128</v>
      </c>
      <c r="E18" s="77"/>
      <c r="F18" s="30"/>
      <c r="G18" s="30">
        <f>SUM(G15:G17)</f>
        <v>128.32128</v>
      </c>
      <c r="H18" s="31">
        <f t="shared" si="1"/>
        <v>0</v>
      </c>
      <c r="I18" s="32">
        <f t="shared" si="2"/>
        <v>0</v>
      </c>
      <c r="J18" s="33">
        <f t="shared" ref="J18:J26" si="5">G18/$G$46</f>
        <v>0.50087502840995179</v>
      </c>
      <c r="K18" s="62">
        <f t="shared" si="4"/>
        <v>0.50383439058706381</v>
      </c>
    </row>
    <row r="19" spans="1:11" x14ac:dyDescent="0.2">
      <c r="A19" s="107" t="s">
        <v>112</v>
      </c>
      <c r="B19" s="73">
        <v>1</v>
      </c>
      <c r="C19" s="122">
        <f>VLOOKUP($B$3,'Data for Bill Impacts'!$A$3:$Y$15,7,0)</f>
        <v>34.219678307903934</v>
      </c>
      <c r="D19" s="22">
        <f>B19*C19</f>
        <v>34.219678307903934</v>
      </c>
      <c r="E19" s="73">
        <f t="shared" ref="E19:E41" si="6">B19</f>
        <v>1</v>
      </c>
      <c r="F19" s="122">
        <f>VLOOKUP($B$3,'Data for Bill Impacts'!$A$3:$Y$15,17,0)</f>
        <v>44.23967830790393</v>
      </c>
      <c r="G19" s="22">
        <f>E19*F19</f>
        <v>44.23967830790393</v>
      </c>
      <c r="H19" s="22">
        <f t="shared" si="1"/>
        <v>10.019999999999996</v>
      </c>
      <c r="I19" s="23">
        <f t="shared" si="2"/>
        <v>0.29281397416543259</v>
      </c>
      <c r="J19" s="23">
        <f t="shared" si="5"/>
        <v>0.17268024546917324</v>
      </c>
      <c r="K19" s="108">
        <f t="shared" si="4"/>
        <v>0.1737005067283503</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-0.02</v>
      </c>
      <c r="D22" s="22">
        <f t="shared" si="8"/>
        <v>-0.02</v>
      </c>
      <c r="E22" s="73">
        <f t="shared" si="6"/>
        <v>1</v>
      </c>
      <c r="F22" s="122">
        <f>VLOOKUP($B$3,'Data for Bill Impacts'!$A$3:$Y$15,22,0)</f>
        <v>-0.02</v>
      </c>
      <c r="G22" s="22">
        <f t="shared" si="7"/>
        <v>-0.02</v>
      </c>
      <c r="H22" s="22">
        <f t="shared" si="1"/>
        <v>0</v>
      </c>
      <c r="I22" s="23">
        <f t="shared" si="2"/>
        <v>0</v>
      </c>
      <c r="J22" s="23">
        <f t="shared" si="5"/>
        <v>-7.8065778086058968E-5</v>
      </c>
      <c r="K22" s="108">
        <f t="shared" si="4"/>
        <v>-7.8527020707253514E-5</v>
      </c>
    </row>
    <row r="23" spans="1:11" x14ac:dyDescent="0.2">
      <c r="A23" s="107" t="s">
        <v>39</v>
      </c>
      <c r="B23" s="73">
        <f>IF($B$9="kWh",$B$4,$B$5)</f>
        <v>1152</v>
      </c>
      <c r="C23" s="78">
        <f>VLOOKUP($B$3,'Data for Bill Impacts'!$A$3:$Y$15,10,0)</f>
        <v>3.2199999999999999E-2</v>
      </c>
      <c r="D23" s="22">
        <f>B23*C23</f>
        <v>37.0944</v>
      </c>
      <c r="E23" s="73">
        <f t="shared" si="6"/>
        <v>1152</v>
      </c>
      <c r="F23" s="78">
        <f>VLOOKUP($B$3,'Data for Bill Impacts'!$A$3:$Y$15,19,0)</f>
        <v>2.6800000000000001E-2</v>
      </c>
      <c r="G23" s="22">
        <f>E23*F23</f>
        <v>30.8736</v>
      </c>
      <c r="H23" s="22">
        <f t="shared" si="1"/>
        <v>-6.2208000000000006</v>
      </c>
      <c r="I23" s="23">
        <f t="shared" si="2"/>
        <v>-0.16770186335403728</v>
      </c>
      <c r="J23" s="23">
        <f t="shared" si="5"/>
        <v>0.1205085803158875</v>
      </c>
      <c r="K23" s="108">
        <f t="shared" si="4"/>
        <v>0.12122059132537311</v>
      </c>
    </row>
    <row r="24" spans="1:11" x14ac:dyDescent="0.2">
      <c r="A24" s="107" t="s">
        <v>121</v>
      </c>
      <c r="B24" s="73">
        <f>IF($B$9="kWh",$B$4,$B$5)</f>
        <v>1152</v>
      </c>
      <c r="C24" s="126">
        <f>VLOOKUP($B$3,'Data for Bill Impacts'!$A$3:$Y$15,14,0)</f>
        <v>2.0000000000000001E-4</v>
      </c>
      <c r="D24" s="22">
        <f>B24*C24</f>
        <v>0.23040000000000002</v>
      </c>
      <c r="E24" s="73">
        <f>B24</f>
        <v>1152</v>
      </c>
      <c r="F24" s="126">
        <f>VLOOKUP($B$3,'Data for Bill Impacts'!$A$3:$Y$15,23,0)</f>
        <v>2.0000000000000001E-4</v>
      </c>
      <c r="G24" s="22">
        <f>E24*F24</f>
        <v>0.23040000000000002</v>
      </c>
      <c r="H24" s="22">
        <f>G24-D24</f>
        <v>0</v>
      </c>
      <c r="I24" s="23">
        <f>IF(ISERROR(H24/D24),0,(H24/D24))</f>
        <v>0</v>
      </c>
      <c r="J24" s="23">
        <f t="shared" si="5"/>
        <v>8.9931776355139936E-4</v>
      </c>
      <c r="K24" s="108">
        <f t="shared" si="4"/>
        <v>9.0463127854756059E-4</v>
      </c>
    </row>
    <row r="25" spans="1:11" s="1" customFormat="1" x14ac:dyDescent="0.2">
      <c r="A25" s="110" t="s">
        <v>72</v>
      </c>
      <c r="B25" s="74"/>
      <c r="C25" s="35"/>
      <c r="D25" s="35">
        <f>SUM(D19:D24)</f>
        <v>71.524478307903934</v>
      </c>
      <c r="E25" s="73"/>
      <c r="F25" s="35"/>
      <c r="G25" s="35">
        <f>SUM(G19:G24)</f>
        <v>75.323678307903933</v>
      </c>
      <c r="H25" s="35">
        <f t="shared" si="1"/>
        <v>3.799199999999999</v>
      </c>
      <c r="I25" s="36">
        <f t="shared" si="2"/>
        <v>5.3117479356436799E-2</v>
      </c>
      <c r="J25" s="36">
        <f t="shared" si="5"/>
        <v>0.29401007777052607</v>
      </c>
      <c r="K25" s="111">
        <f t="shared" si="4"/>
        <v>0.29574720231156371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3.0835982343993293E-3</v>
      </c>
      <c r="K26" s="108">
        <f t="shared" si="4"/>
        <v>3.1018173179365141E-3</v>
      </c>
    </row>
    <row r="27" spans="1:11" s="1" customFormat="1" x14ac:dyDescent="0.2">
      <c r="A27" s="119" t="s">
        <v>75</v>
      </c>
      <c r="B27" s="120">
        <f>B8-B4</f>
        <v>120.96000000000004</v>
      </c>
      <c r="C27" s="121">
        <f>IF(B4&gt;B7,C13,C12)</f>
        <v>0.121</v>
      </c>
      <c r="D27" s="22">
        <f>B27*C27</f>
        <v>14.636160000000004</v>
      </c>
      <c r="E27" s="73">
        <f>B27</f>
        <v>120.96000000000004</v>
      </c>
      <c r="F27" s="121">
        <f>C27</f>
        <v>0.121</v>
      </c>
      <c r="G27" s="22">
        <f>E27*F27</f>
        <v>14.636160000000004</v>
      </c>
      <c r="H27" s="22">
        <f t="shared" si="1"/>
        <v>0</v>
      </c>
      <c r="I27" s="23">
        <f>IF(ISERROR(H27/D27),0,(H27/D27))</f>
        <v>0</v>
      </c>
      <c r="J27" s="23">
        <f t="shared" ref="J27:J46" si="9">G27/$G$46</f>
        <v>5.712916092960265E-2</v>
      </c>
      <c r="K27" s="108">
        <f t="shared" ref="K27:K41" si="10">G27/$G$51</f>
        <v>5.7466701969733795E-2</v>
      </c>
    </row>
    <row r="28" spans="1:11" s="1" customFormat="1" x14ac:dyDescent="0.2">
      <c r="A28" s="119" t="s">
        <v>74</v>
      </c>
      <c r="B28" s="120">
        <f>B8-B4</f>
        <v>120.96000000000004</v>
      </c>
      <c r="C28" s="121">
        <f>0.65*C15+0.17*C16+0.18*C17</f>
        <v>0.11139</v>
      </c>
      <c r="D28" s="22">
        <f>B28*C28</f>
        <v>13.473734400000005</v>
      </c>
      <c r="E28" s="73">
        <f>B28</f>
        <v>120.96000000000004</v>
      </c>
      <c r="F28" s="121">
        <f>C28</f>
        <v>0.11139</v>
      </c>
      <c r="G28" s="22">
        <f>E28*F28</f>
        <v>13.473734400000005</v>
      </c>
      <c r="H28" s="22">
        <f t="shared" si="1"/>
        <v>0</v>
      </c>
      <c r="I28" s="23">
        <f>IF(ISERROR(H28/D28),0,(H28/D28))</f>
        <v>0</v>
      </c>
      <c r="J28" s="23">
        <f t="shared" si="9"/>
        <v>5.259187798304496E-2</v>
      </c>
      <c r="K28" s="108">
        <f t="shared" si="10"/>
        <v>5.2902611011641724E-2</v>
      </c>
    </row>
    <row r="29" spans="1:11" s="1" customFormat="1" x14ac:dyDescent="0.2">
      <c r="A29" s="110" t="s">
        <v>78</v>
      </c>
      <c r="B29" s="74"/>
      <c r="C29" s="35"/>
      <c r="D29" s="35">
        <f>SUM(D25,D26:D27)</f>
        <v>86.950638307903944</v>
      </c>
      <c r="E29" s="73"/>
      <c r="F29" s="35"/>
      <c r="G29" s="35">
        <f>SUM(G25,G26:G27)</f>
        <v>90.749838307903943</v>
      </c>
      <c r="H29" s="35">
        <f t="shared" si="1"/>
        <v>3.799199999999999</v>
      </c>
      <c r="I29" s="36">
        <f>IF(ISERROR(H29/D29),0,(H29/D29))</f>
        <v>4.3693756295917222E-2</v>
      </c>
      <c r="J29" s="36">
        <f t="shared" si="9"/>
        <v>0.35422283693452811</v>
      </c>
      <c r="K29" s="111">
        <f t="shared" si="10"/>
        <v>0.35631572159923408</v>
      </c>
    </row>
    <row r="30" spans="1:11" s="1" customFormat="1" x14ac:dyDescent="0.2">
      <c r="A30" s="110" t="s">
        <v>77</v>
      </c>
      <c r="B30" s="74"/>
      <c r="C30" s="35"/>
      <c r="D30" s="35">
        <f>SUM(D25,D26,D28)</f>
        <v>85.788212707903938</v>
      </c>
      <c r="E30" s="73"/>
      <c r="F30" s="35"/>
      <c r="G30" s="35">
        <f>SUM(G25,G26,G28)</f>
        <v>89.587412707903951</v>
      </c>
      <c r="H30" s="35">
        <f t="shared" si="1"/>
        <v>3.7992000000000132</v>
      </c>
      <c r="I30" s="36">
        <f>IF(ISERROR(H30/D30),0,(H30/D30))</f>
        <v>4.428580430898732E-2</v>
      </c>
      <c r="J30" s="36">
        <f t="shared" si="9"/>
        <v>0.34968555398797041</v>
      </c>
      <c r="K30" s="111">
        <f t="shared" si="10"/>
        <v>0.35175163064114201</v>
      </c>
    </row>
    <row r="31" spans="1:11" x14ac:dyDescent="0.2">
      <c r="A31" s="107" t="s">
        <v>40</v>
      </c>
      <c r="B31" s="73">
        <f>B8</f>
        <v>1272.96</v>
      </c>
      <c r="C31" s="126">
        <f>VLOOKUP($B$3,'Data for Bill Impacts'!$A$3:$Y$15,15,0)</f>
        <v>6.7400000000000003E-3</v>
      </c>
      <c r="D31" s="22">
        <f>B31*C31</f>
        <v>8.5797504</v>
      </c>
      <c r="E31" s="73">
        <f t="shared" si="6"/>
        <v>1272.96</v>
      </c>
      <c r="F31" s="126">
        <f>VLOOKUP($B$3,'Data for Bill Impacts'!$A$3:$Y$15,24,0)</f>
        <v>6.7400000000000003E-3</v>
      </c>
      <c r="G31" s="22">
        <f>E31*F31</f>
        <v>8.5797504</v>
      </c>
      <c r="H31" s="22">
        <f t="shared" si="1"/>
        <v>0</v>
      </c>
      <c r="I31" s="23">
        <f t="shared" si="2"/>
        <v>0</v>
      </c>
      <c r="J31" s="23">
        <f t="shared" si="9"/>
        <v>3.3489244538008785E-2</v>
      </c>
      <c r="K31" s="108">
        <f t="shared" si="10"/>
        <v>3.3687111866193331E-2</v>
      </c>
    </row>
    <row r="32" spans="1:11" x14ac:dyDescent="0.2">
      <c r="A32" s="107" t="s">
        <v>41</v>
      </c>
      <c r="B32" s="73">
        <f>B8</f>
        <v>1272.96</v>
      </c>
      <c r="C32" s="126">
        <f>VLOOKUP($B$3,'Data for Bill Impacts'!$A$3:$Y$15,16,0)</f>
        <v>5.6299999999999996E-3</v>
      </c>
      <c r="D32" s="22">
        <f>B32*C32</f>
        <v>7.1667647999999993</v>
      </c>
      <c r="E32" s="73">
        <f t="shared" si="6"/>
        <v>1272.96</v>
      </c>
      <c r="F32" s="126">
        <f>VLOOKUP($B$3,'Data for Bill Impacts'!$A$3:$Y$15,25,0)</f>
        <v>5.6299999999999996E-3</v>
      </c>
      <c r="G32" s="22">
        <f>E32*F32</f>
        <v>7.1667647999999993</v>
      </c>
      <c r="H32" s="22">
        <f t="shared" si="1"/>
        <v>0</v>
      </c>
      <c r="I32" s="23">
        <f t="shared" si="2"/>
        <v>0</v>
      </c>
      <c r="J32" s="23">
        <f t="shared" si="9"/>
        <v>2.7973953523588935E-2</v>
      </c>
      <c r="K32" s="108">
        <f t="shared" si="10"/>
        <v>2.8139234392680776E-2</v>
      </c>
    </row>
    <row r="33" spans="1:11" s="1" customFormat="1" x14ac:dyDescent="0.2">
      <c r="A33" s="110" t="s">
        <v>76</v>
      </c>
      <c r="B33" s="74"/>
      <c r="C33" s="35"/>
      <c r="D33" s="35">
        <f>SUM(D31:D32)</f>
        <v>15.746515199999999</v>
      </c>
      <c r="E33" s="73"/>
      <c r="F33" s="35"/>
      <c r="G33" s="35">
        <f>SUM(G31:G32)</f>
        <v>15.746515199999999</v>
      </c>
      <c r="H33" s="35">
        <f t="shared" si="1"/>
        <v>0</v>
      </c>
      <c r="I33" s="36">
        <f t="shared" si="2"/>
        <v>0</v>
      </c>
      <c r="J33" s="36">
        <f t="shared" si="9"/>
        <v>6.1463198061597717E-2</v>
      </c>
      <c r="K33" s="111">
        <f t="shared" si="10"/>
        <v>6.1826346258874107E-2</v>
      </c>
    </row>
    <row r="34" spans="1:11" s="1" customFormat="1" x14ac:dyDescent="0.2">
      <c r="A34" s="110" t="s">
        <v>91</v>
      </c>
      <c r="B34" s="74"/>
      <c r="C34" s="35"/>
      <c r="D34" s="35">
        <f>D29+D33</f>
        <v>102.69715350790395</v>
      </c>
      <c r="E34" s="73"/>
      <c r="F34" s="35"/>
      <c r="G34" s="35">
        <f>G29+G33</f>
        <v>106.49635350790395</v>
      </c>
      <c r="H34" s="35">
        <f t="shared" si="1"/>
        <v>3.799199999999999</v>
      </c>
      <c r="I34" s="36">
        <f t="shared" si="2"/>
        <v>3.6994209383881302E-2</v>
      </c>
      <c r="J34" s="36">
        <f t="shared" si="9"/>
        <v>0.41568603499612583</v>
      </c>
      <c r="K34" s="111">
        <f t="shared" si="10"/>
        <v>0.4181420678581082</v>
      </c>
    </row>
    <row r="35" spans="1:11" s="1" customFormat="1" x14ac:dyDescent="0.2">
      <c r="A35" s="110" t="s">
        <v>92</v>
      </c>
      <c r="B35" s="74"/>
      <c r="C35" s="35"/>
      <c r="D35" s="35">
        <f>D30+D33</f>
        <v>101.53472790790394</v>
      </c>
      <c r="E35" s="73"/>
      <c r="F35" s="35"/>
      <c r="G35" s="35">
        <f>G30+G33</f>
        <v>105.33392790790396</v>
      </c>
      <c r="H35" s="35">
        <f t="shared" si="1"/>
        <v>3.7992000000000132</v>
      </c>
      <c r="I35" s="36">
        <f t="shared" si="2"/>
        <v>3.741773950924495E-2</v>
      </c>
      <c r="J35" s="36">
        <f t="shared" si="9"/>
        <v>0.41114875204956819</v>
      </c>
      <c r="K35" s="111">
        <f t="shared" si="10"/>
        <v>0.41357797690001613</v>
      </c>
    </row>
    <row r="36" spans="1:11" x14ac:dyDescent="0.2">
      <c r="A36" s="107" t="s">
        <v>42</v>
      </c>
      <c r="B36" s="73">
        <f>B8</f>
        <v>1272.96</v>
      </c>
      <c r="C36" s="34">
        <v>3.5999999999999999E-3</v>
      </c>
      <c r="D36" s="22">
        <f>B36*C36</f>
        <v>4.5826560000000001</v>
      </c>
      <c r="E36" s="73">
        <f t="shared" si="6"/>
        <v>1272.96</v>
      </c>
      <c r="F36" s="34">
        <v>3.5999999999999999E-3</v>
      </c>
      <c r="G36" s="22">
        <f>E36*F36</f>
        <v>4.5826560000000001</v>
      </c>
      <c r="H36" s="22">
        <f t="shared" si="1"/>
        <v>0</v>
      </c>
      <c r="I36" s="23">
        <f t="shared" si="2"/>
        <v>0</v>
      </c>
      <c r="J36" s="23">
        <f t="shared" si="9"/>
        <v>1.7887430317037333E-2</v>
      </c>
      <c r="K36" s="108">
        <f t="shared" si="10"/>
        <v>1.7993116130310977E-2</v>
      </c>
    </row>
    <row r="37" spans="1:11" x14ac:dyDescent="0.2">
      <c r="A37" s="107" t="s">
        <v>43</v>
      </c>
      <c r="B37" s="73">
        <f>B8</f>
        <v>1272.96</v>
      </c>
      <c r="C37" s="34">
        <v>2.0999999999999999E-3</v>
      </c>
      <c r="D37" s="22">
        <f>B37*C37</f>
        <v>2.673216</v>
      </c>
      <c r="E37" s="73">
        <f t="shared" si="6"/>
        <v>1272.96</v>
      </c>
      <c r="F37" s="34">
        <v>2.0999999999999999E-3</v>
      </c>
      <c r="G37" s="22">
        <f>E37*F37</f>
        <v>2.673216</v>
      </c>
      <c r="H37" s="22">
        <f>G37-D37</f>
        <v>0</v>
      </c>
      <c r="I37" s="23">
        <f t="shared" si="2"/>
        <v>0</v>
      </c>
      <c r="J37" s="23">
        <f t="shared" si="9"/>
        <v>1.043433435160511E-2</v>
      </c>
      <c r="K37" s="108">
        <f t="shared" si="10"/>
        <v>1.0495984409348071E-2</v>
      </c>
    </row>
    <row r="38" spans="1:11" x14ac:dyDescent="0.2">
      <c r="A38" s="107" t="s">
        <v>96</v>
      </c>
      <c r="B38" s="73">
        <f>B8</f>
        <v>1272.96</v>
      </c>
      <c r="C38" s="34">
        <v>1.1000000000000001E-3</v>
      </c>
      <c r="D38" s="22">
        <f>B38*C38</f>
        <v>1.4002560000000002</v>
      </c>
      <c r="E38" s="73">
        <f t="shared" si="6"/>
        <v>1272.96</v>
      </c>
      <c r="F38" s="34">
        <v>1.1000000000000001E-3</v>
      </c>
      <c r="G38" s="22">
        <f>E38*F38</f>
        <v>1.4002560000000002</v>
      </c>
      <c r="H38" s="22">
        <f>G38-D38</f>
        <v>0</v>
      </c>
      <c r="I38" s="23">
        <f t="shared" si="2"/>
        <v>0</v>
      </c>
      <c r="J38" s="23">
        <f t="shared" si="9"/>
        <v>5.4656037079836295E-3</v>
      </c>
      <c r="K38" s="108">
        <f t="shared" si="10"/>
        <v>5.4978965953728001E-3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9.7582222607573701E-4</v>
      </c>
      <c r="K39" s="108">
        <f t="shared" si="10"/>
        <v>9.8158775884066903E-4</v>
      </c>
    </row>
    <row r="40" spans="1:11" s="1" customFormat="1" x14ac:dyDescent="0.2">
      <c r="A40" s="110" t="s">
        <v>45</v>
      </c>
      <c r="B40" s="74"/>
      <c r="C40" s="35"/>
      <c r="D40" s="35">
        <f>SUM(D36:D39)</f>
        <v>8.9061280000000007</v>
      </c>
      <c r="E40" s="73"/>
      <c r="F40" s="35"/>
      <c r="G40" s="35">
        <f>SUM(G36:G39)</f>
        <v>8.9061280000000007</v>
      </c>
      <c r="H40" s="35">
        <f t="shared" si="1"/>
        <v>0</v>
      </c>
      <c r="I40" s="36">
        <f t="shared" si="2"/>
        <v>0</v>
      </c>
      <c r="J40" s="36">
        <f t="shared" si="9"/>
        <v>3.4763190602701811E-2</v>
      </c>
      <c r="K40" s="111">
        <f t="shared" si="10"/>
        <v>3.4968584893872522E-2</v>
      </c>
    </row>
    <row r="41" spans="1:11" s="1" customFormat="1" ht="13.5" thickBot="1" x14ac:dyDescent="0.25">
      <c r="A41" s="112" t="s">
        <v>46</v>
      </c>
      <c r="B41" s="113">
        <f>B4</f>
        <v>1152</v>
      </c>
      <c r="C41" s="114">
        <v>0</v>
      </c>
      <c r="D41" s="115">
        <f>B41*C41</f>
        <v>0</v>
      </c>
      <c r="E41" s="116">
        <f t="shared" si="6"/>
        <v>1152</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240.19528150790393</v>
      </c>
      <c r="E42" s="38"/>
      <c r="F42" s="39"/>
      <c r="G42" s="39">
        <f>SUM(G14,G25,G26,G27,G33,G40,G41)</f>
        <v>243.99448150790391</v>
      </c>
      <c r="H42" s="39">
        <f t="shared" si="1"/>
        <v>3.7991999999999848</v>
      </c>
      <c r="I42" s="40">
        <f>IF(ISERROR(H42/D42),0,(H42/D42))</f>
        <v>1.5817130029154913E-2</v>
      </c>
      <c r="J42" s="40">
        <f t="shared" si="9"/>
        <v>0.95238095238095222</v>
      </c>
      <c r="K42" s="41"/>
    </row>
    <row r="43" spans="1:11" x14ac:dyDescent="0.2">
      <c r="A43" s="154" t="s">
        <v>102</v>
      </c>
      <c r="B43" s="43"/>
      <c r="C43" s="26">
        <v>0.13</v>
      </c>
      <c r="D43" s="26">
        <f>D42*C43</f>
        <v>31.225386596027512</v>
      </c>
      <c r="E43" s="26"/>
      <c r="F43" s="26">
        <f>C43</f>
        <v>0.13</v>
      </c>
      <c r="G43" s="26">
        <f>G42*F43</f>
        <v>31.719282596027512</v>
      </c>
      <c r="H43" s="26">
        <f t="shared" si="1"/>
        <v>0.49389599999999945</v>
      </c>
      <c r="I43" s="44">
        <f t="shared" si="2"/>
        <v>1.5817130029154958E-2</v>
      </c>
      <c r="J43" s="44">
        <f t="shared" si="9"/>
        <v>0.1238095238095238</v>
      </c>
      <c r="K43" s="45"/>
    </row>
    <row r="44" spans="1:11" s="1" customFormat="1" x14ac:dyDescent="0.2">
      <c r="A44" s="46" t="s">
        <v>103</v>
      </c>
      <c r="B44" s="24"/>
      <c r="C44" s="25"/>
      <c r="D44" s="25">
        <f>SUM(D42:D43)</f>
        <v>271.42066810393146</v>
      </c>
      <c r="E44" s="25"/>
      <c r="F44" s="25"/>
      <c r="G44" s="25">
        <f>SUM(G42:G43)</f>
        <v>275.71376410393145</v>
      </c>
      <c r="H44" s="25">
        <f t="shared" si="1"/>
        <v>4.2930959999999914</v>
      </c>
      <c r="I44" s="27">
        <f t="shared" si="2"/>
        <v>1.5817130029154941E-2</v>
      </c>
      <c r="J44" s="27">
        <f t="shared" si="9"/>
        <v>1.0761904761904761</v>
      </c>
      <c r="K44" s="47"/>
    </row>
    <row r="45" spans="1:11" x14ac:dyDescent="0.2">
      <c r="A45" s="42" t="s">
        <v>104</v>
      </c>
      <c r="B45" s="43"/>
      <c r="C45" s="26">
        <v>-0.08</v>
      </c>
      <c r="D45" s="26">
        <f>D42*C45</f>
        <v>-19.215622520632316</v>
      </c>
      <c r="E45" s="26"/>
      <c r="F45" s="26">
        <f>C45</f>
        <v>-0.08</v>
      </c>
      <c r="G45" s="26">
        <f>G42*F45</f>
        <v>-19.519558520632312</v>
      </c>
      <c r="H45" s="26">
        <f t="shared" si="1"/>
        <v>-0.30393599999999665</v>
      </c>
      <c r="I45" s="44">
        <f t="shared" si="2"/>
        <v>1.5817130029154799E-2</v>
      </c>
      <c r="J45" s="44">
        <f t="shared" si="9"/>
        <v>-7.619047619047617E-2</v>
      </c>
      <c r="K45" s="45"/>
    </row>
    <row r="46" spans="1:11" s="1" customFormat="1" ht="13.5" thickBot="1" x14ac:dyDescent="0.25">
      <c r="A46" s="48" t="s">
        <v>105</v>
      </c>
      <c r="B46" s="49"/>
      <c r="C46" s="50"/>
      <c r="D46" s="50">
        <f>SUM(D44:D45)</f>
        <v>252.20504558329915</v>
      </c>
      <c r="E46" s="50"/>
      <c r="F46" s="50"/>
      <c r="G46" s="50">
        <f>SUM(G44:G45)</f>
        <v>256.19420558329915</v>
      </c>
      <c r="H46" s="50">
        <f t="shared" si="1"/>
        <v>3.9891599999999983</v>
      </c>
      <c r="I46" s="51">
        <f t="shared" si="2"/>
        <v>1.5817130029154965E-2</v>
      </c>
      <c r="J46" s="51">
        <f t="shared" si="9"/>
        <v>1</v>
      </c>
      <c r="K46" s="52"/>
    </row>
    <row r="47" spans="1:11" x14ac:dyDescent="0.2">
      <c r="A47" s="53" t="s">
        <v>106</v>
      </c>
      <c r="B47" s="54"/>
      <c r="C47" s="55"/>
      <c r="D47" s="55">
        <f>SUM(D18,D25,D26,D28,D33,D40,D41)</f>
        <v>238.76213590790394</v>
      </c>
      <c r="E47" s="55"/>
      <c r="F47" s="55"/>
      <c r="G47" s="55">
        <f>SUM(G18,G25,G26,G28,G33,G40,G41)</f>
        <v>242.56133590790395</v>
      </c>
      <c r="H47" s="55">
        <f>G47-D47</f>
        <v>3.7992000000000132</v>
      </c>
      <c r="I47" s="56">
        <f>IF(ISERROR(H47/D47),0,(H47/D47))</f>
        <v>1.591207075423991E-2</v>
      </c>
      <c r="J47" s="56"/>
      <c r="K47" s="57">
        <f>G47/$G$51</f>
        <v>0.95238095238095244</v>
      </c>
    </row>
    <row r="48" spans="1:11" x14ac:dyDescent="0.2">
      <c r="A48" s="58" t="s">
        <v>102</v>
      </c>
      <c r="B48" s="59"/>
      <c r="C48" s="31">
        <v>0.13</v>
      </c>
      <c r="D48" s="31">
        <f>D47*C48</f>
        <v>31.039077668027513</v>
      </c>
      <c r="E48" s="31"/>
      <c r="F48" s="31">
        <f>C48</f>
        <v>0.13</v>
      </c>
      <c r="G48" s="31">
        <f>G47*F48</f>
        <v>31.532973668027516</v>
      </c>
      <c r="H48" s="31">
        <f>G48-D48</f>
        <v>0.493896000000003</v>
      </c>
      <c r="I48" s="32">
        <f>IF(ISERROR(H48/D48),0,(H48/D48))</f>
        <v>1.5912070754239952E-2</v>
      </c>
      <c r="J48" s="32"/>
      <c r="K48" s="60">
        <f>G48/$G$51</f>
        <v>0.12380952380952383</v>
      </c>
    </row>
    <row r="49" spans="1:11" x14ac:dyDescent="0.2">
      <c r="A49" s="61" t="s">
        <v>107</v>
      </c>
      <c r="B49" s="29"/>
      <c r="C49" s="30"/>
      <c r="D49" s="30">
        <f>SUM(D47:D48)</f>
        <v>269.80121357593146</v>
      </c>
      <c r="E49" s="30"/>
      <c r="F49" s="30"/>
      <c r="G49" s="30">
        <f>SUM(G47:G48)</f>
        <v>274.09430957593145</v>
      </c>
      <c r="H49" s="30">
        <f>G49-D49</f>
        <v>4.2930959999999914</v>
      </c>
      <c r="I49" s="33">
        <f>IF(ISERROR(H49/D49),0,(H49/D49))</f>
        <v>1.5912070754239824E-2</v>
      </c>
      <c r="J49" s="33"/>
      <c r="K49" s="62">
        <f>G49/$G$51</f>
        <v>1.0761904761904761</v>
      </c>
    </row>
    <row r="50" spans="1:11" x14ac:dyDescent="0.2">
      <c r="A50" s="58" t="s">
        <v>104</v>
      </c>
      <c r="B50" s="59"/>
      <c r="C50" s="31">
        <v>-0.08</v>
      </c>
      <c r="D50" s="31">
        <f>D47*C50</f>
        <v>-19.100970872632317</v>
      </c>
      <c r="E50" s="31"/>
      <c r="F50" s="31">
        <f>C50</f>
        <v>-0.08</v>
      </c>
      <c r="G50" s="31">
        <f>G47*F50</f>
        <v>-19.404906872632317</v>
      </c>
      <c r="H50" s="31">
        <f>G50-D50</f>
        <v>-0.30393600000000021</v>
      </c>
      <c r="I50" s="32">
        <f>IF(ISERROR(H50/D50),0,(H50/D50))</f>
        <v>1.5912070754239865E-2</v>
      </c>
      <c r="J50" s="32"/>
      <c r="K50" s="60">
        <f>G50/$G$51</f>
        <v>-7.6190476190476197E-2</v>
      </c>
    </row>
    <row r="51" spans="1:11" ht="13.5" thickBot="1" x14ac:dyDescent="0.25">
      <c r="A51" s="63" t="s">
        <v>116</v>
      </c>
      <c r="B51" s="64"/>
      <c r="C51" s="65"/>
      <c r="D51" s="65">
        <f>SUM(D49:D50)</f>
        <v>250.70024270329912</v>
      </c>
      <c r="E51" s="65"/>
      <c r="F51" s="65"/>
      <c r="G51" s="65">
        <f>SUM(G49:G50)</f>
        <v>254.68940270329912</v>
      </c>
      <c r="H51" s="65">
        <f>G51-D51</f>
        <v>3.9891599999999983</v>
      </c>
      <c r="I51" s="66">
        <f>IF(ISERROR(H51/D51),0,(H51/D51))</f>
        <v>1.5912070754239848E-2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1" tint="0.499984740745262"/>
    <pageSetUpPr fitToPage="1"/>
  </sheetPr>
  <dimension ref="A1:K68"/>
  <sheetViews>
    <sheetView tabSelected="1" view="pageBreakPreview" topLeftCell="A16" zoomScaleNormal="100" zoomScaleSheetLayoutView="100" workbookViewId="0">
      <selection activeCell="C3" sqref="C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120</v>
      </c>
      <c r="B1" s="188"/>
      <c r="C1" s="188"/>
      <c r="D1" s="188"/>
      <c r="E1" s="188"/>
      <c r="F1" s="188"/>
      <c r="G1" s="188"/>
      <c r="H1" s="188"/>
      <c r="I1" s="188"/>
      <c r="J1" s="188"/>
      <c r="K1" s="189"/>
    </row>
    <row r="3" spans="1:11" x14ac:dyDescent="0.2">
      <c r="A3" s="13" t="s">
        <v>13</v>
      </c>
      <c r="B3" s="13" t="s">
        <v>2</v>
      </c>
    </row>
    <row r="4" spans="1:11" x14ac:dyDescent="0.2">
      <c r="A4" s="15" t="s">
        <v>62</v>
      </c>
      <c r="B4" s="15">
        <v>2300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68">
        <f>B4*B6</f>
        <v>2541.5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0.12998435855615456</v>
      </c>
      <c r="K12" s="106"/>
    </row>
    <row r="13" spans="1:11" x14ac:dyDescent="0.2">
      <c r="A13" s="107" t="s">
        <v>32</v>
      </c>
      <c r="B13" s="73">
        <f>IF(B4&gt;B7,(B4)-B7,0)</f>
        <v>1700</v>
      </c>
      <c r="C13" s="21">
        <v>0.121</v>
      </c>
      <c r="D13" s="22">
        <f>B13*C13</f>
        <v>205.7</v>
      </c>
      <c r="E13" s="73">
        <f t="shared" ref="E13" si="0">B13</f>
        <v>1700</v>
      </c>
      <c r="F13" s="21">
        <f>C13</f>
        <v>0.121</v>
      </c>
      <c r="G13" s="22">
        <f>E13*F13</f>
        <v>205.7</v>
      </c>
      <c r="H13" s="22">
        <f t="shared" ref="H13:H46" si="1">G13-D13</f>
        <v>0</v>
      </c>
      <c r="I13" s="23">
        <f t="shared" ref="I13:I46" si="2">IF(ISERROR(H13/D13),0,(H13/D13))</f>
        <v>0</v>
      </c>
      <c r="J13" s="23">
        <f>G13/$G$46</f>
        <v>0.43265020315535585</v>
      </c>
      <c r="K13" s="108"/>
    </row>
    <row r="14" spans="1:11" s="1" customFormat="1" x14ac:dyDescent="0.2">
      <c r="A14" s="46" t="s">
        <v>33</v>
      </c>
      <c r="B14" s="24"/>
      <c r="C14" s="25"/>
      <c r="D14" s="25">
        <f>SUM(D12:D13)</f>
        <v>267.5</v>
      </c>
      <c r="E14" s="76"/>
      <c r="F14" s="25"/>
      <c r="G14" s="25">
        <f>SUM(G12:G13)</f>
        <v>267.5</v>
      </c>
      <c r="H14" s="25">
        <f t="shared" si="1"/>
        <v>0</v>
      </c>
      <c r="I14" s="27">
        <f t="shared" si="2"/>
        <v>0</v>
      </c>
      <c r="J14" s="27">
        <f>G14/$G$46</f>
        <v>0.56263456171151049</v>
      </c>
      <c r="K14" s="108"/>
    </row>
    <row r="15" spans="1:11" s="1" customFormat="1" x14ac:dyDescent="0.2">
      <c r="A15" s="109" t="s">
        <v>34</v>
      </c>
      <c r="B15" s="75">
        <f>B4*0.65</f>
        <v>1495</v>
      </c>
      <c r="C15" s="28">
        <v>8.6999999999999994E-2</v>
      </c>
      <c r="D15" s="22">
        <f>B15*C15</f>
        <v>130.065</v>
      </c>
      <c r="E15" s="73">
        <f t="shared" ref="E15:F17" si="3">B15</f>
        <v>1495</v>
      </c>
      <c r="F15" s="28">
        <f t="shared" si="3"/>
        <v>8.6999999999999994E-2</v>
      </c>
      <c r="G15" s="22">
        <f>E15*F15</f>
        <v>130.065</v>
      </c>
      <c r="H15" s="22">
        <f t="shared" si="1"/>
        <v>0</v>
      </c>
      <c r="I15" s="23">
        <f t="shared" si="2"/>
        <v>0</v>
      </c>
      <c r="J15" s="23"/>
      <c r="K15" s="108">
        <f t="shared" ref="K15:K26" si="4">G15/$G$51</f>
        <v>0.28205295259080704</v>
      </c>
    </row>
    <row r="16" spans="1:11" s="1" customFormat="1" x14ac:dyDescent="0.2">
      <c r="A16" s="109" t="s">
        <v>35</v>
      </c>
      <c r="B16" s="75">
        <f>B4*0.17</f>
        <v>391</v>
      </c>
      <c r="C16" s="28">
        <v>0.13200000000000001</v>
      </c>
      <c r="D16" s="22">
        <f>B16*C16</f>
        <v>51.612000000000002</v>
      </c>
      <c r="E16" s="73">
        <f t="shared" si="3"/>
        <v>391</v>
      </c>
      <c r="F16" s="28">
        <f t="shared" si="3"/>
        <v>0.13200000000000001</v>
      </c>
      <c r="G16" s="22">
        <f>E16*F16</f>
        <v>51.612000000000002</v>
      </c>
      <c r="H16" s="22">
        <f t="shared" si="1"/>
        <v>0</v>
      </c>
      <c r="I16" s="23">
        <f t="shared" si="2"/>
        <v>0</v>
      </c>
      <c r="J16" s="23"/>
      <c r="K16" s="108">
        <f t="shared" si="4"/>
        <v>0.11192339975486668</v>
      </c>
    </row>
    <row r="17" spans="1:11" s="1" customFormat="1" x14ac:dyDescent="0.2">
      <c r="A17" s="109" t="s">
        <v>36</v>
      </c>
      <c r="B17" s="75">
        <f>B4*0.18</f>
        <v>414</v>
      </c>
      <c r="C17" s="28">
        <v>0.18</v>
      </c>
      <c r="D17" s="22">
        <f>B17*C17</f>
        <v>74.52</v>
      </c>
      <c r="E17" s="73">
        <f t="shared" si="3"/>
        <v>414</v>
      </c>
      <c r="F17" s="28">
        <f t="shared" si="3"/>
        <v>0.18</v>
      </c>
      <c r="G17" s="22">
        <f>E17*F17</f>
        <v>74.52</v>
      </c>
      <c r="H17" s="22">
        <f t="shared" si="1"/>
        <v>0</v>
      </c>
      <c r="I17" s="23">
        <f t="shared" si="2"/>
        <v>0</v>
      </c>
      <c r="J17" s="23"/>
      <c r="K17" s="108">
        <f t="shared" si="4"/>
        <v>0.16160063066210695</v>
      </c>
    </row>
    <row r="18" spans="1:11" s="1" customFormat="1" x14ac:dyDescent="0.2">
      <c r="A18" s="61" t="s">
        <v>37</v>
      </c>
      <c r="B18" s="29"/>
      <c r="C18" s="30"/>
      <c r="D18" s="30">
        <f>SUM(D15:D17)</f>
        <v>256.197</v>
      </c>
      <c r="E18" s="77"/>
      <c r="F18" s="30"/>
      <c r="G18" s="30">
        <f>SUM(G15:G17)</f>
        <v>256.197</v>
      </c>
      <c r="H18" s="31">
        <f t="shared" si="1"/>
        <v>0</v>
      </c>
      <c r="I18" s="32">
        <f t="shared" si="2"/>
        <v>0</v>
      </c>
      <c r="J18" s="33">
        <f t="shared" ref="J18:J26" si="5">G18/$G$46</f>
        <v>0.53886088525907982</v>
      </c>
      <c r="K18" s="62">
        <f t="shared" si="4"/>
        <v>0.55557698300778069</v>
      </c>
    </row>
    <row r="19" spans="1:11" x14ac:dyDescent="0.2">
      <c r="A19" s="107" t="s">
        <v>112</v>
      </c>
      <c r="B19" s="73">
        <v>1</v>
      </c>
      <c r="C19" s="122">
        <f>VLOOKUP($B$3,'Data for Bill Impacts'!$A$3:$Y$15,7,0)</f>
        <v>34.219678307903934</v>
      </c>
      <c r="D19" s="22">
        <f>B19*C19</f>
        <v>34.219678307903934</v>
      </c>
      <c r="E19" s="73">
        <f t="shared" ref="E19:E41" si="6">B19</f>
        <v>1</v>
      </c>
      <c r="F19" s="122">
        <f>VLOOKUP($B$3,'Data for Bill Impacts'!$A$3:$Y$15,17,0)</f>
        <v>44.23967830790393</v>
      </c>
      <c r="G19" s="22">
        <f>E19*F19</f>
        <v>44.23967830790393</v>
      </c>
      <c r="H19" s="22">
        <f t="shared" si="1"/>
        <v>10.019999999999996</v>
      </c>
      <c r="I19" s="23">
        <f t="shared" si="2"/>
        <v>0.29281397416543259</v>
      </c>
      <c r="J19" s="23">
        <f t="shared" si="5"/>
        <v>9.3049615009442033E-2</v>
      </c>
      <c r="K19" s="108">
        <f t="shared" si="4"/>
        <v>9.5936123387627595E-2</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-0.02</v>
      </c>
      <c r="D22" s="22">
        <f t="shared" si="8"/>
        <v>-0.02</v>
      </c>
      <c r="E22" s="73">
        <f t="shared" si="6"/>
        <v>1</v>
      </c>
      <c r="F22" s="122">
        <f>VLOOKUP($B$3,'Data for Bill Impacts'!$A$3:$Y$15,22,0)</f>
        <v>-0.02</v>
      </c>
      <c r="G22" s="22">
        <f t="shared" si="7"/>
        <v>-0.02</v>
      </c>
      <c r="H22" s="22">
        <f t="shared" si="1"/>
        <v>0</v>
      </c>
      <c r="I22" s="23">
        <f t="shared" si="2"/>
        <v>0</v>
      </c>
      <c r="J22" s="23">
        <f t="shared" si="5"/>
        <v>-4.2066135455066204E-5</v>
      </c>
      <c r="K22" s="108">
        <f t="shared" si="4"/>
        <v>-4.3371076398847815E-5</v>
      </c>
    </row>
    <row r="23" spans="1:11" x14ac:dyDescent="0.2">
      <c r="A23" s="107" t="s">
        <v>39</v>
      </c>
      <c r="B23" s="73">
        <f>IF($B$9="kWh",$B$4,$B$5)</f>
        <v>2300</v>
      </c>
      <c r="C23" s="78">
        <f>VLOOKUP($B$3,'Data for Bill Impacts'!$A$3:$Y$15,10,0)</f>
        <v>3.2199999999999999E-2</v>
      </c>
      <c r="D23" s="22">
        <f>B23*C23</f>
        <v>74.06</v>
      </c>
      <c r="E23" s="73">
        <f t="shared" si="6"/>
        <v>2300</v>
      </c>
      <c r="F23" s="78">
        <f>VLOOKUP($B$3,'Data for Bill Impacts'!$A$3:$Y$15,19,0)</f>
        <v>2.6800000000000001E-2</v>
      </c>
      <c r="G23" s="22">
        <f>E23*F23</f>
        <v>61.64</v>
      </c>
      <c r="H23" s="22">
        <f t="shared" si="1"/>
        <v>-12.420000000000002</v>
      </c>
      <c r="I23" s="23">
        <f t="shared" si="2"/>
        <v>-0.16770186335403728</v>
      </c>
      <c r="J23" s="23">
        <f t="shared" si="5"/>
        <v>0.12964782947251402</v>
      </c>
      <c r="K23" s="108">
        <f t="shared" si="4"/>
        <v>0.13366965746124898</v>
      </c>
    </row>
    <row r="24" spans="1:11" x14ac:dyDescent="0.2">
      <c r="A24" s="107" t="s">
        <v>121</v>
      </c>
      <c r="B24" s="73">
        <f>IF($B$9="kWh",$B$4,$B$5)</f>
        <v>2300</v>
      </c>
      <c r="C24" s="126">
        <f>VLOOKUP($B$3,'Data for Bill Impacts'!$A$3:$Y$15,14,0)</f>
        <v>2.0000000000000001E-4</v>
      </c>
      <c r="D24" s="22">
        <f>B24*C24</f>
        <v>0.46</v>
      </c>
      <c r="E24" s="73">
        <f>B24</f>
        <v>2300</v>
      </c>
      <c r="F24" s="126">
        <f>VLOOKUP($B$3,'Data for Bill Impacts'!$A$3:$Y$15,23,0)</f>
        <v>2.0000000000000001E-4</v>
      </c>
      <c r="G24" s="22">
        <f>E24*F24</f>
        <v>0.46</v>
      </c>
      <c r="H24" s="22">
        <f>G24-D24</f>
        <v>0</v>
      </c>
      <c r="I24" s="23">
        <f>IF(ISERROR(H24/D24),0,(H24/D24))</f>
        <v>0</v>
      </c>
      <c r="J24" s="23">
        <f t="shared" si="5"/>
        <v>9.6752111546652268E-4</v>
      </c>
      <c r="K24" s="108">
        <f t="shared" si="4"/>
        <v>9.975347571734999E-4</v>
      </c>
    </row>
    <row r="25" spans="1:11" s="1" customFormat="1" x14ac:dyDescent="0.2">
      <c r="A25" s="110" t="s">
        <v>72</v>
      </c>
      <c r="B25" s="74"/>
      <c r="C25" s="35"/>
      <c r="D25" s="35">
        <f>SUM(D19:D24)</f>
        <v>108.71967830790392</v>
      </c>
      <c r="E25" s="73"/>
      <c r="F25" s="35"/>
      <c r="G25" s="35">
        <f>SUM(G19:G24)</f>
        <v>106.31967830790391</v>
      </c>
      <c r="H25" s="35">
        <f t="shared" si="1"/>
        <v>-2.4000000000000057</v>
      </c>
      <c r="I25" s="36">
        <f t="shared" si="2"/>
        <v>-2.2075120505811188E-2</v>
      </c>
      <c r="J25" s="36">
        <f t="shared" si="5"/>
        <v>0.22362289946196748</v>
      </c>
      <c r="K25" s="111">
        <f t="shared" si="4"/>
        <v>0.23055994452965117</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1.6616123504751151E-3</v>
      </c>
      <c r="K26" s="108">
        <f t="shared" si="4"/>
        <v>1.7131575177544889E-3</v>
      </c>
    </row>
    <row r="27" spans="1:11" s="1" customFormat="1" x14ac:dyDescent="0.2">
      <c r="A27" s="119" t="s">
        <v>75</v>
      </c>
      <c r="B27" s="120">
        <f>B8-B4</f>
        <v>241.5</v>
      </c>
      <c r="C27" s="121">
        <f>IF(B4&gt;B7,C13,C12)</f>
        <v>0.121</v>
      </c>
      <c r="D27" s="22">
        <f>B27*C27</f>
        <v>29.221499999999999</v>
      </c>
      <c r="E27" s="73">
        <f>B27</f>
        <v>241.5</v>
      </c>
      <c r="F27" s="121">
        <f>C27</f>
        <v>0.121</v>
      </c>
      <c r="G27" s="22">
        <f>E27*F27</f>
        <v>29.221499999999999</v>
      </c>
      <c r="H27" s="22">
        <f t="shared" si="1"/>
        <v>0</v>
      </c>
      <c r="I27" s="23">
        <f>IF(ISERROR(H27/D27),0,(H27/D27))</f>
        <v>0</v>
      </c>
      <c r="J27" s="23">
        <f t="shared" ref="J27:J46" si="9">G27/$G$46</f>
        <v>6.1461778860010849E-2</v>
      </c>
      <c r="K27" s="108">
        <f t="shared" ref="K27:K41" si="10">G27/$G$51</f>
        <v>6.3368395449446571E-2</v>
      </c>
    </row>
    <row r="28" spans="1:11" s="1" customFormat="1" x14ac:dyDescent="0.2">
      <c r="A28" s="119" t="s">
        <v>74</v>
      </c>
      <c r="B28" s="120">
        <f>B8-B4</f>
        <v>241.5</v>
      </c>
      <c r="C28" s="121">
        <f>0.65*C15+0.17*C16+0.18*C17</f>
        <v>0.11139</v>
      </c>
      <c r="D28" s="22">
        <f>B28*C28</f>
        <v>26.900684999999999</v>
      </c>
      <c r="E28" s="73">
        <f>B28</f>
        <v>241.5</v>
      </c>
      <c r="F28" s="121">
        <f>C28</f>
        <v>0.11139</v>
      </c>
      <c r="G28" s="22">
        <f>E28*F28</f>
        <v>26.900684999999999</v>
      </c>
      <c r="H28" s="22">
        <f t="shared" si="1"/>
        <v>0</v>
      </c>
      <c r="I28" s="23">
        <f>IF(ISERROR(H28/D28),0,(H28/D28))</f>
        <v>0</v>
      </c>
      <c r="J28" s="23">
        <f t="shared" si="9"/>
        <v>5.6580392952203372E-2</v>
      </c>
      <c r="K28" s="108">
        <f t="shared" si="10"/>
        <v>5.8335583215816972E-2</v>
      </c>
    </row>
    <row r="29" spans="1:11" s="1" customFormat="1" x14ac:dyDescent="0.2">
      <c r="A29" s="110" t="s">
        <v>78</v>
      </c>
      <c r="B29" s="74"/>
      <c r="C29" s="35"/>
      <c r="D29" s="35">
        <f>SUM(D25,D26:D27)</f>
        <v>138.73117830790392</v>
      </c>
      <c r="E29" s="73"/>
      <c r="F29" s="35"/>
      <c r="G29" s="35">
        <f>SUM(G25,G26:G27)</f>
        <v>136.33117830790391</v>
      </c>
      <c r="H29" s="35">
        <f t="shared" si="1"/>
        <v>-2.4000000000000057</v>
      </c>
      <c r="I29" s="36">
        <f>IF(ISERROR(H29/D29),0,(H29/D29))</f>
        <v>-1.729964402575301E-2</v>
      </c>
      <c r="J29" s="36">
        <f t="shared" si="9"/>
        <v>0.28674629067245344</v>
      </c>
      <c r="K29" s="111">
        <f t="shared" si="10"/>
        <v>0.29564149749685226</v>
      </c>
    </row>
    <row r="30" spans="1:11" s="1" customFormat="1" x14ac:dyDescent="0.2">
      <c r="A30" s="110" t="s">
        <v>77</v>
      </c>
      <c r="B30" s="74"/>
      <c r="C30" s="35"/>
      <c r="D30" s="35">
        <f>SUM(D25,D26,D28)</f>
        <v>136.41036330790394</v>
      </c>
      <c r="E30" s="73"/>
      <c r="F30" s="35"/>
      <c r="G30" s="35">
        <f>SUM(G25,G26,G28)</f>
        <v>134.01036330790393</v>
      </c>
      <c r="H30" s="35">
        <f t="shared" si="1"/>
        <v>-2.4000000000000057</v>
      </c>
      <c r="I30" s="36">
        <f>IF(ISERROR(H30/D30),0,(H30/D30))</f>
        <v>-1.7593971174922778E-2</v>
      </c>
      <c r="J30" s="36">
        <f t="shared" si="9"/>
        <v>0.28186490476464598</v>
      </c>
      <c r="K30" s="111">
        <f t="shared" si="10"/>
        <v>0.2906086852632227</v>
      </c>
    </row>
    <row r="31" spans="1:11" x14ac:dyDescent="0.2">
      <c r="A31" s="107" t="s">
        <v>40</v>
      </c>
      <c r="B31" s="73">
        <f>B8</f>
        <v>2541.5</v>
      </c>
      <c r="C31" s="126">
        <f>VLOOKUP($B$3,'Data for Bill Impacts'!$A$3:$Y$15,15,0)</f>
        <v>6.7400000000000003E-3</v>
      </c>
      <c r="D31" s="22">
        <f>B31*C31</f>
        <v>17.129709999999999</v>
      </c>
      <c r="E31" s="73">
        <f t="shared" si="6"/>
        <v>2541.5</v>
      </c>
      <c r="F31" s="126">
        <f>VLOOKUP($B$3,'Data for Bill Impacts'!$A$3:$Y$15,24,0)</f>
        <v>6.7400000000000003E-3</v>
      </c>
      <c r="G31" s="22">
        <f>E31*F31</f>
        <v>17.129709999999999</v>
      </c>
      <c r="H31" s="22">
        <f t="shared" si="1"/>
        <v>0</v>
      </c>
      <c r="I31" s="23">
        <f t="shared" si="2"/>
        <v>0</v>
      </c>
      <c r="J31" s="23">
        <f t="shared" si="9"/>
        <v>3.6029035058300102E-2</v>
      </c>
      <c r="K31" s="108">
        <f t="shared" si="10"/>
        <v>3.7146698055005367E-2</v>
      </c>
    </row>
    <row r="32" spans="1:11" x14ac:dyDescent="0.2">
      <c r="A32" s="107" t="s">
        <v>41</v>
      </c>
      <c r="B32" s="73">
        <f>B8</f>
        <v>2541.5</v>
      </c>
      <c r="C32" s="126">
        <f>VLOOKUP($B$3,'Data for Bill Impacts'!$A$3:$Y$15,16,0)</f>
        <v>5.6299999999999996E-3</v>
      </c>
      <c r="D32" s="22">
        <f>B32*C32</f>
        <v>14.308644999999999</v>
      </c>
      <c r="E32" s="73">
        <f t="shared" si="6"/>
        <v>2541.5</v>
      </c>
      <c r="F32" s="126">
        <f>VLOOKUP($B$3,'Data for Bill Impacts'!$A$3:$Y$15,25,0)</f>
        <v>5.6299999999999996E-3</v>
      </c>
      <c r="G32" s="22">
        <f>E32*F32</f>
        <v>14.308644999999999</v>
      </c>
      <c r="H32" s="22">
        <f t="shared" si="1"/>
        <v>0</v>
      </c>
      <c r="I32" s="23">
        <f t="shared" si="2"/>
        <v>0</v>
      </c>
      <c r="J32" s="23">
        <f t="shared" si="9"/>
        <v>3.0095469937422781E-2</v>
      </c>
      <c r="K32" s="108">
        <f t="shared" si="10"/>
        <v>3.1029066772949587E-2</v>
      </c>
    </row>
    <row r="33" spans="1:11" s="1" customFormat="1" x14ac:dyDescent="0.2">
      <c r="A33" s="110" t="s">
        <v>76</v>
      </c>
      <c r="B33" s="74"/>
      <c r="C33" s="35"/>
      <c r="D33" s="35">
        <f>SUM(D31:D32)</f>
        <v>31.438354999999998</v>
      </c>
      <c r="E33" s="73"/>
      <c r="F33" s="35"/>
      <c r="G33" s="35">
        <f>SUM(G31:G32)</f>
        <v>31.438354999999998</v>
      </c>
      <c r="H33" s="35">
        <f t="shared" si="1"/>
        <v>0</v>
      </c>
      <c r="I33" s="36">
        <f t="shared" si="2"/>
        <v>0</v>
      </c>
      <c r="J33" s="36">
        <f t="shared" si="9"/>
        <v>6.612450499572288E-2</v>
      </c>
      <c r="K33" s="111">
        <f t="shared" si="10"/>
        <v>6.8175764827954954E-2</v>
      </c>
    </row>
    <row r="34" spans="1:11" s="1" customFormat="1" x14ac:dyDescent="0.2">
      <c r="A34" s="110" t="s">
        <v>91</v>
      </c>
      <c r="B34" s="74"/>
      <c r="C34" s="35"/>
      <c r="D34" s="35">
        <f>D29+D33</f>
        <v>170.16953330790392</v>
      </c>
      <c r="E34" s="73"/>
      <c r="F34" s="35"/>
      <c r="G34" s="35">
        <f>G29+G33</f>
        <v>167.76953330790391</v>
      </c>
      <c r="H34" s="35">
        <f t="shared" si="1"/>
        <v>-2.4000000000000057</v>
      </c>
      <c r="I34" s="36">
        <f t="shared" si="2"/>
        <v>-1.4103582194454617E-2</v>
      </c>
      <c r="J34" s="36">
        <f t="shared" si="9"/>
        <v>0.35287079566817636</v>
      </c>
      <c r="K34" s="111">
        <f t="shared" si="10"/>
        <v>0.36381726232480721</v>
      </c>
    </row>
    <row r="35" spans="1:11" s="1" customFormat="1" x14ac:dyDescent="0.2">
      <c r="A35" s="110" t="s">
        <v>92</v>
      </c>
      <c r="B35" s="74"/>
      <c r="C35" s="35"/>
      <c r="D35" s="35">
        <f>D30+D33</f>
        <v>167.84871830790394</v>
      </c>
      <c r="E35" s="73"/>
      <c r="F35" s="35"/>
      <c r="G35" s="35">
        <f>G30+G33</f>
        <v>165.44871830790393</v>
      </c>
      <c r="H35" s="35">
        <f t="shared" si="1"/>
        <v>-2.4000000000000057</v>
      </c>
      <c r="I35" s="36">
        <f t="shared" si="2"/>
        <v>-1.4298589969554689E-2</v>
      </c>
      <c r="J35" s="36">
        <f t="shared" si="9"/>
        <v>0.34798940976036891</v>
      </c>
      <c r="K35" s="111">
        <f t="shared" si="10"/>
        <v>0.35878445009117765</v>
      </c>
    </row>
    <row r="36" spans="1:11" x14ac:dyDescent="0.2">
      <c r="A36" s="107" t="s">
        <v>42</v>
      </c>
      <c r="B36" s="73">
        <f>B8</f>
        <v>2541.5</v>
      </c>
      <c r="C36" s="34">
        <v>3.5999999999999999E-3</v>
      </c>
      <c r="D36" s="22">
        <f>B36*C36</f>
        <v>9.1494</v>
      </c>
      <c r="E36" s="73">
        <f t="shared" si="6"/>
        <v>2541.5</v>
      </c>
      <c r="F36" s="34">
        <v>3.5999999999999999E-3</v>
      </c>
      <c r="G36" s="22">
        <f>E36*F36</f>
        <v>9.1494</v>
      </c>
      <c r="H36" s="22">
        <f t="shared" si="1"/>
        <v>0</v>
      </c>
      <c r="I36" s="23">
        <f t="shared" si="2"/>
        <v>0</v>
      </c>
      <c r="J36" s="23">
        <f t="shared" si="9"/>
        <v>1.9243994986629136E-2</v>
      </c>
      <c r="K36" s="108">
        <f t="shared" si="10"/>
        <v>1.9840966320180911E-2</v>
      </c>
    </row>
    <row r="37" spans="1:11" x14ac:dyDescent="0.2">
      <c r="A37" s="107" t="s">
        <v>43</v>
      </c>
      <c r="B37" s="73">
        <f>B8</f>
        <v>2541.5</v>
      </c>
      <c r="C37" s="34">
        <v>2.0999999999999999E-3</v>
      </c>
      <c r="D37" s="22">
        <f>B37*C37</f>
        <v>5.3371499999999994</v>
      </c>
      <c r="E37" s="73">
        <f t="shared" si="6"/>
        <v>2541.5</v>
      </c>
      <c r="F37" s="34">
        <v>2.0999999999999999E-3</v>
      </c>
      <c r="G37" s="22">
        <f>E37*F37</f>
        <v>5.3371499999999994</v>
      </c>
      <c r="H37" s="22">
        <f>G37-D37</f>
        <v>0</v>
      </c>
      <c r="I37" s="23">
        <f t="shared" si="2"/>
        <v>0</v>
      </c>
      <c r="J37" s="23">
        <f t="shared" si="9"/>
        <v>1.1225663742200328E-2</v>
      </c>
      <c r="K37" s="108">
        <f t="shared" si="10"/>
        <v>1.157389702010553E-2</v>
      </c>
    </row>
    <row r="38" spans="1:11" x14ac:dyDescent="0.2">
      <c r="A38" s="107" t="s">
        <v>96</v>
      </c>
      <c r="B38" s="73">
        <f>B8</f>
        <v>2541.5</v>
      </c>
      <c r="C38" s="34">
        <v>1.1000000000000001E-3</v>
      </c>
      <c r="D38" s="22">
        <f>B38*C38</f>
        <v>2.7956500000000002</v>
      </c>
      <c r="E38" s="73">
        <f t="shared" si="6"/>
        <v>2541.5</v>
      </c>
      <c r="F38" s="34">
        <v>1.1000000000000001E-3</v>
      </c>
      <c r="G38" s="22">
        <f>E38*F38</f>
        <v>2.7956500000000002</v>
      </c>
      <c r="H38" s="22">
        <f>G38-D38</f>
        <v>0</v>
      </c>
      <c r="I38" s="23">
        <f t="shared" ref="I38" si="11">IF(ISERROR(H38/D38),0,(H38/D38))</f>
        <v>0</v>
      </c>
      <c r="J38" s="23">
        <f t="shared" ref="J38" si="12">G38/$G$46</f>
        <v>5.8801095792477918E-3</v>
      </c>
      <c r="K38" s="108">
        <f t="shared" ref="K38" si="13">G38/$G$51</f>
        <v>6.0625174867219456E-3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5.2582669318832756E-4</v>
      </c>
      <c r="K39" s="108">
        <f t="shared" si="10"/>
        <v>5.4213845498559765E-4</v>
      </c>
    </row>
    <row r="40" spans="1:11" s="1" customFormat="1" x14ac:dyDescent="0.2">
      <c r="A40" s="110" t="s">
        <v>45</v>
      </c>
      <c r="B40" s="74"/>
      <c r="C40" s="35"/>
      <c r="D40" s="35">
        <f>SUM(D36:D39)</f>
        <v>17.5322</v>
      </c>
      <c r="E40" s="73"/>
      <c r="F40" s="35"/>
      <c r="G40" s="35">
        <f>SUM(G36:G39)</f>
        <v>17.5322</v>
      </c>
      <c r="H40" s="35">
        <f t="shared" si="1"/>
        <v>0</v>
      </c>
      <c r="I40" s="36">
        <f t="shared" si="2"/>
        <v>0</v>
      </c>
      <c r="J40" s="36">
        <f t="shared" si="9"/>
        <v>3.6875595001265582E-2</v>
      </c>
      <c r="K40" s="111">
        <f t="shared" si="10"/>
        <v>3.8019519281993985E-2</v>
      </c>
    </row>
    <row r="41" spans="1:11" s="1" customFormat="1" ht="13.5" thickBot="1" x14ac:dyDescent="0.25">
      <c r="A41" s="112" t="s">
        <v>46</v>
      </c>
      <c r="B41" s="113">
        <f>B4</f>
        <v>2300</v>
      </c>
      <c r="C41" s="114">
        <v>0</v>
      </c>
      <c r="D41" s="115">
        <f>B41*C41</f>
        <v>0</v>
      </c>
      <c r="E41" s="116">
        <f t="shared" si="6"/>
        <v>2300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455.20173330790391</v>
      </c>
      <c r="E42" s="38"/>
      <c r="F42" s="39"/>
      <c r="G42" s="39">
        <f>SUM(G14,G25,G26,G27,G33,G40,G41)</f>
        <v>452.80173330790393</v>
      </c>
      <c r="H42" s="39">
        <f t="shared" si="1"/>
        <v>-2.3999999999999773</v>
      </c>
      <c r="I42" s="40">
        <f>IF(ISERROR(H42/D42),0,(H42/D42))</f>
        <v>-5.2723876566976701E-3</v>
      </c>
      <c r="J42" s="40">
        <f t="shared" si="9"/>
        <v>0.95238095238095244</v>
      </c>
      <c r="K42" s="41"/>
    </row>
    <row r="43" spans="1:11" x14ac:dyDescent="0.2">
      <c r="A43" s="154" t="s">
        <v>102</v>
      </c>
      <c r="B43" s="43"/>
      <c r="C43" s="26">
        <v>0.13</v>
      </c>
      <c r="D43" s="26">
        <f>D42*C43</f>
        <v>59.176225330027513</v>
      </c>
      <c r="E43" s="26"/>
      <c r="F43" s="26">
        <f>C43</f>
        <v>0.13</v>
      </c>
      <c r="G43" s="26">
        <f>G42*F43</f>
        <v>58.864225330027516</v>
      </c>
      <c r="H43" s="26">
        <f t="shared" si="1"/>
        <v>-0.31199999999999761</v>
      </c>
      <c r="I43" s="44">
        <f t="shared" si="2"/>
        <v>-5.2723876566976796E-3</v>
      </c>
      <c r="J43" s="44">
        <f t="shared" si="9"/>
        <v>0.12380952380952383</v>
      </c>
      <c r="K43" s="45"/>
    </row>
    <row r="44" spans="1:11" s="1" customFormat="1" x14ac:dyDescent="0.2">
      <c r="A44" s="46" t="s">
        <v>103</v>
      </c>
      <c r="B44" s="24"/>
      <c r="C44" s="25"/>
      <c r="D44" s="25">
        <f>SUM(D42:D43)</f>
        <v>514.37795863793144</v>
      </c>
      <c r="E44" s="25"/>
      <c r="F44" s="25"/>
      <c r="G44" s="25">
        <f>SUM(G42:G43)</f>
        <v>511.66595863793145</v>
      </c>
      <c r="H44" s="25">
        <f t="shared" si="1"/>
        <v>-2.7119999999999891</v>
      </c>
      <c r="I44" s="27">
        <f t="shared" si="2"/>
        <v>-5.2723876566976987E-3</v>
      </c>
      <c r="J44" s="27">
        <f t="shared" si="9"/>
        <v>1.0761904761904761</v>
      </c>
      <c r="K44" s="47"/>
    </row>
    <row r="45" spans="1:11" x14ac:dyDescent="0.2">
      <c r="A45" s="42" t="s">
        <v>104</v>
      </c>
      <c r="B45" s="43"/>
      <c r="C45" s="26">
        <v>-0.08</v>
      </c>
      <c r="D45" s="26">
        <f>D42*C45</f>
        <v>-36.416138664632314</v>
      </c>
      <c r="E45" s="26"/>
      <c r="F45" s="26">
        <f>C45</f>
        <v>-0.08</v>
      </c>
      <c r="G45" s="26">
        <f>G42*F45</f>
        <v>-36.224138664632314</v>
      </c>
      <c r="H45" s="26">
        <f t="shared" si="1"/>
        <v>0.19200000000000017</v>
      </c>
      <c r="I45" s="44">
        <f t="shared" si="2"/>
        <v>-5.2723876566977248E-3</v>
      </c>
      <c r="J45" s="44">
        <f t="shared" si="9"/>
        <v>-7.6190476190476183E-2</v>
      </c>
      <c r="K45" s="45"/>
    </row>
    <row r="46" spans="1:11" s="1" customFormat="1" ht="13.5" thickBot="1" x14ac:dyDescent="0.25">
      <c r="A46" s="48" t="s">
        <v>105</v>
      </c>
      <c r="B46" s="49"/>
      <c r="C46" s="50"/>
      <c r="D46" s="50">
        <f>SUM(D44:D45)</f>
        <v>477.96181997329916</v>
      </c>
      <c r="E46" s="50"/>
      <c r="F46" s="50"/>
      <c r="G46" s="50">
        <f>SUM(G44:G45)</f>
        <v>475.44181997329912</v>
      </c>
      <c r="H46" s="50">
        <f t="shared" si="1"/>
        <v>-2.5200000000000387</v>
      </c>
      <c r="I46" s="51">
        <f t="shared" si="2"/>
        <v>-5.2723876566978002E-3</v>
      </c>
      <c r="J46" s="51">
        <f t="shared" si="9"/>
        <v>1</v>
      </c>
      <c r="K46" s="52"/>
    </row>
    <row r="47" spans="1:11" x14ac:dyDescent="0.2">
      <c r="A47" s="53" t="s">
        <v>106</v>
      </c>
      <c r="B47" s="54"/>
      <c r="C47" s="55"/>
      <c r="D47" s="55">
        <f>SUM(D18,D25,D26,D28,D33,D40,D41)</f>
        <v>441.57791830790393</v>
      </c>
      <c r="E47" s="55"/>
      <c r="F47" s="55"/>
      <c r="G47" s="55">
        <f>SUM(G18,G25,G26,G28,G33,G40,G41)</f>
        <v>439.17791830790395</v>
      </c>
      <c r="H47" s="55">
        <f>G47-D47</f>
        <v>-2.3999999999999773</v>
      </c>
      <c r="I47" s="56">
        <f>IF(ISERROR(H47/D47),0,(H47/D47))</f>
        <v>-5.4350543822404241E-3</v>
      </c>
      <c r="J47" s="56"/>
      <c r="K47" s="57">
        <f>G47/$G$51</f>
        <v>0.95238095238095233</v>
      </c>
    </row>
    <row r="48" spans="1:11" x14ac:dyDescent="0.2">
      <c r="A48" s="58" t="s">
        <v>102</v>
      </c>
      <c r="B48" s="59"/>
      <c r="C48" s="31">
        <v>0.13</v>
      </c>
      <c r="D48" s="31">
        <f>D47*C48</f>
        <v>57.40512938002751</v>
      </c>
      <c r="E48" s="31"/>
      <c r="F48" s="31">
        <f>C48</f>
        <v>0.13</v>
      </c>
      <c r="G48" s="31">
        <f>G47*F48</f>
        <v>57.093129380027513</v>
      </c>
      <c r="H48" s="31">
        <f>G48-D48</f>
        <v>-0.31199999999999761</v>
      </c>
      <c r="I48" s="32">
        <f>IF(ISERROR(H48/D48),0,(H48/D48))</f>
        <v>-5.4350543822404337E-3</v>
      </c>
      <c r="J48" s="32"/>
      <c r="K48" s="60">
        <f>G48/$G$51</f>
        <v>0.1238095238095238</v>
      </c>
    </row>
    <row r="49" spans="1:11" x14ac:dyDescent="0.2">
      <c r="A49" s="61" t="s">
        <v>107</v>
      </c>
      <c r="B49" s="29"/>
      <c r="C49" s="30"/>
      <c r="D49" s="30">
        <f>SUM(D47:D48)</f>
        <v>498.98304768793145</v>
      </c>
      <c r="E49" s="30"/>
      <c r="F49" s="30"/>
      <c r="G49" s="30">
        <f>SUM(G47:G48)</f>
        <v>496.27104768793146</v>
      </c>
      <c r="H49" s="30">
        <f>G49-D49</f>
        <v>-2.7119999999999891</v>
      </c>
      <c r="I49" s="33">
        <f>IF(ISERROR(H49/D49),0,(H49/D49))</f>
        <v>-5.4350543822404536E-3</v>
      </c>
      <c r="J49" s="33"/>
      <c r="K49" s="62">
        <f>G49/$G$51</f>
        <v>1.0761904761904761</v>
      </c>
    </row>
    <row r="50" spans="1:11" x14ac:dyDescent="0.2">
      <c r="A50" s="58" t="s">
        <v>104</v>
      </c>
      <c r="B50" s="59"/>
      <c r="C50" s="31">
        <v>-0.08</v>
      </c>
      <c r="D50" s="31">
        <f>D47*C50</f>
        <v>-35.326233464632317</v>
      </c>
      <c r="E50" s="31"/>
      <c r="F50" s="31">
        <f>C50</f>
        <v>-0.08</v>
      </c>
      <c r="G50" s="31">
        <f>G47*F50</f>
        <v>-35.134233464632317</v>
      </c>
      <c r="H50" s="31">
        <f>G50-D50</f>
        <v>0.19200000000000017</v>
      </c>
      <c r="I50" s="32">
        <f>IF(ISERROR(H50/D50),0,(H50/D50))</f>
        <v>-5.4350543822404796E-3</v>
      </c>
      <c r="J50" s="32"/>
      <c r="K50" s="60">
        <f>G50/$G$51</f>
        <v>-7.6190476190476197E-2</v>
      </c>
    </row>
    <row r="51" spans="1:11" ht="13.5" thickBot="1" x14ac:dyDescent="0.25">
      <c r="A51" s="63" t="s">
        <v>116</v>
      </c>
      <c r="B51" s="64"/>
      <c r="C51" s="65"/>
      <c r="D51" s="65">
        <f>SUM(D49:D50)</f>
        <v>463.65681422329914</v>
      </c>
      <c r="E51" s="65"/>
      <c r="F51" s="65"/>
      <c r="G51" s="65">
        <f>SUM(G49:G50)</f>
        <v>461.13681422329915</v>
      </c>
      <c r="H51" s="65">
        <f>G51-D51</f>
        <v>-2.5199999999999818</v>
      </c>
      <c r="I51" s="66">
        <f>IF(ISERROR(H51/D51),0,(H51/D51))</f>
        <v>-5.4350543822404363E-3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1" tint="0.499984740745262"/>
    <pageSetUpPr fitToPage="1"/>
  </sheetPr>
  <dimension ref="A1:K68"/>
  <sheetViews>
    <sheetView tabSelected="1" view="pageBreakPreview" topLeftCell="A16" zoomScaleNormal="100" zoomScaleSheetLayoutView="100" workbookViewId="0">
      <selection activeCell="C3" sqref="C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117</v>
      </c>
      <c r="B1" s="188"/>
      <c r="C1" s="188"/>
      <c r="D1" s="188"/>
      <c r="E1" s="188"/>
      <c r="F1" s="188"/>
      <c r="G1" s="188"/>
      <c r="H1" s="188"/>
      <c r="I1" s="188"/>
      <c r="J1" s="188"/>
      <c r="K1" s="189"/>
    </row>
    <row r="3" spans="1:11" x14ac:dyDescent="0.2">
      <c r="A3" s="13" t="s">
        <v>13</v>
      </c>
      <c r="B3" s="13" t="s">
        <v>3</v>
      </c>
    </row>
    <row r="4" spans="1:11" x14ac:dyDescent="0.2">
      <c r="A4" s="15" t="s">
        <v>62</v>
      </c>
      <c r="B4" s="15">
        <v>50</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5">
        <f>B4*B6</f>
        <v>55.2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50</v>
      </c>
      <c r="C12" s="103">
        <v>0.10299999999999999</v>
      </c>
      <c r="D12" s="104">
        <f>B12*C12</f>
        <v>5.1499999999999995</v>
      </c>
      <c r="E12" s="102">
        <f>B12</f>
        <v>50</v>
      </c>
      <c r="F12" s="103">
        <f>C12</f>
        <v>0.10299999999999999</v>
      </c>
      <c r="G12" s="104">
        <f>E12*F12</f>
        <v>5.1499999999999995</v>
      </c>
      <c r="H12" s="104">
        <f>G12-D12</f>
        <v>0</v>
      </c>
      <c r="I12" s="105">
        <f>IF(ISERROR(H12/D12),0,(H12/D12))</f>
        <v>0</v>
      </c>
      <c r="J12" s="105">
        <f>G12/$G$46</f>
        <v>8.1740186777742571E-2</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5.1499999999999995</v>
      </c>
      <c r="E14" s="76"/>
      <c r="F14" s="25"/>
      <c r="G14" s="25">
        <f>SUM(G12:G13)</f>
        <v>5.1499999999999995</v>
      </c>
      <c r="H14" s="25">
        <f t="shared" si="1"/>
        <v>0</v>
      </c>
      <c r="I14" s="27">
        <f t="shared" si="2"/>
        <v>0</v>
      </c>
      <c r="J14" s="27">
        <f>G14/$G$46</f>
        <v>8.1740186777742571E-2</v>
      </c>
      <c r="K14" s="108"/>
    </row>
    <row r="15" spans="1:11" s="1" customFormat="1" x14ac:dyDescent="0.2">
      <c r="A15" s="109" t="s">
        <v>34</v>
      </c>
      <c r="B15" s="75">
        <f>B4*0.65</f>
        <v>32.5</v>
      </c>
      <c r="C15" s="28">
        <v>8.6999999999999994E-2</v>
      </c>
      <c r="D15" s="22">
        <f>B15*C15</f>
        <v>2.8274999999999997</v>
      </c>
      <c r="E15" s="73">
        <f t="shared" ref="E15:F17" si="3">B15</f>
        <v>32.5</v>
      </c>
      <c r="F15" s="28">
        <f t="shared" si="3"/>
        <v>8.6999999999999994E-2</v>
      </c>
      <c r="G15" s="22">
        <f>E15*F15</f>
        <v>2.8274999999999997</v>
      </c>
      <c r="H15" s="22">
        <f t="shared" si="1"/>
        <v>0</v>
      </c>
      <c r="I15" s="23">
        <f t="shared" si="2"/>
        <v>0</v>
      </c>
      <c r="J15" s="23"/>
      <c r="K15" s="108">
        <f t="shared" ref="K15:K26" si="4">G15/$G$51</f>
        <v>4.4534018718039782E-2</v>
      </c>
    </row>
    <row r="16" spans="1:11" s="1" customFormat="1" x14ac:dyDescent="0.2">
      <c r="A16" s="109" t="s">
        <v>35</v>
      </c>
      <c r="B16" s="75">
        <f>B4*0.17</f>
        <v>8.5</v>
      </c>
      <c r="C16" s="28">
        <v>0.13200000000000001</v>
      </c>
      <c r="D16" s="22">
        <f>B16*C16</f>
        <v>1.1220000000000001</v>
      </c>
      <c r="E16" s="73">
        <f t="shared" si="3"/>
        <v>8.5</v>
      </c>
      <c r="F16" s="28">
        <f t="shared" si="3"/>
        <v>0.13200000000000001</v>
      </c>
      <c r="G16" s="22">
        <f>E16*F16</f>
        <v>1.1220000000000001</v>
      </c>
      <c r="H16" s="22">
        <f t="shared" si="1"/>
        <v>0</v>
      </c>
      <c r="I16" s="23">
        <f t="shared" si="2"/>
        <v>0</v>
      </c>
      <c r="J16" s="23"/>
      <c r="K16" s="108">
        <f t="shared" si="4"/>
        <v>1.7671854642490058E-2</v>
      </c>
    </row>
    <row r="17" spans="1:11" s="1" customFormat="1" x14ac:dyDescent="0.2">
      <c r="A17" s="109" t="s">
        <v>36</v>
      </c>
      <c r="B17" s="75">
        <f>B4*0.18</f>
        <v>9</v>
      </c>
      <c r="C17" s="28">
        <v>0.18</v>
      </c>
      <c r="D17" s="22">
        <f>B17*C17</f>
        <v>1.6199999999999999</v>
      </c>
      <c r="E17" s="73">
        <f t="shared" si="3"/>
        <v>9</v>
      </c>
      <c r="F17" s="28">
        <f t="shared" si="3"/>
        <v>0.18</v>
      </c>
      <c r="G17" s="22">
        <f>E17*F17</f>
        <v>1.6199999999999999</v>
      </c>
      <c r="H17" s="22">
        <f t="shared" si="1"/>
        <v>0</v>
      </c>
      <c r="I17" s="23">
        <f t="shared" si="2"/>
        <v>0</v>
      </c>
      <c r="J17" s="23"/>
      <c r="K17" s="108">
        <f t="shared" si="4"/>
        <v>2.5515512050654093E-2</v>
      </c>
    </row>
    <row r="18" spans="1:11" s="1" customFormat="1" x14ac:dyDescent="0.2">
      <c r="A18" s="61" t="s">
        <v>37</v>
      </c>
      <c r="B18" s="29"/>
      <c r="C18" s="30"/>
      <c r="D18" s="30">
        <f>SUM(D15:D17)</f>
        <v>5.5694999999999997</v>
      </c>
      <c r="E18" s="77"/>
      <c r="F18" s="30"/>
      <c r="G18" s="30">
        <f>SUM(G15:G17)</f>
        <v>5.5694999999999997</v>
      </c>
      <c r="H18" s="31">
        <f t="shared" si="1"/>
        <v>0</v>
      </c>
      <c r="I18" s="32">
        <f t="shared" si="2"/>
        <v>0</v>
      </c>
      <c r="J18" s="33">
        <f t="shared" ref="J18:J26" si="5">G18/$G$46</f>
        <v>8.8398440826919847E-2</v>
      </c>
      <c r="K18" s="62">
        <f t="shared" si="4"/>
        <v>8.7721385411183933E-2</v>
      </c>
    </row>
    <row r="19" spans="1:11" x14ac:dyDescent="0.2">
      <c r="A19" s="107" t="s">
        <v>38</v>
      </c>
      <c r="B19" s="73">
        <v>1</v>
      </c>
      <c r="C19" s="78">
        <f>VLOOKUP($B$3,'Data for Bill Impacts'!$A$3:$Y$15,7,0)</f>
        <v>45.14</v>
      </c>
      <c r="D19" s="22">
        <f>B19*C19</f>
        <v>45.14</v>
      </c>
      <c r="E19" s="73">
        <f t="shared" ref="E19:E41" si="6">B19</f>
        <v>1</v>
      </c>
      <c r="F19" s="78">
        <f>VLOOKUP($B$3,'Data for Bill Impacts'!$A$3:$Y$15,17,0)</f>
        <v>50.12</v>
      </c>
      <c r="G19" s="22">
        <f>E19*F19</f>
        <v>50.12</v>
      </c>
      <c r="H19" s="22">
        <f t="shared" si="1"/>
        <v>4.9799999999999969</v>
      </c>
      <c r="I19" s="23">
        <f t="shared" si="2"/>
        <v>0.11032343819229058</v>
      </c>
      <c r="J19" s="23">
        <f t="shared" si="5"/>
        <v>0.79549867209717628</v>
      </c>
      <c r="K19" s="108">
        <f t="shared" si="4"/>
        <v>0.78940584196221175</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50</v>
      </c>
      <c r="C23" s="78">
        <f>VLOOKUP($B$3,'Data for Bill Impacts'!$A$3:$Y$15,10,0)</f>
        <v>5.2999999999999999E-2</v>
      </c>
      <c r="D23" s="22">
        <f>B23*C23</f>
        <v>2.65</v>
      </c>
      <c r="E23" s="73">
        <f t="shared" si="6"/>
        <v>50</v>
      </c>
      <c r="F23" s="78">
        <f>VLOOKUP($B$3,'Data for Bill Impacts'!$A$3:$Y$15,19,0)</f>
        <v>4.3900000000000002E-2</v>
      </c>
      <c r="G23" s="22">
        <f>E23*F23</f>
        <v>2.1950000000000003</v>
      </c>
      <c r="H23" s="22">
        <f t="shared" si="1"/>
        <v>-0.45499999999999963</v>
      </c>
      <c r="I23" s="23">
        <f t="shared" si="2"/>
        <v>-0.17169811320754705</v>
      </c>
      <c r="J23" s="23">
        <f t="shared" si="5"/>
        <v>3.483877863633883E-2</v>
      </c>
      <c r="K23" s="108">
        <f t="shared" si="4"/>
        <v>3.4571943797028236E-2</v>
      </c>
    </row>
    <row r="24" spans="1:11" x14ac:dyDescent="0.2">
      <c r="A24" s="107" t="s">
        <v>121</v>
      </c>
      <c r="B24" s="73">
        <f>IF($B$9="kWh",$B$4,$B$5)</f>
        <v>50</v>
      </c>
      <c r="C24" s="126">
        <f>VLOOKUP($B$3,'Data for Bill Impacts'!$A$3:$Y$15,14,0)</f>
        <v>2.0000000000000001E-4</v>
      </c>
      <c r="D24" s="22">
        <f>B24*C24</f>
        <v>0.01</v>
      </c>
      <c r="E24" s="73">
        <f>B24</f>
        <v>50</v>
      </c>
      <c r="F24" s="126">
        <f>VLOOKUP($B$3,'Data for Bill Impacts'!$A$3:$Y$15,23,0)</f>
        <v>2.0000000000000001E-4</v>
      </c>
      <c r="G24" s="22">
        <f>E24*F24</f>
        <v>0.01</v>
      </c>
      <c r="H24" s="22">
        <f>G24-D24</f>
        <v>0</v>
      </c>
      <c r="I24" s="23">
        <f>IF(ISERROR(H24/D24),0,(H24/D24))</f>
        <v>0</v>
      </c>
      <c r="J24" s="23">
        <f t="shared" si="5"/>
        <v>1.5871880927717004E-4</v>
      </c>
      <c r="K24" s="108">
        <f t="shared" si="4"/>
        <v>1.5750316080650675E-4</v>
      </c>
    </row>
    <row r="25" spans="1:11" s="1" customFormat="1" x14ac:dyDescent="0.2">
      <c r="A25" s="110" t="s">
        <v>72</v>
      </c>
      <c r="B25" s="74"/>
      <c r="C25" s="35"/>
      <c r="D25" s="35">
        <f>SUM(D19:D24)</f>
        <v>47.8</v>
      </c>
      <c r="E25" s="73"/>
      <c r="F25" s="35"/>
      <c r="G25" s="35">
        <f>SUM(G19:G24)</f>
        <v>52.324999999999996</v>
      </c>
      <c r="H25" s="35">
        <f t="shared" si="1"/>
        <v>4.5249999999999986</v>
      </c>
      <c r="I25" s="36">
        <f t="shared" si="2"/>
        <v>9.4665271966527173E-2</v>
      </c>
      <c r="J25" s="36">
        <f t="shared" si="5"/>
        <v>0.83049616954279215</v>
      </c>
      <c r="K25" s="111">
        <f t="shared" si="4"/>
        <v>0.8241352889200465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1.2538785932896434E-2</v>
      </c>
      <c r="K26" s="108">
        <f t="shared" si="4"/>
        <v>1.2442749703714034E-2</v>
      </c>
    </row>
    <row r="27" spans="1:11" s="1" customFormat="1" x14ac:dyDescent="0.2">
      <c r="A27" s="119" t="s">
        <v>75</v>
      </c>
      <c r="B27" s="120">
        <f>B8-B4</f>
        <v>5.2000000000000028</v>
      </c>
      <c r="C27" s="121">
        <f>IF(B4&gt;B7,C13,C12)</f>
        <v>0.10299999999999999</v>
      </c>
      <c r="D27" s="22">
        <f>B27*C27</f>
        <v>0.5356000000000003</v>
      </c>
      <c r="E27" s="73">
        <f>B27</f>
        <v>5.2000000000000028</v>
      </c>
      <c r="F27" s="121">
        <f>C27</f>
        <v>0.10299999999999999</v>
      </c>
      <c r="G27" s="22">
        <f>E27*F27</f>
        <v>0.5356000000000003</v>
      </c>
      <c r="H27" s="22">
        <f t="shared" si="1"/>
        <v>0</v>
      </c>
      <c r="I27" s="23">
        <f>IF(ISERROR(H27/D27),0,(H27/D27))</f>
        <v>0</v>
      </c>
      <c r="J27" s="23">
        <f t="shared" ref="J27:J46" si="9">G27/$G$46</f>
        <v>8.5009794248852317E-3</v>
      </c>
      <c r="K27" s="108">
        <f t="shared" ref="K27:K41" si="10">G27/$G$51</f>
        <v>8.4358692927965061E-3</v>
      </c>
    </row>
    <row r="28" spans="1:11" s="1" customFormat="1" x14ac:dyDescent="0.2">
      <c r="A28" s="119" t="s">
        <v>74</v>
      </c>
      <c r="B28" s="120">
        <f>B8-B4</f>
        <v>5.2000000000000028</v>
      </c>
      <c r="C28" s="121">
        <f>0.65*C15+0.17*C16+0.18*C17</f>
        <v>0.11139</v>
      </c>
      <c r="D28" s="22">
        <f>B28*C28</f>
        <v>0.5792280000000003</v>
      </c>
      <c r="E28" s="73">
        <f>B28</f>
        <v>5.2000000000000028</v>
      </c>
      <c r="F28" s="121">
        <f>C28</f>
        <v>0.11139</v>
      </c>
      <c r="G28" s="22">
        <f>E28*F28</f>
        <v>0.5792280000000003</v>
      </c>
      <c r="H28" s="22">
        <f t="shared" si="1"/>
        <v>0</v>
      </c>
      <c r="I28" s="23">
        <f>IF(ISERROR(H28/D28),0,(H28/D28))</f>
        <v>0</v>
      </c>
      <c r="J28" s="23">
        <f t="shared" si="9"/>
        <v>9.1934378459996701E-3</v>
      </c>
      <c r="K28" s="108">
        <f t="shared" si="10"/>
        <v>9.1230240827631336E-3</v>
      </c>
    </row>
    <row r="29" spans="1:11" s="1" customFormat="1" x14ac:dyDescent="0.2">
      <c r="A29" s="110" t="s">
        <v>78</v>
      </c>
      <c r="B29" s="74"/>
      <c r="C29" s="35"/>
      <c r="D29" s="35">
        <f>SUM(D25,D26:D27)</f>
        <v>49.125599999999999</v>
      </c>
      <c r="E29" s="73"/>
      <c r="F29" s="35"/>
      <c r="G29" s="35">
        <f>SUM(G25,G26:G27)</f>
        <v>53.650599999999997</v>
      </c>
      <c r="H29" s="35">
        <f t="shared" si="1"/>
        <v>4.5249999999999986</v>
      </c>
      <c r="I29" s="36">
        <f>IF(ISERROR(H29/D29),0,(H29/D29))</f>
        <v>9.2110834269708633E-2</v>
      </c>
      <c r="J29" s="36">
        <f t="shared" si="9"/>
        <v>0.85153593490057389</v>
      </c>
      <c r="K29" s="111">
        <f t="shared" si="10"/>
        <v>0.84501390791655706</v>
      </c>
    </row>
    <row r="30" spans="1:11" s="1" customFormat="1" x14ac:dyDescent="0.2">
      <c r="A30" s="110" t="s">
        <v>77</v>
      </c>
      <c r="B30" s="74"/>
      <c r="C30" s="35"/>
      <c r="D30" s="35">
        <f>SUM(D25,D26,D28)</f>
        <v>49.169227999999997</v>
      </c>
      <c r="E30" s="73"/>
      <c r="F30" s="35"/>
      <c r="G30" s="35">
        <f>SUM(G25,G26,G28)</f>
        <v>53.694227999999995</v>
      </c>
      <c r="H30" s="35">
        <f t="shared" si="1"/>
        <v>4.5249999999999986</v>
      </c>
      <c r="I30" s="36">
        <f>IF(ISERROR(H30/D30),0,(H30/D30))</f>
        <v>9.2029104056707972E-2</v>
      </c>
      <c r="J30" s="36">
        <f t="shared" si="9"/>
        <v>0.85222839332168832</v>
      </c>
      <c r="K30" s="111">
        <f t="shared" si="10"/>
        <v>0.84570106270652368</v>
      </c>
    </row>
    <row r="31" spans="1:11" x14ac:dyDescent="0.2">
      <c r="A31" s="107" t="s">
        <v>40</v>
      </c>
      <c r="B31" s="73">
        <f>B8</f>
        <v>55.2</v>
      </c>
      <c r="C31" s="126">
        <f>VLOOKUP($B$3,'Data for Bill Impacts'!$A$3:$Y$15,15,0)</f>
        <v>5.6559999999999996E-3</v>
      </c>
      <c r="D31" s="22">
        <f>B31*C31</f>
        <v>0.31221119999999997</v>
      </c>
      <c r="E31" s="73">
        <f t="shared" si="6"/>
        <v>55.2</v>
      </c>
      <c r="F31" s="126">
        <f>VLOOKUP($B$3,'Data for Bill Impacts'!$A$3:$Y$15,24,0)</f>
        <v>5.6559999999999996E-3</v>
      </c>
      <c r="G31" s="22">
        <f>E31*F31</f>
        <v>0.31221119999999997</v>
      </c>
      <c r="H31" s="22">
        <f t="shared" si="1"/>
        <v>0</v>
      </c>
      <c r="I31" s="23">
        <f t="shared" si="2"/>
        <v>0</v>
      </c>
      <c r="J31" s="23">
        <f t="shared" si="9"/>
        <v>4.9553789906996385E-3</v>
      </c>
      <c r="K31" s="108">
        <f t="shared" si="10"/>
        <v>4.9174250839192435E-3</v>
      </c>
    </row>
    <row r="32" spans="1:11" x14ac:dyDescent="0.2">
      <c r="A32" s="107" t="s">
        <v>41</v>
      </c>
      <c r="B32" s="73">
        <f>B8</f>
        <v>55.2</v>
      </c>
      <c r="C32" s="126">
        <f>VLOOKUP($B$3,'Data for Bill Impacts'!$A$3:$Y$15,16,0)</f>
        <v>4.8209999999999998E-3</v>
      </c>
      <c r="D32" s="22">
        <f>B32*C32</f>
        <v>0.2661192</v>
      </c>
      <c r="E32" s="73">
        <f t="shared" si="6"/>
        <v>55.2</v>
      </c>
      <c r="F32" s="126">
        <f>VLOOKUP($B$3,'Data for Bill Impacts'!$A$3:$Y$15,25,0)</f>
        <v>4.8209999999999998E-3</v>
      </c>
      <c r="G32" s="22">
        <f>E32*F32</f>
        <v>0.2661192</v>
      </c>
      <c r="H32" s="22">
        <f t="shared" si="1"/>
        <v>0</v>
      </c>
      <c r="I32" s="23">
        <f t="shared" si="2"/>
        <v>0</v>
      </c>
      <c r="J32" s="23">
        <f t="shared" si="9"/>
        <v>4.2238122549793072E-3</v>
      </c>
      <c r="K32" s="108">
        <f t="shared" si="10"/>
        <v>4.1914615151298932E-3</v>
      </c>
    </row>
    <row r="33" spans="1:11" s="1" customFormat="1" x14ac:dyDescent="0.2">
      <c r="A33" s="110" t="s">
        <v>76</v>
      </c>
      <c r="B33" s="74"/>
      <c r="C33" s="35"/>
      <c r="D33" s="35">
        <f>SUM(D31:D32)</f>
        <v>0.57833040000000002</v>
      </c>
      <c r="E33" s="73"/>
      <c r="F33" s="35"/>
      <c r="G33" s="35">
        <f>SUM(G31:G32)</f>
        <v>0.57833040000000002</v>
      </c>
      <c r="H33" s="35">
        <f t="shared" si="1"/>
        <v>0</v>
      </c>
      <c r="I33" s="36">
        <f t="shared" si="2"/>
        <v>0</v>
      </c>
      <c r="J33" s="36">
        <f t="shared" si="9"/>
        <v>9.1791912456789474E-3</v>
      </c>
      <c r="K33" s="111">
        <f t="shared" si="10"/>
        <v>9.1088865990491385E-3</v>
      </c>
    </row>
    <row r="34" spans="1:11" s="1" customFormat="1" x14ac:dyDescent="0.2">
      <c r="A34" s="110" t="s">
        <v>91</v>
      </c>
      <c r="B34" s="74"/>
      <c r="C34" s="35"/>
      <c r="D34" s="35">
        <f>D29+D33</f>
        <v>49.703930399999997</v>
      </c>
      <c r="E34" s="73"/>
      <c r="F34" s="35"/>
      <c r="G34" s="35">
        <f>G29+G33</f>
        <v>54.228930399999996</v>
      </c>
      <c r="H34" s="35">
        <f t="shared" si="1"/>
        <v>4.5249999999999986</v>
      </c>
      <c r="I34" s="36">
        <f t="shared" si="2"/>
        <v>9.103907806856254E-2</v>
      </c>
      <c r="J34" s="36">
        <f t="shared" si="9"/>
        <v>0.86071512614625278</v>
      </c>
      <c r="K34" s="111">
        <f t="shared" si="10"/>
        <v>0.85412279451560624</v>
      </c>
    </row>
    <row r="35" spans="1:11" s="1" customFormat="1" x14ac:dyDescent="0.2">
      <c r="A35" s="110" t="s">
        <v>92</v>
      </c>
      <c r="B35" s="74"/>
      <c r="C35" s="35"/>
      <c r="D35" s="35">
        <f>D30+D33</f>
        <v>49.747558399999996</v>
      </c>
      <c r="E35" s="73"/>
      <c r="F35" s="35"/>
      <c r="G35" s="35">
        <f>G30+G33</f>
        <v>54.272558399999994</v>
      </c>
      <c r="H35" s="35">
        <f t="shared" si="1"/>
        <v>4.5249999999999986</v>
      </c>
      <c r="I35" s="36">
        <f t="shared" si="2"/>
        <v>9.0959237911060961E-2</v>
      </c>
      <c r="J35" s="36">
        <f t="shared" si="9"/>
        <v>0.86140758456736721</v>
      </c>
      <c r="K35" s="111">
        <f t="shared" si="10"/>
        <v>0.85480994930557275</v>
      </c>
    </row>
    <row r="36" spans="1:11" x14ac:dyDescent="0.2">
      <c r="A36" s="107" t="s">
        <v>42</v>
      </c>
      <c r="B36" s="73">
        <f>B8</f>
        <v>55.2</v>
      </c>
      <c r="C36" s="34">
        <v>3.5999999999999999E-3</v>
      </c>
      <c r="D36" s="22">
        <f>B36*C36</f>
        <v>0.19872000000000001</v>
      </c>
      <c r="E36" s="73">
        <f t="shared" si="6"/>
        <v>55.2</v>
      </c>
      <c r="F36" s="34">
        <v>3.5999999999999999E-3</v>
      </c>
      <c r="G36" s="22">
        <f>E36*F36</f>
        <v>0.19872000000000001</v>
      </c>
      <c r="H36" s="22">
        <f t="shared" si="1"/>
        <v>0</v>
      </c>
      <c r="I36" s="23">
        <f t="shared" si="2"/>
        <v>0</v>
      </c>
      <c r="J36" s="23">
        <f t="shared" si="9"/>
        <v>3.1540601779559232E-3</v>
      </c>
      <c r="K36" s="108">
        <f t="shared" si="10"/>
        <v>3.1299028115469021E-3</v>
      </c>
    </row>
    <row r="37" spans="1:11" x14ac:dyDescent="0.2">
      <c r="A37" s="107" t="s">
        <v>43</v>
      </c>
      <c r="B37" s="73">
        <f>B8</f>
        <v>55.2</v>
      </c>
      <c r="C37" s="34">
        <v>2.0999999999999999E-3</v>
      </c>
      <c r="D37" s="22">
        <f>B37*C37</f>
        <v>0.11592</v>
      </c>
      <c r="E37" s="73">
        <f t="shared" si="6"/>
        <v>55.2</v>
      </c>
      <c r="F37" s="34">
        <v>2.0999999999999999E-3</v>
      </c>
      <c r="G37" s="22">
        <f>E37*F37</f>
        <v>0.11592</v>
      </c>
      <c r="H37" s="22">
        <f>G37-D37</f>
        <v>0</v>
      </c>
      <c r="I37" s="23">
        <f t="shared" si="2"/>
        <v>0</v>
      </c>
      <c r="J37" s="23">
        <f t="shared" si="9"/>
        <v>1.8398684371409551E-3</v>
      </c>
      <c r="K37" s="108">
        <f t="shared" si="10"/>
        <v>1.8257766400690263E-3</v>
      </c>
    </row>
    <row r="38" spans="1:11" x14ac:dyDescent="0.2">
      <c r="A38" s="107" t="s">
        <v>96</v>
      </c>
      <c r="B38" s="73">
        <f>B8</f>
        <v>55.2</v>
      </c>
      <c r="C38" s="34">
        <v>1.1000000000000001E-3</v>
      </c>
      <c r="D38" s="22">
        <f>B38*C38</f>
        <v>6.072000000000001E-2</v>
      </c>
      <c r="E38" s="73">
        <f t="shared" si="6"/>
        <v>55.2</v>
      </c>
      <c r="F38" s="34">
        <v>1.1000000000000001E-3</v>
      </c>
      <c r="G38" s="22">
        <f>E38*F38</f>
        <v>6.072000000000001E-2</v>
      </c>
      <c r="H38" s="22">
        <f>G38-D38</f>
        <v>0</v>
      </c>
      <c r="I38" s="23">
        <f t="shared" ref="I38" si="11">IF(ISERROR(H38/D38),0,(H38/D38))</f>
        <v>0</v>
      </c>
      <c r="J38" s="23">
        <f t="shared" ref="J38" si="12">G38/$G$46</f>
        <v>9.6374060993097664E-4</v>
      </c>
      <c r="K38" s="108">
        <f t="shared" ref="K38" si="13">G38/$G$51</f>
        <v>9.5635919241710921E-4</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3.9679702319292513E-3</v>
      </c>
      <c r="K39" s="108">
        <f t="shared" si="10"/>
        <v>3.9375790201626685E-3</v>
      </c>
    </row>
    <row r="40" spans="1:11" s="1" customFormat="1" x14ac:dyDescent="0.2">
      <c r="A40" s="110" t="s">
        <v>45</v>
      </c>
      <c r="B40" s="74"/>
      <c r="C40" s="35"/>
      <c r="D40" s="35">
        <f>SUM(D36:D39)</f>
        <v>0.62536000000000003</v>
      </c>
      <c r="E40" s="73"/>
      <c r="F40" s="35"/>
      <c r="G40" s="35">
        <f>SUM(G36:G39)</f>
        <v>0.62536000000000003</v>
      </c>
      <c r="H40" s="35">
        <f t="shared" si="1"/>
        <v>0</v>
      </c>
      <c r="I40" s="36">
        <f t="shared" si="2"/>
        <v>0</v>
      </c>
      <c r="J40" s="36">
        <f t="shared" si="9"/>
        <v>9.9256394569571058E-3</v>
      </c>
      <c r="K40" s="111">
        <f t="shared" si="10"/>
        <v>9.8496176641957069E-3</v>
      </c>
    </row>
    <row r="41" spans="1:11" s="1" customFormat="1" ht="13.5" thickBot="1" x14ac:dyDescent="0.25">
      <c r="A41" s="112" t="s">
        <v>46</v>
      </c>
      <c r="B41" s="113">
        <f>B4</f>
        <v>50</v>
      </c>
      <c r="C41" s="114">
        <v>0</v>
      </c>
      <c r="D41" s="115">
        <f>B41*C41</f>
        <v>0</v>
      </c>
      <c r="E41" s="116">
        <f t="shared" si="6"/>
        <v>50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55.479290399999996</v>
      </c>
      <c r="E42" s="38"/>
      <c r="F42" s="39"/>
      <c r="G42" s="39">
        <f>SUM(G14,G25,G26,G27,G33,G40,G41)</f>
        <v>60.004290399999995</v>
      </c>
      <c r="H42" s="39">
        <f t="shared" si="1"/>
        <v>4.5249999999999986</v>
      </c>
      <c r="I42" s="40">
        <f>IF(ISERROR(H42/D42),0,(H42/D42))</f>
        <v>8.1561966048505893E-2</v>
      </c>
      <c r="J42" s="40">
        <f t="shared" si="9"/>
        <v>0.95238095238095244</v>
      </c>
      <c r="K42" s="41"/>
    </row>
    <row r="43" spans="1:11" x14ac:dyDescent="0.2">
      <c r="A43" s="154" t="s">
        <v>102</v>
      </c>
      <c r="B43" s="43"/>
      <c r="C43" s="26">
        <v>0.13</v>
      </c>
      <c r="D43" s="26">
        <f>D42*C43</f>
        <v>7.2123077520000001</v>
      </c>
      <c r="E43" s="26"/>
      <c r="F43" s="26">
        <f>C43</f>
        <v>0.13</v>
      </c>
      <c r="G43" s="26">
        <f>G42*F43</f>
        <v>7.8005577519999996</v>
      </c>
      <c r="H43" s="26">
        <f t="shared" si="1"/>
        <v>0.5882499999999995</v>
      </c>
      <c r="I43" s="44">
        <f t="shared" si="2"/>
        <v>8.1561966048505838E-2</v>
      </c>
      <c r="J43" s="44">
        <f t="shared" si="9"/>
        <v>0.12380952380952383</v>
      </c>
      <c r="K43" s="45"/>
    </row>
    <row r="44" spans="1:11" s="1" customFormat="1" x14ac:dyDescent="0.2">
      <c r="A44" s="46" t="s">
        <v>103</v>
      </c>
      <c r="B44" s="24"/>
      <c r="C44" s="25"/>
      <c r="D44" s="25">
        <f>SUM(D42:D43)</f>
        <v>62.691598151999997</v>
      </c>
      <c r="E44" s="25"/>
      <c r="F44" s="25"/>
      <c r="G44" s="25">
        <f>SUM(G42:G43)</f>
        <v>67.804848151999991</v>
      </c>
      <c r="H44" s="25">
        <f t="shared" si="1"/>
        <v>5.1132499999999936</v>
      </c>
      <c r="I44" s="27">
        <f t="shared" si="2"/>
        <v>8.156196604850581E-2</v>
      </c>
      <c r="J44" s="27">
        <f t="shared" si="9"/>
        <v>1.0761904761904761</v>
      </c>
      <c r="K44" s="47"/>
    </row>
    <row r="45" spans="1:11" x14ac:dyDescent="0.2">
      <c r="A45" s="42" t="s">
        <v>104</v>
      </c>
      <c r="B45" s="43"/>
      <c r="C45" s="26">
        <v>-0.08</v>
      </c>
      <c r="D45" s="26">
        <f>D42*C45</f>
        <v>-4.4383432320000002</v>
      </c>
      <c r="E45" s="26"/>
      <c r="F45" s="26">
        <f>C45</f>
        <v>-0.08</v>
      </c>
      <c r="G45" s="26">
        <f>G42*F45</f>
        <v>-4.8003432319999995</v>
      </c>
      <c r="H45" s="26">
        <f t="shared" si="1"/>
        <v>-0.36199999999999921</v>
      </c>
      <c r="I45" s="44">
        <f t="shared" si="2"/>
        <v>8.1561966048505727E-2</v>
      </c>
      <c r="J45" s="44">
        <f t="shared" si="9"/>
        <v>-7.6190476190476197E-2</v>
      </c>
      <c r="K45" s="45"/>
    </row>
    <row r="46" spans="1:11" s="1" customFormat="1" ht="13.5" thickBot="1" x14ac:dyDescent="0.25">
      <c r="A46" s="48" t="s">
        <v>105</v>
      </c>
      <c r="B46" s="49"/>
      <c r="C46" s="50"/>
      <c r="D46" s="50">
        <f>SUM(D44:D45)</f>
        <v>58.253254919999996</v>
      </c>
      <c r="E46" s="50"/>
      <c r="F46" s="50"/>
      <c r="G46" s="50">
        <f>SUM(G44:G45)</f>
        <v>63.004504919999988</v>
      </c>
      <c r="H46" s="50">
        <f t="shared" si="1"/>
        <v>4.7512499999999918</v>
      </c>
      <c r="I46" s="51">
        <f t="shared" si="2"/>
        <v>8.1561966048505782E-2</v>
      </c>
      <c r="J46" s="51">
        <f t="shared" si="9"/>
        <v>1</v>
      </c>
      <c r="K46" s="52"/>
    </row>
    <row r="47" spans="1:11" x14ac:dyDescent="0.2">
      <c r="A47" s="53" t="s">
        <v>106</v>
      </c>
      <c r="B47" s="54"/>
      <c r="C47" s="55"/>
      <c r="D47" s="55">
        <f>SUM(D18,D25,D26,D28,D33,D40,D41)</f>
        <v>55.942418399999994</v>
      </c>
      <c r="E47" s="55"/>
      <c r="F47" s="55"/>
      <c r="G47" s="55">
        <f>SUM(G18,G25,G26,G28,G33,G40,G41)</f>
        <v>60.467418399999993</v>
      </c>
      <c r="H47" s="55">
        <f>G47-D47</f>
        <v>4.5249999999999986</v>
      </c>
      <c r="I47" s="56">
        <f>IF(ISERROR(H47/D47),0,(H47/D47))</f>
        <v>8.0886742643932585E-2</v>
      </c>
      <c r="J47" s="56"/>
      <c r="K47" s="57">
        <f>G47/$G$51</f>
        <v>0.95238095238095244</v>
      </c>
    </row>
    <row r="48" spans="1:11" x14ac:dyDescent="0.2">
      <c r="A48" s="155" t="s">
        <v>102</v>
      </c>
      <c r="B48" s="59"/>
      <c r="C48" s="31">
        <v>0.13</v>
      </c>
      <c r="D48" s="31">
        <f>D47*C48</f>
        <v>7.2725143919999997</v>
      </c>
      <c r="E48" s="31"/>
      <c r="F48" s="31">
        <f>C48</f>
        <v>0.13</v>
      </c>
      <c r="G48" s="31">
        <f>G47*F48</f>
        <v>7.8607643919999992</v>
      </c>
      <c r="H48" s="31">
        <f>G48-D48</f>
        <v>0.5882499999999995</v>
      </c>
      <c r="I48" s="32">
        <f>IF(ISERROR(H48/D48),0,(H48/D48))</f>
        <v>8.0886742643932544E-2</v>
      </c>
      <c r="J48" s="32"/>
      <c r="K48" s="60">
        <f>G48/$G$51</f>
        <v>0.12380952380952381</v>
      </c>
    </row>
    <row r="49" spans="1:11" x14ac:dyDescent="0.2">
      <c r="A49" s="61" t="s">
        <v>107</v>
      </c>
      <c r="B49" s="29"/>
      <c r="C49" s="30"/>
      <c r="D49" s="30">
        <f>SUM(D47:D48)</f>
        <v>63.214932791999992</v>
      </c>
      <c r="E49" s="30"/>
      <c r="F49" s="30"/>
      <c r="G49" s="30">
        <f>SUM(G47:G48)</f>
        <v>68.328182791999993</v>
      </c>
      <c r="H49" s="30">
        <f>G49-D49</f>
        <v>5.1132500000000007</v>
      </c>
      <c r="I49" s="33">
        <f>IF(ISERROR(H49/D49),0,(H49/D49))</f>
        <v>8.0886742643932627E-2</v>
      </c>
      <c r="J49" s="33"/>
      <c r="K49" s="62">
        <f>G49/$G$51</f>
        <v>1.0761904761904761</v>
      </c>
    </row>
    <row r="50" spans="1:11" x14ac:dyDescent="0.2">
      <c r="A50" s="58" t="s">
        <v>104</v>
      </c>
      <c r="B50" s="59"/>
      <c r="C50" s="31">
        <v>-0.08</v>
      </c>
      <c r="D50" s="31">
        <f>D47*C50</f>
        <v>-4.4753934719999995</v>
      </c>
      <c r="E50" s="31"/>
      <c r="F50" s="31">
        <f>C50</f>
        <v>-0.08</v>
      </c>
      <c r="G50" s="31">
        <f>G47*F50</f>
        <v>-4.8373934719999996</v>
      </c>
      <c r="H50" s="31">
        <f>G50-D50</f>
        <v>-0.3620000000000001</v>
      </c>
      <c r="I50" s="32">
        <f>IF(ISERROR(H50/D50),0,(H50/D50))</f>
        <v>8.0886742643932641E-2</v>
      </c>
      <c r="J50" s="32"/>
      <c r="K50" s="60">
        <f>G50/$G$51</f>
        <v>-7.6190476190476197E-2</v>
      </c>
    </row>
    <row r="51" spans="1:11" ht="13.5" thickBot="1" x14ac:dyDescent="0.25">
      <c r="A51" s="63" t="s">
        <v>116</v>
      </c>
      <c r="B51" s="64"/>
      <c r="C51" s="65"/>
      <c r="D51" s="65">
        <f>SUM(D49:D50)</f>
        <v>58.739539319999992</v>
      </c>
      <c r="E51" s="65"/>
      <c r="F51" s="65"/>
      <c r="G51" s="65">
        <f>SUM(G49:G50)</f>
        <v>63.49078931999999</v>
      </c>
      <c r="H51" s="65">
        <f>G51-D51</f>
        <v>4.7512499999999989</v>
      </c>
      <c r="I51" s="66">
        <f>IF(ISERROR(H51/D51),0,(H51/D51))</f>
        <v>8.0886742643932599E-2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1" tint="0.499984740745262"/>
    <pageSetUpPr fitToPage="1"/>
  </sheetPr>
  <dimension ref="A1:K68"/>
  <sheetViews>
    <sheetView tabSelected="1" view="pageBreakPreview" topLeftCell="A13" zoomScaleNormal="100" zoomScaleSheetLayoutView="100" workbookViewId="0">
      <selection activeCell="C3" sqref="C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118</v>
      </c>
      <c r="B1" s="188"/>
      <c r="C1" s="188"/>
      <c r="D1" s="188"/>
      <c r="E1" s="188"/>
      <c r="F1" s="188"/>
      <c r="G1" s="188"/>
      <c r="H1" s="188"/>
      <c r="I1" s="188"/>
      <c r="J1" s="188"/>
      <c r="K1" s="189"/>
    </row>
    <row r="3" spans="1:11" x14ac:dyDescent="0.2">
      <c r="A3" s="13" t="s">
        <v>13</v>
      </c>
      <c r="B3" s="13" t="s">
        <v>3</v>
      </c>
    </row>
    <row r="4" spans="1:11" x14ac:dyDescent="0.2">
      <c r="A4" s="15" t="s">
        <v>62</v>
      </c>
      <c r="B4" s="15">
        <v>350</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5">
        <f>B4*B6</f>
        <v>386.40000000000003</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350</v>
      </c>
      <c r="C12" s="103">
        <v>0.10299999999999999</v>
      </c>
      <c r="D12" s="104">
        <f>B12*C12</f>
        <v>36.049999999999997</v>
      </c>
      <c r="E12" s="102">
        <f>B12</f>
        <v>350</v>
      </c>
      <c r="F12" s="103">
        <f>C12</f>
        <v>0.10299999999999999</v>
      </c>
      <c r="G12" s="104">
        <f>E12*F12</f>
        <v>36.049999999999997</v>
      </c>
      <c r="H12" s="104">
        <f>G12-D12</f>
        <v>0</v>
      </c>
      <c r="I12" s="105">
        <f>IF(ISERROR(H12/D12),0,(H12/D12))</f>
        <v>0</v>
      </c>
      <c r="J12" s="105">
        <f>G12/$G$46</f>
        <v>0.30364662044507101</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36.049999999999997</v>
      </c>
      <c r="E14" s="76"/>
      <c r="F14" s="25"/>
      <c r="G14" s="25">
        <f>SUM(G12:G13)</f>
        <v>36.049999999999997</v>
      </c>
      <c r="H14" s="25">
        <f t="shared" si="1"/>
        <v>0</v>
      </c>
      <c r="I14" s="27">
        <f t="shared" si="2"/>
        <v>0</v>
      </c>
      <c r="J14" s="27">
        <f>G14/$G$46</f>
        <v>0.30364662044507101</v>
      </c>
      <c r="K14" s="108"/>
    </row>
    <row r="15" spans="1:11" s="1" customFormat="1" x14ac:dyDescent="0.2">
      <c r="A15" s="109" t="s">
        <v>34</v>
      </c>
      <c r="B15" s="75">
        <f>B4*0.65</f>
        <v>227.5</v>
      </c>
      <c r="C15" s="28">
        <v>8.6999999999999994E-2</v>
      </c>
      <c r="D15" s="22">
        <f>B15*C15</f>
        <v>19.792499999999997</v>
      </c>
      <c r="E15" s="73">
        <f t="shared" ref="E15:F17" si="3">B15</f>
        <v>227.5</v>
      </c>
      <c r="F15" s="28">
        <f t="shared" si="3"/>
        <v>8.6999999999999994E-2</v>
      </c>
      <c r="G15" s="22">
        <f>E15*F15</f>
        <v>19.792499999999997</v>
      </c>
      <c r="H15" s="22">
        <f t="shared" si="1"/>
        <v>0</v>
      </c>
      <c r="I15" s="23">
        <f t="shared" si="2"/>
        <v>0</v>
      </c>
      <c r="J15" s="23"/>
      <c r="K15" s="108">
        <f t="shared" ref="K15:K26" si="4">G15/$G$51</f>
        <v>0.1620642026529612</v>
      </c>
    </row>
    <row r="16" spans="1:11" s="1" customFormat="1" x14ac:dyDescent="0.2">
      <c r="A16" s="109" t="s">
        <v>35</v>
      </c>
      <c r="B16" s="75">
        <f>B4*0.17</f>
        <v>59.500000000000007</v>
      </c>
      <c r="C16" s="28">
        <v>0.13200000000000001</v>
      </c>
      <c r="D16" s="22">
        <f>B16*C16</f>
        <v>7.854000000000001</v>
      </c>
      <c r="E16" s="73">
        <f t="shared" si="3"/>
        <v>59.500000000000007</v>
      </c>
      <c r="F16" s="28">
        <f t="shared" si="3"/>
        <v>0.13200000000000001</v>
      </c>
      <c r="G16" s="22">
        <f>E16*F16</f>
        <v>7.854000000000001</v>
      </c>
      <c r="H16" s="22">
        <f t="shared" si="1"/>
        <v>0</v>
      </c>
      <c r="I16" s="23">
        <f t="shared" si="2"/>
        <v>0</v>
      </c>
      <c r="J16" s="23"/>
      <c r="K16" s="108">
        <f t="shared" si="4"/>
        <v>6.4309826835233438E-2</v>
      </c>
    </row>
    <row r="17" spans="1:11" s="1" customFormat="1" x14ac:dyDescent="0.2">
      <c r="A17" s="109" t="s">
        <v>36</v>
      </c>
      <c r="B17" s="75">
        <f>B4*0.18</f>
        <v>63</v>
      </c>
      <c r="C17" s="28">
        <v>0.18</v>
      </c>
      <c r="D17" s="22">
        <f>B17*C17</f>
        <v>11.34</v>
      </c>
      <c r="E17" s="73">
        <f t="shared" si="3"/>
        <v>63</v>
      </c>
      <c r="F17" s="28">
        <f t="shared" si="3"/>
        <v>0.18</v>
      </c>
      <c r="G17" s="22">
        <f>E17*F17</f>
        <v>11.34</v>
      </c>
      <c r="H17" s="22">
        <f t="shared" si="1"/>
        <v>0</v>
      </c>
      <c r="I17" s="23">
        <f t="shared" si="2"/>
        <v>0</v>
      </c>
      <c r="J17" s="23"/>
      <c r="K17" s="108">
        <f t="shared" si="4"/>
        <v>9.2853760671192637E-2</v>
      </c>
    </row>
    <row r="18" spans="1:11" s="1" customFormat="1" x14ac:dyDescent="0.2">
      <c r="A18" s="61" t="s">
        <v>37</v>
      </c>
      <c r="B18" s="29"/>
      <c r="C18" s="30"/>
      <c r="D18" s="30">
        <f>SUM(D15:D17)</f>
        <v>38.986499999999992</v>
      </c>
      <c r="E18" s="77"/>
      <c r="F18" s="30"/>
      <c r="G18" s="30">
        <f>SUM(G15:G17)</f>
        <v>38.986499999999992</v>
      </c>
      <c r="H18" s="31">
        <f t="shared" si="1"/>
        <v>0</v>
      </c>
      <c r="I18" s="32">
        <f t="shared" si="2"/>
        <v>0</v>
      </c>
      <c r="J18" s="33">
        <f t="shared" ref="J18:J26" si="5">G18/$G$46</f>
        <v>0.32838055389685877</v>
      </c>
      <c r="K18" s="62">
        <f t="shared" si="4"/>
        <v>0.31922779015938724</v>
      </c>
    </row>
    <row r="19" spans="1:11" x14ac:dyDescent="0.2">
      <c r="A19" s="107" t="s">
        <v>38</v>
      </c>
      <c r="B19" s="73">
        <v>1</v>
      </c>
      <c r="C19" s="78">
        <f>VLOOKUP($B$3,'Data for Bill Impacts'!$A$3:$Y$15,7,0)</f>
        <v>45.14</v>
      </c>
      <c r="D19" s="22">
        <f>B19*C19</f>
        <v>45.14</v>
      </c>
      <c r="E19" s="73">
        <f t="shared" ref="E19:E41" si="6">B19</f>
        <v>1</v>
      </c>
      <c r="F19" s="78">
        <f>VLOOKUP($B$3,'Data for Bill Impacts'!$A$3:$Y$15,17,0)</f>
        <v>50.12</v>
      </c>
      <c r="G19" s="22">
        <f>E19*F19</f>
        <v>50.12</v>
      </c>
      <c r="H19" s="22">
        <f t="shared" si="1"/>
        <v>4.9799999999999969</v>
      </c>
      <c r="I19" s="23">
        <f t="shared" si="2"/>
        <v>0.11032343819229058</v>
      </c>
      <c r="J19" s="23">
        <f t="shared" si="5"/>
        <v>0.42215724318188513</v>
      </c>
      <c r="K19" s="108">
        <f t="shared" si="4"/>
        <v>0.41039069531218475</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350</v>
      </c>
      <c r="C23" s="78">
        <f>VLOOKUP($B$3,'Data for Bill Impacts'!$A$3:$Y$15,10,0)</f>
        <v>5.2999999999999999E-2</v>
      </c>
      <c r="D23" s="22">
        <f>B23*C23</f>
        <v>18.55</v>
      </c>
      <c r="E23" s="73">
        <f t="shared" si="6"/>
        <v>350</v>
      </c>
      <c r="F23" s="78">
        <f>VLOOKUP($B$3,'Data for Bill Impacts'!$A$3:$Y$15,19,0)</f>
        <v>4.3900000000000002E-2</v>
      </c>
      <c r="G23" s="22">
        <f>E23*F23</f>
        <v>15.365</v>
      </c>
      <c r="H23" s="22">
        <f t="shared" si="1"/>
        <v>-3.1850000000000005</v>
      </c>
      <c r="I23" s="23">
        <f t="shared" si="2"/>
        <v>-0.17169811320754719</v>
      </c>
      <c r="J23" s="23">
        <f t="shared" si="5"/>
        <v>0.12941831686930697</v>
      </c>
      <c r="K23" s="108">
        <f t="shared" si="4"/>
        <v>0.12581111399584435</v>
      </c>
    </row>
    <row r="24" spans="1:11" x14ac:dyDescent="0.2">
      <c r="A24" s="107" t="s">
        <v>121</v>
      </c>
      <c r="B24" s="73">
        <f>IF($B$9="kWh",$B$4,$B$5)</f>
        <v>350</v>
      </c>
      <c r="C24" s="126">
        <f>VLOOKUP($B$3,'Data for Bill Impacts'!$A$3:$Y$15,14,0)</f>
        <v>2.0000000000000001E-4</v>
      </c>
      <c r="D24" s="22">
        <f>B24*C24</f>
        <v>7.0000000000000007E-2</v>
      </c>
      <c r="E24" s="73">
        <f>B24</f>
        <v>350</v>
      </c>
      <c r="F24" s="126">
        <f>VLOOKUP($B$3,'Data for Bill Impacts'!$A$3:$Y$15,23,0)</f>
        <v>2.0000000000000001E-4</v>
      </c>
      <c r="G24" s="22">
        <f>E24*F24</f>
        <v>7.0000000000000007E-2</v>
      </c>
      <c r="H24" s="22">
        <f>G24-D24</f>
        <v>0</v>
      </c>
      <c r="I24" s="23">
        <f>IF(ISERROR(H24/D24),0,(H24/D24))</f>
        <v>0</v>
      </c>
      <c r="J24" s="23">
        <f t="shared" si="5"/>
        <v>5.8960508824285637E-4</v>
      </c>
      <c r="K24" s="108">
        <f t="shared" si="4"/>
        <v>5.7317136216785585E-4</v>
      </c>
    </row>
    <row r="25" spans="1:11" s="1" customFormat="1" x14ac:dyDescent="0.2">
      <c r="A25" s="110" t="s">
        <v>72</v>
      </c>
      <c r="B25" s="74"/>
      <c r="C25" s="35"/>
      <c r="D25" s="35">
        <f>SUM(D19:D24)</f>
        <v>63.76</v>
      </c>
      <c r="E25" s="73"/>
      <c r="F25" s="35"/>
      <c r="G25" s="35">
        <f>SUM(G19:G24)</f>
        <v>65.554999999999993</v>
      </c>
      <c r="H25" s="35">
        <f t="shared" si="1"/>
        <v>1.7949999999999946</v>
      </c>
      <c r="I25" s="36">
        <f t="shared" si="2"/>
        <v>2.8152446675031285E-2</v>
      </c>
      <c r="J25" s="36">
        <f t="shared" si="5"/>
        <v>0.55216516513943492</v>
      </c>
      <c r="K25" s="111">
        <f t="shared" si="4"/>
        <v>0.53677498067019691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6.6541145673122363E-3</v>
      </c>
      <c r="K26" s="108">
        <f t="shared" si="4"/>
        <v>6.4686482301800872E-3</v>
      </c>
    </row>
    <row r="27" spans="1:11" s="1" customFormat="1" x14ac:dyDescent="0.2">
      <c r="A27" s="119" t="s">
        <v>75</v>
      </c>
      <c r="B27" s="120">
        <f>B8-B4</f>
        <v>36.400000000000034</v>
      </c>
      <c r="C27" s="121">
        <f>IF(B4&gt;B7,C13,C12)</f>
        <v>0.10299999999999999</v>
      </c>
      <c r="D27" s="22">
        <f>B27*C27</f>
        <v>3.7492000000000032</v>
      </c>
      <c r="E27" s="73">
        <f>B27</f>
        <v>36.400000000000034</v>
      </c>
      <c r="F27" s="121">
        <f>C27</f>
        <v>0.10299999999999999</v>
      </c>
      <c r="G27" s="22">
        <f>E27*F27</f>
        <v>3.7492000000000032</v>
      </c>
      <c r="H27" s="22">
        <f t="shared" si="1"/>
        <v>0</v>
      </c>
      <c r="I27" s="23">
        <f>IF(ISERROR(H27/D27),0,(H27/D27))</f>
        <v>0</v>
      </c>
      <c r="J27" s="23">
        <f t="shared" ref="J27:J46" si="9">G27/$G$46</f>
        <v>3.1579248526287414E-2</v>
      </c>
      <c r="K27" s="108">
        <f t="shared" ref="K27:K41" si="10">G27/$G$51</f>
        <v>3.0699058157710384E-2</v>
      </c>
    </row>
    <row r="28" spans="1:11" s="1" customFormat="1" x14ac:dyDescent="0.2">
      <c r="A28" s="119" t="s">
        <v>74</v>
      </c>
      <c r="B28" s="120">
        <f>B8-B4</f>
        <v>36.400000000000034</v>
      </c>
      <c r="C28" s="121">
        <f>0.65*C15+0.17*C16+0.18*C17</f>
        <v>0.11139</v>
      </c>
      <c r="D28" s="22">
        <f>B28*C28</f>
        <v>4.0545960000000036</v>
      </c>
      <c r="E28" s="73">
        <f>B28</f>
        <v>36.400000000000034</v>
      </c>
      <c r="F28" s="121">
        <f>C28</f>
        <v>0.11139</v>
      </c>
      <c r="G28" s="22">
        <f>E28*F28</f>
        <v>4.0545960000000036</v>
      </c>
      <c r="H28" s="22">
        <f t="shared" si="1"/>
        <v>0</v>
      </c>
      <c r="I28" s="23">
        <f>IF(ISERROR(H28/D28),0,(H28/D28))</f>
        <v>0</v>
      </c>
      <c r="J28" s="23">
        <f t="shared" si="9"/>
        <v>3.4151577605273348E-2</v>
      </c>
      <c r="K28" s="108">
        <f t="shared" si="10"/>
        <v>3.3199690176576306E-2</v>
      </c>
    </row>
    <row r="29" spans="1:11" s="1" customFormat="1" x14ac:dyDescent="0.2">
      <c r="A29" s="110" t="s">
        <v>78</v>
      </c>
      <c r="B29" s="74"/>
      <c r="C29" s="35"/>
      <c r="D29" s="35">
        <f>SUM(D25,D26:D27)</f>
        <v>68.299199999999999</v>
      </c>
      <c r="E29" s="73"/>
      <c r="F29" s="35"/>
      <c r="G29" s="35">
        <f>SUM(G25,G26:G27)</f>
        <v>70.094200000000001</v>
      </c>
      <c r="H29" s="35">
        <f t="shared" si="1"/>
        <v>1.7950000000000017</v>
      </c>
      <c r="I29" s="36">
        <f>IF(ISERROR(H29/D29),0,(H29/D29))</f>
        <v>2.62814205730082E-2</v>
      </c>
      <c r="J29" s="36">
        <f t="shared" si="9"/>
        <v>0.59039852823303463</v>
      </c>
      <c r="K29" s="111">
        <f t="shared" si="10"/>
        <v>0.57394268705808749</v>
      </c>
    </row>
    <row r="30" spans="1:11" s="1" customFormat="1" x14ac:dyDescent="0.2">
      <c r="A30" s="110" t="s">
        <v>77</v>
      </c>
      <c r="B30" s="74"/>
      <c r="C30" s="35"/>
      <c r="D30" s="35">
        <f>SUM(D25,D26,D28)</f>
        <v>68.604596000000001</v>
      </c>
      <c r="E30" s="73"/>
      <c r="F30" s="35"/>
      <c r="G30" s="35">
        <f>SUM(G25,G26,G28)</f>
        <v>70.399596000000003</v>
      </c>
      <c r="H30" s="35">
        <f t="shared" si="1"/>
        <v>1.7950000000000017</v>
      </c>
      <c r="I30" s="36">
        <f>IF(ISERROR(H30/D30),0,(H30/D30))</f>
        <v>2.6164427817634867E-2</v>
      </c>
      <c r="J30" s="36">
        <f t="shared" si="9"/>
        <v>0.59297085731202059</v>
      </c>
      <c r="K30" s="111">
        <f t="shared" si="10"/>
        <v>0.57644331907695334</v>
      </c>
    </row>
    <row r="31" spans="1:11" x14ac:dyDescent="0.2">
      <c r="A31" s="107" t="s">
        <v>40</v>
      </c>
      <c r="B31" s="73">
        <f>B8</f>
        <v>386.40000000000003</v>
      </c>
      <c r="C31" s="126">
        <f>VLOOKUP($B$3,'Data for Bill Impacts'!$A$3:$Y$15,15,0)</f>
        <v>5.6559999999999996E-3</v>
      </c>
      <c r="D31" s="22">
        <f>B31*C31</f>
        <v>2.1854784</v>
      </c>
      <c r="E31" s="73">
        <f t="shared" si="6"/>
        <v>386.40000000000003</v>
      </c>
      <c r="F31" s="126">
        <f>VLOOKUP($B$3,'Data for Bill Impacts'!$A$3:$Y$15,24,0)</f>
        <v>5.6559999999999996E-3</v>
      </c>
      <c r="G31" s="22">
        <f>E31*F31</f>
        <v>2.1854784</v>
      </c>
      <c r="H31" s="22">
        <f t="shared" si="1"/>
        <v>0</v>
      </c>
      <c r="I31" s="23">
        <f t="shared" si="2"/>
        <v>0</v>
      </c>
      <c r="J31" s="23">
        <f t="shared" si="9"/>
        <v>1.8408131212640809E-2</v>
      </c>
      <c r="K31" s="108">
        <f t="shared" si="10"/>
        <v>1.7895051878806086E-2</v>
      </c>
    </row>
    <row r="32" spans="1:11" x14ac:dyDescent="0.2">
      <c r="A32" s="107" t="s">
        <v>41</v>
      </c>
      <c r="B32" s="73">
        <f>B8</f>
        <v>386.40000000000003</v>
      </c>
      <c r="C32" s="126">
        <f>VLOOKUP($B$3,'Data for Bill Impacts'!$A$3:$Y$15,16,0)</f>
        <v>4.8209999999999998E-3</v>
      </c>
      <c r="D32" s="22">
        <f>B32*C32</f>
        <v>1.8628344000000001</v>
      </c>
      <c r="E32" s="73">
        <f t="shared" si="6"/>
        <v>386.40000000000003</v>
      </c>
      <c r="F32" s="126">
        <f>VLOOKUP($B$3,'Data for Bill Impacts'!$A$3:$Y$15,25,0)</f>
        <v>4.8209999999999998E-3</v>
      </c>
      <c r="G32" s="22">
        <f>E32*F32</f>
        <v>1.8628344000000001</v>
      </c>
      <c r="H32" s="22">
        <f t="shared" si="1"/>
        <v>0</v>
      </c>
      <c r="I32" s="23">
        <f t="shared" si="2"/>
        <v>0</v>
      </c>
      <c r="J32" s="23">
        <f t="shared" si="9"/>
        <v>1.5690523439911834E-2</v>
      </c>
      <c r="K32" s="108">
        <f t="shared" si="10"/>
        <v>1.5253190436302006E-2</v>
      </c>
    </row>
    <row r="33" spans="1:11" s="1" customFormat="1" x14ac:dyDescent="0.2">
      <c r="A33" s="110" t="s">
        <v>76</v>
      </c>
      <c r="B33" s="74"/>
      <c r="C33" s="35"/>
      <c r="D33" s="35">
        <f>SUM(D31:D32)</f>
        <v>4.0483127999999997</v>
      </c>
      <c r="E33" s="73"/>
      <c r="F33" s="35"/>
      <c r="G33" s="35">
        <f>SUM(G31:G32)</f>
        <v>4.0483127999999997</v>
      </c>
      <c r="H33" s="35">
        <f t="shared" si="1"/>
        <v>0</v>
      </c>
      <c r="I33" s="36">
        <f t="shared" si="2"/>
        <v>0</v>
      </c>
      <c r="J33" s="36">
        <f t="shared" si="9"/>
        <v>3.4098654652552636E-2</v>
      </c>
      <c r="K33" s="111">
        <f t="shared" si="10"/>
        <v>3.3148242315108094E-2</v>
      </c>
    </row>
    <row r="34" spans="1:11" s="1" customFormat="1" x14ac:dyDescent="0.2">
      <c r="A34" s="110" t="s">
        <v>91</v>
      </c>
      <c r="B34" s="74"/>
      <c r="C34" s="35"/>
      <c r="D34" s="35">
        <f>D29+D33</f>
        <v>72.347512800000004</v>
      </c>
      <c r="E34" s="73"/>
      <c r="F34" s="35"/>
      <c r="G34" s="35">
        <f>G29+G33</f>
        <v>74.142512800000006</v>
      </c>
      <c r="H34" s="35">
        <f t="shared" si="1"/>
        <v>1.7950000000000017</v>
      </c>
      <c r="I34" s="36">
        <f t="shared" si="2"/>
        <v>2.4810804553325315E-2</v>
      </c>
      <c r="J34" s="36">
        <f t="shared" si="9"/>
        <v>0.62449718288558731</v>
      </c>
      <c r="K34" s="111">
        <f t="shared" si="10"/>
        <v>0.60709092937319553</v>
      </c>
    </row>
    <row r="35" spans="1:11" s="1" customFormat="1" x14ac:dyDescent="0.2">
      <c r="A35" s="110" t="s">
        <v>92</v>
      </c>
      <c r="B35" s="74"/>
      <c r="C35" s="35"/>
      <c r="D35" s="35">
        <f>D30+D33</f>
        <v>72.652908800000006</v>
      </c>
      <c r="E35" s="73"/>
      <c r="F35" s="35"/>
      <c r="G35" s="35">
        <f>G30+G33</f>
        <v>74.447908800000008</v>
      </c>
      <c r="H35" s="35">
        <f t="shared" si="1"/>
        <v>1.7950000000000017</v>
      </c>
      <c r="I35" s="36">
        <f t="shared" si="2"/>
        <v>2.4706512507865364E-2</v>
      </c>
      <c r="J35" s="36">
        <f t="shared" si="9"/>
        <v>0.62706951196457328</v>
      </c>
      <c r="K35" s="111">
        <f t="shared" si="10"/>
        <v>0.6095915613920615</v>
      </c>
    </row>
    <row r="36" spans="1:11" x14ac:dyDescent="0.2">
      <c r="A36" s="107" t="s">
        <v>42</v>
      </c>
      <c r="B36" s="73">
        <f>B8</f>
        <v>386.40000000000003</v>
      </c>
      <c r="C36" s="34">
        <v>3.5999999999999999E-3</v>
      </c>
      <c r="D36" s="22">
        <f>B36*C36</f>
        <v>1.3910400000000001</v>
      </c>
      <c r="E36" s="73">
        <f t="shared" si="6"/>
        <v>386.40000000000003</v>
      </c>
      <c r="F36" s="34">
        <v>3.5999999999999999E-3</v>
      </c>
      <c r="G36" s="22">
        <f>E36*F36</f>
        <v>1.3910400000000001</v>
      </c>
      <c r="H36" s="22">
        <f t="shared" si="1"/>
        <v>0</v>
      </c>
      <c r="I36" s="23">
        <f t="shared" si="2"/>
        <v>0</v>
      </c>
      <c r="J36" s="23">
        <f t="shared" si="9"/>
        <v>1.1716632313562042E-2</v>
      </c>
      <c r="K36" s="108">
        <f t="shared" si="10"/>
        <v>1.1390061308999631E-2</v>
      </c>
    </row>
    <row r="37" spans="1:11" x14ac:dyDescent="0.2">
      <c r="A37" s="107" t="s">
        <v>43</v>
      </c>
      <c r="B37" s="73">
        <f>B8</f>
        <v>386.40000000000003</v>
      </c>
      <c r="C37" s="34">
        <v>2.0999999999999999E-3</v>
      </c>
      <c r="D37" s="22">
        <f>B37*C37</f>
        <v>0.81144000000000005</v>
      </c>
      <c r="E37" s="73">
        <f t="shared" si="6"/>
        <v>386.40000000000003</v>
      </c>
      <c r="F37" s="34">
        <v>2.0999999999999999E-3</v>
      </c>
      <c r="G37" s="22">
        <f>E37*F37</f>
        <v>0.81144000000000005</v>
      </c>
      <c r="H37" s="22">
        <f>G37-D37</f>
        <v>0</v>
      </c>
      <c r="I37" s="23">
        <f t="shared" si="2"/>
        <v>0</v>
      </c>
      <c r="J37" s="23">
        <f t="shared" si="9"/>
        <v>6.8347021829111912E-3</v>
      </c>
      <c r="K37" s="108">
        <f t="shared" si="10"/>
        <v>6.6442024302497855E-3</v>
      </c>
    </row>
    <row r="38" spans="1:11" x14ac:dyDescent="0.2">
      <c r="A38" s="107" t="s">
        <v>96</v>
      </c>
      <c r="B38" s="73">
        <f>B8</f>
        <v>386.40000000000003</v>
      </c>
      <c r="C38" s="34">
        <v>1.1000000000000001E-3</v>
      </c>
      <c r="D38" s="22">
        <f>B38*C38</f>
        <v>0.42504000000000008</v>
      </c>
      <c r="E38" s="73">
        <f t="shared" si="6"/>
        <v>386.40000000000003</v>
      </c>
      <c r="F38" s="34">
        <v>1.1000000000000001E-3</v>
      </c>
      <c r="G38" s="22">
        <f>E38*F38</f>
        <v>0.42504000000000008</v>
      </c>
      <c r="H38" s="22">
        <f>G38-D38</f>
        <v>0</v>
      </c>
      <c r="I38" s="23">
        <f t="shared" ref="I38" si="11">IF(ISERROR(H38/D38),0,(H38/D38))</f>
        <v>0</v>
      </c>
      <c r="J38" s="23">
        <f t="shared" ref="J38" si="12">G38/$G$46</f>
        <v>3.5800820958106242E-3</v>
      </c>
      <c r="K38" s="108">
        <f t="shared" ref="K38" si="13">G38/$G$51</f>
        <v>3.4802965110832212E-3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2.1057324580102013E-3</v>
      </c>
      <c r="K39" s="108">
        <f t="shared" si="10"/>
        <v>2.0470405791709135E-3</v>
      </c>
    </row>
    <row r="40" spans="1:11" s="1" customFormat="1" x14ac:dyDescent="0.2">
      <c r="A40" s="110" t="s">
        <v>45</v>
      </c>
      <c r="B40" s="74"/>
      <c r="C40" s="35"/>
      <c r="D40" s="35">
        <f>SUM(D36:D39)</f>
        <v>2.8775200000000001</v>
      </c>
      <c r="E40" s="73"/>
      <c r="F40" s="35"/>
      <c r="G40" s="35">
        <f>SUM(G36:G39)</f>
        <v>2.8775200000000001</v>
      </c>
      <c r="H40" s="35">
        <f t="shared" si="1"/>
        <v>0</v>
      </c>
      <c r="I40" s="36">
        <f t="shared" si="2"/>
        <v>0</v>
      </c>
      <c r="J40" s="36">
        <f t="shared" si="9"/>
        <v>2.4237149050294057E-2</v>
      </c>
      <c r="K40" s="111">
        <f t="shared" si="10"/>
        <v>2.3561600829503551E-2</v>
      </c>
    </row>
    <row r="41" spans="1:11" s="1" customFormat="1" ht="13.5" thickBot="1" x14ac:dyDescent="0.25">
      <c r="A41" s="112" t="s">
        <v>46</v>
      </c>
      <c r="B41" s="113">
        <f>B4</f>
        <v>350</v>
      </c>
      <c r="C41" s="114">
        <v>0</v>
      </c>
      <c r="D41" s="115">
        <f>B41*C41</f>
        <v>0</v>
      </c>
      <c r="E41" s="116">
        <f t="shared" si="6"/>
        <v>350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111.27503280000002</v>
      </c>
      <c r="E42" s="38"/>
      <c r="F42" s="39"/>
      <c r="G42" s="39">
        <f>SUM(G14,G25,G26,G27,G33,G40,G41)</f>
        <v>113.07003280000001</v>
      </c>
      <c r="H42" s="39">
        <f t="shared" si="1"/>
        <v>1.7949999999999875</v>
      </c>
      <c r="I42" s="40">
        <f>IF(ISERROR(H42/D42),0,(H42/D42))</f>
        <v>1.613120171553872E-2</v>
      </c>
      <c r="J42" s="40">
        <f t="shared" si="9"/>
        <v>0.95238095238095233</v>
      </c>
      <c r="K42" s="41"/>
    </row>
    <row r="43" spans="1:11" x14ac:dyDescent="0.2">
      <c r="A43" s="154" t="s">
        <v>102</v>
      </c>
      <c r="B43" s="43"/>
      <c r="C43" s="26">
        <v>0.13</v>
      </c>
      <c r="D43" s="26">
        <f>D42*C43</f>
        <v>14.465754264000003</v>
      </c>
      <c r="E43" s="26"/>
      <c r="F43" s="26">
        <f>C43</f>
        <v>0.13</v>
      </c>
      <c r="G43" s="26">
        <f>G42*F43</f>
        <v>14.699104264000001</v>
      </c>
      <c r="H43" s="26">
        <f t="shared" si="1"/>
        <v>0.23334999999999795</v>
      </c>
      <c r="I43" s="44">
        <f t="shared" si="2"/>
        <v>1.6131201715538689E-2</v>
      </c>
      <c r="J43" s="44">
        <f t="shared" si="9"/>
        <v>0.1238095238095238</v>
      </c>
      <c r="K43" s="45"/>
    </row>
    <row r="44" spans="1:11" s="1" customFormat="1" x14ac:dyDescent="0.2">
      <c r="A44" s="46" t="s">
        <v>103</v>
      </c>
      <c r="B44" s="24"/>
      <c r="C44" s="25"/>
      <c r="D44" s="25">
        <f>SUM(D42:D43)</f>
        <v>125.74078706400002</v>
      </c>
      <c r="E44" s="25"/>
      <c r="F44" s="25"/>
      <c r="G44" s="25">
        <f>SUM(G42:G43)</f>
        <v>127.76913706400001</v>
      </c>
      <c r="H44" s="25">
        <f t="shared" si="1"/>
        <v>2.028349999999989</v>
      </c>
      <c r="I44" s="27">
        <f t="shared" si="2"/>
        <v>1.6131201715538744E-2</v>
      </c>
      <c r="J44" s="27">
        <f t="shared" si="9"/>
        <v>1.0761904761904761</v>
      </c>
      <c r="K44" s="47"/>
    </row>
    <row r="45" spans="1:11" x14ac:dyDescent="0.2">
      <c r="A45" s="42" t="s">
        <v>104</v>
      </c>
      <c r="B45" s="43"/>
      <c r="C45" s="26">
        <v>-0.08</v>
      </c>
      <c r="D45" s="26">
        <f>D42*C45</f>
        <v>-8.9020026240000014</v>
      </c>
      <c r="E45" s="26"/>
      <c r="F45" s="26">
        <f>C45</f>
        <v>-0.08</v>
      </c>
      <c r="G45" s="26">
        <f>G42*F45</f>
        <v>-9.0456026240000007</v>
      </c>
      <c r="H45" s="26">
        <f t="shared" si="1"/>
        <v>-0.14359999999999928</v>
      </c>
      <c r="I45" s="44">
        <f t="shared" si="2"/>
        <v>1.6131201715538751E-2</v>
      </c>
      <c r="J45" s="44">
        <f t="shared" si="9"/>
        <v>-7.6190476190476197E-2</v>
      </c>
      <c r="K45" s="45"/>
    </row>
    <row r="46" spans="1:11" s="1" customFormat="1" ht="13.5" thickBot="1" x14ac:dyDescent="0.25">
      <c r="A46" s="48" t="s">
        <v>105</v>
      </c>
      <c r="B46" s="49"/>
      <c r="C46" s="50"/>
      <c r="D46" s="50">
        <f>SUM(D44:D45)</f>
        <v>116.83878444000001</v>
      </c>
      <c r="E46" s="50"/>
      <c r="F46" s="50"/>
      <c r="G46" s="50">
        <f>SUM(G44:G45)</f>
        <v>118.72353444000001</v>
      </c>
      <c r="H46" s="50">
        <f t="shared" si="1"/>
        <v>1.8847499999999968</v>
      </c>
      <c r="I46" s="51">
        <f t="shared" si="2"/>
        <v>1.6131201715538807E-2</v>
      </c>
      <c r="J46" s="51">
        <f t="shared" si="9"/>
        <v>1</v>
      </c>
      <c r="K46" s="52"/>
    </row>
    <row r="47" spans="1:11" x14ac:dyDescent="0.2">
      <c r="A47" s="53" t="s">
        <v>106</v>
      </c>
      <c r="B47" s="54"/>
      <c r="C47" s="55"/>
      <c r="D47" s="55">
        <f>SUM(D18,D25,D26,D28,D33,D40,D41)</f>
        <v>114.51692880000002</v>
      </c>
      <c r="E47" s="55"/>
      <c r="F47" s="55"/>
      <c r="G47" s="55">
        <f>SUM(G18,G25,G26,G28,G33,G40,G41)</f>
        <v>116.3119288</v>
      </c>
      <c r="H47" s="55">
        <f>G47-D47</f>
        <v>1.7949999999999875</v>
      </c>
      <c r="I47" s="56">
        <f>IF(ISERROR(H47/D47),0,(H47/D47))</f>
        <v>1.5674538418113667E-2</v>
      </c>
      <c r="J47" s="56"/>
      <c r="K47" s="57">
        <f>G47/$G$51</f>
        <v>0.95238095238095233</v>
      </c>
    </row>
    <row r="48" spans="1:11" x14ac:dyDescent="0.2">
      <c r="A48" s="58" t="s">
        <v>102</v>
      </c>
      <c r="B48" s="59"/>
      <c r="C48" s="31">
        <v>0.13</v>
      </c>
      <c r="D48" s="31">
        <f>D47*C48</f>
        <v>14.887200744000003</v>
      </c>
      <c r="E48" s="31"/>
      <c r="F48" s="31">
        <f>C48</f>
        <v>0.13</v>
      </c>
      <c r="G48" s="31">
        <f>G47*F48</f>
        <v>15.120550744000001</v>
      </c>
      <c r="H48" s="31">
        <f>G48-D48</f>
        <v>0.23334999999999795</v>
      </c>
      <c r="I48" s="32">
        <f>IF(ISERROR(H48/D48),0,(H48/D48))</f>
        <v>1.5674538418113636E-2</v>
      </c>
      <c r="J48" s="32"/>
      <c r="K48" s="60">
        <f>G48/$G$51</f>
        <v>0.1238095238095238</v>
      </c>
    </row>
    <row r="49" spans="1:11" x14ac:dyDescent="0.2">
      <c r="A49" s="61" t="s">
        <v>107</v>
      </c>
      <c r="B49" s="29"/>
      <c r="C49" s="30"/>
      <c r="D49" s="30">
        <f>SUM(D47:D48)</f>
        <v>129.40412954400003</v>
      </c>
      <c r="E49" s="30"/>
      <c r="F49" s="30"/>
      <c r="G49" s="30">
        <f>SUM(G47:G48)</f>
        <v>131.43247954400002</v>
      </c>
      <c r="H49" s="30">
        <f>G49-D49</f>
        <v>2.028349999999989</v>
      </c>
      <c r="I49" s="33">
        <f>IF(ISERROR(H49/D49),0,(H49/D49))</f>
        <v>1.5674538418113688E-2</v>
      </c>
      <c r="J49" s="33"/>
      <c r="K49" s="62">
        <f>G49/$G$51</f>
        <v>1.0761904761904761</v>
      </c>
    </row>
    <row r="50" spans="1:11" x14ac:dyDescent="0.2">
      <c r="A50" s="58" t="s">
        <v>104</v>
      </c>
      <c r="B50" s="59"/>
      <c r="C50" s="31">
        <v>-0.08</v>
      </c>
      <c r="D50" s="31">
        <f>D47*C50</f>
        <v>-9.1613543040000014</v>
      </c>
      <c r="E50" s="31"/>
      <c r="F50" s="31">
        <f>C50</f>
        <v>-0.08</v>
      </c>
      <c r="G50" s="31">
        <f>G47*F50</f>
        <v>-9.3049543040000007</v>
      </c>
      <c r="H50" s="31">
        <f>G50-D50</f>
        <v>-0.14359999999999928</v>
      </c>
      <c r="I50" s="32">
        <f>IF(ISERROR(H50/D50),0,(H50/D50))</f>
        <v>1.5674538418113695E-2</v>
      </c>
      <c r="J50" s="32"/>
      <c r="K50" s="60">
        <f>G50/$G$51</f>
        <v>-7.6190476190476183E-2</v>
      </c>
    </row>
    <row r="51" spans="1:11" ht="13.5" thickBot="1" x14ac:dyDescent="0.25">
      <c r="A51" s="63" t="s">
        <v>116</v>
      </c>
      <c r="B51" s="64"/>
      <c r="C51" s="65"/>
      <c r="D51" s="65">
        <f>SUM(D49:D50)</f>
        <v>120.24277524000003</v>
      </c>
      <c r="E51" s="65"/>
      <c r="F51" s="65"/>
      <c r="G51" s="65">
        <f>SUM(G49:G50)</f>
        <v>122.12752524000001</v>
      </c>
      <c r="H51" s="65">
        <f>G51-D51</f>
        <v>1.8847499999999826</v>
      </c>
      <c r="I51" s="66">
        <f>IF(ISERROR(H51/D51),0,(H51/D51))</f>
        <v>1.5674538418113629E-2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1" tint="0.499984740745262"/>
    <pageSetUpPr fitToPage="1"/>
  </sheetPr>
  <dimension ref="A1:K68"/>
  <sheetViews>
    <sheetView tabSelected="1" view="pageBreakPreview" topLeftCell="A22" zoomScaleNormal="100" zoomScaleSheetLayoutView="100" workbookViewId="0">
      <selection activeCell="C3" sqref="C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119</v>
      </c>
      <c r="B1" s="188"/>
      <c r="C1" s="188"/>
      <c r="D1" s="188"/>
      <c r="E1" s="188"/>
      <c r="F1" s="188"/>
      <c r="G1" s="188"/>
      <c r="H1" s="188"/>
      <c r="I1" s="188"/>
      <c r="J1" s="188"/>
      <c r="K1" s="189"/>
    </row>
    <row r="3" spans="1:11" x14ac:dyDescent="0.2">
      <c r="A3" s="13" t="s">
        <v>13</v>
      </c>
      <c r="B3" s="13" t="s">
        <v>3</v>
      </c>
    </row>
    <row r="4" spans="1:11" x14ac:dyDescent="0.2">
      <c r="A4" s="15" t="s">
        <v>62</v>
      </c>
      <c r="B4" s="15">
        <f>VLOOKUP(B3,'Data for Bill Impacts'!A19:D31,3,FALSE)</f>
        <v>352</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5">
        <f>B4*B6</f>
        <v>388.60800000000006</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352</v>
      </c>
      <c r="C12" s="103">
        <v>0.10299999999999999</v>
      </c>
      <c r="D12" s="104">
        <f>B12*C12</f>
        <v>36.256</v>
      </c>
      <c r="E12" s="102">
        <f>B12</f>
        <v>352</v>
      </c>
      <c r="F12" s="103">
        <f>C12</f>
        <v>0.10299999999999999</v>
      </c>
      <c r="G12" s="104">
        <f>E12*F12</f>
        <v>36.256</v>
      </c>
      <c r="H12" s="104">
        <f>G12-D12</f>
        <v>0</v>
      </c>
      <c r="I12" s="105">
        <f>IF(ISERROR(H12/D12),0,(H12/D12))</f>
        <v>0</v>
      </c>
      <c r="J12" s="105">
        <f>G12/$G$46</f>
        <v>0.30442925087295813</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36.256</v>
      </c>
      <c r="E14" s="76"/>
      <c r="F14" s="25"/>
      <c r="G14" s="25">
        <f>SUM(G12:G13)</f>
        <v>36.256</v>
      </c>
      <c r="H14" s="25">
        <f t="shared" si="1"/>
        <v>0</v>
      </c>
      <c r="I14" s="27">
        <f t="shared" si="2"/>
        <v>0</v>
      </c>
      <c r="J14" s="27">
        <f>G14/$G$46</f>
        <v>0.30442925087295813</v>
      </c>
      <c r="K14" s="108"/>
    </row>
    <row r="15" spans="1:11" s="1" customFormat="1" x14ac:dyDescent="0.2">
      <c r="A15" s="109" t="s">
        <v>34</v>
      </c>
      <c r="B15" s="75">
        <f>B4*0.65</f>
        <v>228.8</v>
      </c>
      <c r="C15" s="28">
        <v>8.6999999999999994E-2</v>
      </c>
      <c r="D15" s="22">
        <f>B15*C15</f>
        <v>19.9056</v>
      </c>
      <c r="E15" s="73">
        <f t="shared" ref="E15:F17" si="3">B15</f>
        <v>228.8</v>
      </c>
      <c r="F15" s="28">
        <f t="shared" si="3"/>
        <v>8.6999999999999994E-2</v>
      </c>
      <c r="G15" s="22">
        <f>E15*F15</f>
        <v>19.9056</v>
      </c>
      <c r="H15" s="22">
        <f t="shared" si="1"/>
        <v>0</v>
      </c>
      <c r="I15" s="23">
        <f t="shared" si="2"/>
        <v>0</v>
      </c>
      <c r="J15" s="23"/>
      <c r="K15" s="108">
        <f t="shared" ref="K15:K26" si="4">G15/$G$51</f>
        <v>0.16247024135979163</v>
      </c>
    </row>
    <row r="16" spans="1:11" s="1" customFormat="1" x14ac:dyDescent="0.2">
      <c r="A16" s="109" t="s">
        <v>35</v>
      </c>
      <c r="B16" s="75">
        <f>B4*0.17</f>
        <v>59.84</v>
      </c>
      <c r="C16" s="28">
        <v>0.13200000000000001</v>
      </c>
      <c r="D16" s="22">
        <f>B16*C16</f>
        <v>7.898880000000001</v>
      </c>
      <c r="E16" s="73">
        <f t="shared" si="3"/>
        <v>59.84</v>
      </c>
      <c r="F16" s="28">
        <f t="shared" si="3"/>
        <v>0.13200000000000001</v>
      </c>
      <c r="G16" s="22">
        <f>E16*F16</f>
        <v>7.898880000000001</v>
      </c>
      <c r="H16" s="22">
        <f t="shared" si="1"/>
        <v>0</v>
      </c>
      <c r="I16" s="23">
        <f t="shared" si="2"/>
        <v>0</v>
      </c>
      <c r="J16" s="23"/>
      <c r="K16" s="108">
        <f t="shared" si="4"/>
        <v>6.4470949887068515E-2</v>
      </c>
    </row>
    <row r="17" spans="1:11" s="1" customFormat="1" x14ac:dyDescent="0.2">
      <c r="A17" s="109" t="s">
        <v>36</v>
      </c>
      <c r="B17" s="75">
        <f>B4*0.18</f>
        <v>63.36</v>
      </c>
      <c r="C17" s="28">
        <v>0.18</v>
      </c>
      <c r="D17" s="22">
        <f>B17*C17</f>
        <v>11.4048</v>
      </c>
      <c r="E17" s="73">
        <f t="shared" si="3"/>
        <v>63.36</v>
      </c>
      <c r="F17" s="28">
        <f t="shared" si="3"/>
        <v>0.18</v>
      </c>
      <c r="G17" s="22">
        <f>E17*F17</f>
        <v>11.4048</v>
      </c>
      <c r="H17" s="22">
        <f t="shared" si="1"/>
        <v>0</v>
      </c>
      <c r="I17" s="23">
        <f t="shared" si="2"/>
        <v>0</v>
      </c>
      <c r="J17" s="23"/>
      <c r="K17" s="108">
        <f t="shared" si="4"/>
        <v>9.3086398232665749E-2</v>
      </c>
    </row>
    <row r="18" spans="1:11" s="1" customFormat="1" x14ac:dyDescent="0.2">
      <c r="A18" s="61" t="s">
        <v>37</v>
      </c>
      <c r="B18" s="29"/>
      <c r="C18" s="30"/>
      <c r="D18" s="30">
        <f>SUM(D15:D17)</f>
        <v>39.20928</v>
      </c>
      <c r="E18" s="77"/>
      <c r="F18" s="30"/>
      <c r="G18" s="30">
        <f>SUM(G15:G17)</f>
        <v>39.20928</v>
      </c>
      <c r="H18" s="31">
        <f t="shared" si="1"/>
        <v>0</v>
      </c>
      <c r="I18" s="32">
        <f t="shared" si="2"/>
        <v>0</v>
      </c>
      <c r="J18" s="33">
        <f t="shared" ref="J18:J26" si="5">G18/$G$46</f>
        <v>0.32922693451202723</v>
      </c>
      <c r="K18" s="62">
        <f t="shared" si="4"/>
        <v>0.32002758947952586</v>
      </c>
    </row>
    <row r="19" spans="1:11" x14ac:dyDescent="0.2">
      <c r="A19" s="107" t="s">
        <v>38</v>
      </c>
      <c r="B19" s="73">
        <v>1</v>
      </c>
      <c r="C19" s="78">
        <f>VLOOKUP($B$3,'Data for Bill Impacts'!$A$3:$Y$15,7,0)</f>
        <v>45.14</v>
      </c>
      <c r="D19" s="22">
        <f>B19*C19</f>
        <v>45.14</v>
      </c>
      <c r="E19" s="73">
        <f t="shared" ref="E19:E41" si="6">B19</f>
        <v>1</v>
      </c>
      <c r="F19" s="78">
        <f>VLOOKUP($B$3,'Data for Bill Impacts'!$A$3:$Y$15,17,0)</f>
        <v>50.12</v>
      </c>
      <c r="G19" s="22">
        <f>E19*F19</f>
        <v>50.12</v>
      </c>
      <c r="H19" s="22">
        <f t="shared" si="1"/>
        <v>4.9799999999999969</v>
      </c>
      <c r="I19" s="23">
        <f t="shared" si="2"/>
        <v>0.11032343819229058</v>
      </c>
      <c r="J19" s="23">
        <f t="shared" si="5"/>
        <v>0.42084052443051245</v>
      </c>
      <c r="K19" s="108">
        <f t="shared" si="4"/>
        <v>0.40908128852949699</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352</v>
      </c>
      <c r="C23" s="78">
        <f>VLOOKUP($B$3,'Data for Bill Impacts'!$A$3:$Y$15,10,0)</f>
        <v>5.2999999999999999E-2</v>
      </c>
      <c r="D23" s="22">
        <f>B23*C23</f>
        <v>18.655999999999999</v>
      </c>
      <c r="E23" s="73">
        <f t="shared" si="6"/>
        <v>352</v>
      </c>
      <c r="F23" s="78">
        <f>VLOOKUP($B$3,'Data for Bill Impacts'!$A$3:$Y$15,19,0)</f>
        <v>4.3900000000000002E-2</v>
      </c>
      <c r="G23" s="22">
        <f>E23*F23</f>
        <v>15.4528</v>
      </c>
      <c r="H23" s="22">
        <f t="shared" si="1"/>
        <v>-3.2031999999999989</v>
      </c>
      <c r="I23" s="23">
        <f t="shared" si="2"/>
        <v>-0.17169811320754713</v>
      </c>
      <c r="J23" s="23">
        <f t="shared" si="5"/>
        <v>0.12975188459536757</v>
      </c>
      <c r="K23" s="108">
        <f t="shared" si="4"/>
        <v>0.12612632353129713</v>
      </c>
    </row>
    <row r="24" spans="1:11" x14ac:dyDescent="0.2">
      <c r="A24" s="107" t="s">
        <v>121</v>
      </c>
      <c r="B24" s="73">
        <f>IF($B$9="kWh",$B$4,$B$5)</f>
        <v>352</v>
      </c>
      <c r="C24" s="126">
        <f>VLOOKUP($B$3,'Data for Bill Impacts'!$A$3:$Y$15,14,0)</f>
        <v>2.0000000000000001E-4</v>
      </c>
      <c r="D24" s="22">
        <f>B24*C24</f>
        <v>7.0400000000000004E-2</v>
      </c>
      <c r="E24" s="73">
        <f>B24</f>
        <v>352</v>
      </c>
      <c r="F24" s="126">
        <f>VLOOKUP($B$3,'Data for Bill Impacts'!$A$3:$Y$15,23,0)</f>
        <v>2.0000000000000001E-4</v>
      </c>
      <c r="G24" s="22">
        <f>E24*F24</f>
        <v>7.0400000000000004E-2</v>
      </c>
      <c r="H24" s="22">
        <f>G24-D24</f>
        <v>0</v>
      </c>
      <c r="I24" s="23">
        <f>IF(ISERROR(H24/D24),0,(H24/D24))</f>
        <v>0</v>
      </c>
      <c r="J24" s="23">
        <f t="shared" si="5"/>
        <v>5.9112475897661772E-4</v>
      </c>
      <c r="K24" s="108">
        <f t="shared" si="4"/>
        <v>5.7460739649793679E-4</v>
      </c>
    </row>
    <row r="25" spans="1:11" s="1" customFormat="1" x14ac:dyDescent="0.2">
      <c r="A25" s="110" t="s">
        <v>72</v>
      </c>
      <c r="B25" s="74"/>
      <c r="C25" s="35"/>
      <c r="D25" s="35">
        <f>SUM(D19:D24)</f>
        <v>63.866399999999999</v>
      </c>
      <c r="E25" s="73"/>
      <c r="F25" s="35"/>
      <c r="G25" s="35">
        <f>SUM(G19:G24)</f>
        <v>65.643200000000007</v>
      </c>
      <c r="H25" s="35">
        <f t="shared" si="1"/>
        <v>1.7768000000000086</v>
      </c>
      <c r="I25" s="36">
        <f t="shared" si="2"/>
        <v>2.7820575451254628E-2</v>
      </c>
      <c r="J25" s="36">
        <f t="shared" si="5"/>
        <v>0.55118353378485674</v>
      </c>
      <c r="K25" s="111">
        <f t="shared" si="4"/>
        <v>0.5357822194572921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6.6333602214705681E-3</v>
      </c>
      <c r="K26" s="108">
        <f t="shared" si="4"/>
        <v>6.448009136837643E-3</v>
      </c>
    </row>
    <row r="27" spans="1:11" s="1" customFormat="1" x14ac:dyDescent="0.2">
      <c r="A27" s="119" t="s">
        <v>75</v>
      </c>
      <c r="B27" s="120">
        <f>B8-B4</f>
        <v>36.608000000000061</v>
      </c>
      <c r="C27" s="121">
        <f>IF(B4&gt;B7,C13,C12)</f>
        <v>0.10299999999999999</v>
      </c>
      <c r="D27" s="22">
        <f>B27*C27</f>
        <v>3.770624000000006</v>
      </c>
      <c r="E27" s="73">
        <f>B27</f>
        <v>36.608000000000061</v>
      </c>
      <c r="F27" s="121">
        <f>C27</f>
        <v>0.10299999999999999</v>
      </c>
      <c r="G27" s="22">
        <f>E27*F27</f>
        <v>3.770624000000006</v>
      </c>
      <c r="H27" s="22">
        <f t="shared" si="1"/>
        <v>0</v>
      </c>
      <c r="I27" s="23">
        <f>IF(ISERROR(H27/D27),0,(H27/D27))</f>
        <v>0</v>
      </c>
      <c r="J27" s="23">
        <f t="shared" ref="J27:J46" si="9">G27/$G$46</f>
        <v>3.1660642090787693E-2</v>
      </c>
      <c r="K27" s="108">
        <f t="shared" ref="K27:K41" si="10">G27/$G$51</f>
        <v>3.0775972156429542E-2</v>
      </c>
    </row>
    <row r="28" spans="1:11" s="1" customFormat="1" x14ac:dyDescent="0.2">
      <c r="A28" s="119" t="s">
        <v>74</v>
      </c>
      <c r="B28" s="120">
        <f>B8-B4</f>
        <v>36.608000000000061</v>
      </c>
      <c r="C28" s="121">
        <f>0.65*C15+0.17*C16+0.18*C17</f>
        <v>0.11139</v>
      </c>
      <c r="D28" s="22">
        <f>B28*C28</f>
        <v>4.0777651200000067</v>
      </c>
      <c r="E28" s="73">
        <f>B28</f>
        <v>36.608000000000061</v>
      </c>
      <c r="F28" s="121">
        <f>C28</f>
        <v>0.11139</v>
      </c>
      <c r="G28" s="22">
        <f>E28*F28</f>
        <v>4.0777651200000067</v>
      </c>
      <c r="H28" s="22">
        <f t="shared" si="1"/>
        <v>0</v>
      </c>
      <c r="I28" s="23">
        <f>IF(ISERROR(H28/D28),0,(H28/D28))</f>
        <v>0</v>
      </c>
      <c r="J28" s="23">
        <f t="shared" si="9"/>
        <v>3.4239601189250887E-2</v>
      </c>
      <c r="K28" s="108">
        <f t="shared" si="10"/>
        <v>3.3282869305870745E-2</v>
      </c>
    </row>
    <row r="29" spans="1:11" s="1" customFormat="1" x14ac:dyDescent="0.2">
      <c r="A29" s="110" t="s">
        <v>78</v>
      </c>
      <c r="B29" s="74"/>
      <c r="C29" s="35"/>
      <c r="D29" s="35">
        <f>SUM(D25,D26:D27)</f>
        <v>68.427024000000017</v>
      </c>
      <c r="E29" s="73"/>
      <c r="F29" s="35"/>
      <c r="G29" s="35">
        <f>SUM(G25,G26:G27)</f>
        <v>70.203824000000026</v>
      </c>
      <c r="H29" s="35">
        <f t="shared" si="1"/>
        <v>1.7768000000000086</v>
      </c>
      <c r="I29" s="36">
        <f>IF(ISERROR(H29/D29),0,(H29/D29))</f>
        <v>2.596634920145012E-2</v>
      </c>
      <c r="J29" s="36">
        <f t="shared" si="9"/>
        <v>0.58947753609711506</v>
      </c>
      <c r="K29" s="111">
        <f t="shared" si="10"/>
        <v>0.57300620075055941</v>
      </c>
    </row>
    <row r="30" spans="1:11" s="1" customFormat="1" x14ac:dyDescent="0.2">
      <c r="A30" s="110" t="s">
        <v>77</v>
      </c>
      <c r="B30" s="74"/>
      <c r="C30" s="35"/>
      <c r="D30" s="35">
        <f>SUM(D25,D26,D28)</f>
        <v>68.734165120000014</v>
      </c>
      <c r="E30" s="73"/>
      <c r="F30" s="35"/>
      <c r="G30" s="35">
        <f>SUM(G25,G26,G28)</f>
        <v>70.510965120000023</v>
      </c>
      <c r="H30" s="35">
        <f t="shared" si="1"/>
        <v>1.7768000000000086</v>
      </c>
      <c r="I30" s="36">
        <f>IF(ISERROR(H30/D30),0,(H30/D30))</f>
        <v>2.5850317624400765E-2</v>
      </c>
      <c r="J30" s="36">
        <f t="shared" si="9"/>
        <v>0.59205649519557824</v>
      </c>
      <c r="K30" s="111">
        <f t="shared" si="10"/>
        <v>0.5755130979000006</v>
      </c>
    </row>
    <row r="31" spans="1:11" x14ac:dyDescent="0.2">
      <c r="A31" s="107" t="s">
        <v>40</v>
      </c>
      <c r="B31" s="73">
        <f>B8</f>
        <v>388.60800000000006</v>
      </c>
      <c r="C31" s="126">
        <f>VLOOKUP($B$3,'Data for Bill Impacts'!$A$3:$Y$15,15,0)</f>
        <v>5.6559999999999996E-3</v>
      </c>
      <c r="D31" s="22">
        <f>B31*C31</f>
        <v>2.1979668480000001</v>
      </c>
      <c r="E31" s="73">
        <f t="shared" si="6"/>
        <v>388.60800000000006</v>
      </c>
      <c r="F31" s="126">
        <f>VLOOKUP($B$3,'Data for Bill Impacts'!$A$3:$Y$15,24,0)</f>
        <v>5.6559999999999996E-3</v>
      </c>
      <c r="G31" s="22">
        <f>E31*F31</f>
        <v>2.1979668480000001</v>
      </c>
      <c r="H31" s="22">
        <f t="shared" si="1"/>
        <v>0</v>
      </c>
      <c r="I31" s="23">
        <f t="shared" si="2"/>
        <v>0</v>
      </c>
      <c r="J31" s="23">
        <f t="shared" si="9"/>
        <v>1.8455577034980058E-2</v>
      </c>
      <c r="K31" s="108">
        <f t="shared" si="10"/>
        <v>1.7939886478949663E-2</v>
      </c>
    </row>
    <row r="32" spans="1:11" x14ac:dyDescent="0.2">
      <c r="A32" s="107" t="s">
        <v>41</v>
      </c>
      <c r="B32" s="73">
        <f>B8</f>
        <v>388.60800000000006</v>
      </c>
      <c r="C32" s="126">
        <f>VLOOKUP($B$3,'Data for Bill Impacts'!$A$3:$Y$15,16,0)</f>
        <v>4.8209999999999998E-3</v>
      </c>
      <c r="D32" s="22">
        <f>B32*C32</f>
        <v>1.8734791680000003</v>
      </c>
      <c r="E32" s="73">
        <f t="shared" si="6"/>
        <v>388.60800000000006</v>
      </c>
      <c r="F32" s="126">
        <f>VLOOKUP($B$3,'Data for Bill Impacts'!$A$3:$Y$15,25,0)</f>
        <v>4.8209999999999998E-3</v>
      </c>
      <c r="G32" s="22">
        <f>E32*F32</f>
        <v>1.8734791680000003</v>
      </c>
      <c r="H32" s="22">
        <f t="shared" si="1"/>
        <v>0</v>
      </c>
      <c r="I32" s="23">
        <f t="shared" si="2"/>
        <v>0</v>
      </c>
      <c r="J32" s="23">
        <f t="shared" si="9"/>
        <v>1.5730964795905033E-2</v>
      </c>
      <c r="K32" s="108">
        <f t="shared" si="10"/>
        <v>1.5291406067011376E-2</v>
      </c>
    </row>
    <row r="33" spans="1:11" s="1" customFormat="1" x14ac:dyDescent="0.2">
      <c r="A33" s="110" t="s">
        <v>76</v>
      </c>
      <c r="B33" s="74"/>
      <c r="C33" s="35"/>
      <c r="D33" s="35">
        <f>SUM(D31:D32)</f>
        <v>4.0714460160000003</v>
      </c>
      <c r="E33" s="73"/>
      <c r="F33" s="35"/>
      <c r="G33" s="35">
        <f>SUM(G31:G32)</f>
        <v>4.0714460160000003</v>
      </c>
      <c r="H33" s="35">
        <f t="shared" si="1"/>
        <v>0</v>
      </c>
      <c r="I33" s="36">
        <f t="shared" si="2"/>
        <v>0</v>
      </c>
      <c r="J33" s="36">
        <f t="shared" si="9"/>
        <v>3.4186541830885091E-2</v>
      </c>
      <c r="K33" s="111">
        <f t="shared" si="10"/>
        <v>3.3231292545961036E-2</v>
      </c>
    </row>
    <row r="34" spans="1:11" s="1" customFormat="1" x14ac:dyDescent="0.2">
      <c r="A34" s="110" t="s">
        <v>91</v>
      </c>
      <c r="B34" s="74"/>
      <c r="C34" s="35"/>
      <c r="D34" s="35">
        <f>D29+D33</f>
        <v>72.498470016000013</v>
      </c>
      <c r="E34" s="73"/>
      <c r="F34" s="35"/>
      <c r="G34" s="35">
        <f>G29+G33</f>
        <v>74.275270016000022</v>
      </c>
      <c r="H34" s="35">
        <f t="shared" si="1"/>
        <v>1.7768000000000086</v>
      </c>
      <c r="I34" s="36">
        <f t="shared" si="2"/>
        <v>2.4508103406980571E-2</v>
      </c>
      <c r="J34" s="36">
        <f t="shared" si="9"/>
        <v>0.62366407792800016</v>
      </c>
      <c r="K34" s="111">
        <f t="shared" si="10"/>
        <v>0.60623749329652044</v>
      </c>
    </row>
    <row r="35" spans="1:11" s="1" customFormat="1" x14ac:dyDescent="0.2">
      <c r="A35" s="110" t="s">
        <v>92</v>
      </c>
      <c r="B35" s="74"/>
      <c r="C35" s="35"/>
      <c r="D35" s="35">
        <f>D30+D33</f>
        <v>72.80561113600001</v>
      </c>
      <c r="E35" s="73"/>
      <c r="F35" s="35"/>
      <c r="G35" s="35">
        <f>G30+G33</f>
        <v>74.582411136000019</v>
      </c>
      <c r="H35" s="35">
        <f t="shared" si="1"/>
        <v>1.7768000000000086</v>
      </c>
      <c r="I35" s="36">
        <f t="shared" si="2"/>
        <v>2.4404712387908777E-2</v>
      </c>
      <c r="J35" s="36">
        <f t="shared" si="9"/>
        <v>0.62624303702646333</v>
      </c>
      <c r="K35" s="111">
        <f t="shared" si="10"/>
        <v>0.60874439044596163</v>
      </c>
    </row>
    <row r="36" spans="1:11" x14ac:dyDescent="0.2">
      <c r="A36" s="107" t="s">
        <v>42</v>
      </c>
      <c r="B36" s="73">
        <f>B8</f>
        <v>388.60800000000006</v>
      </c>
      <c r="C36" s="34">
        <v>3.5999999999999999E-3</v>
      </c>
      <c r="D36" s="22">
        <f>B36*C36</f>
        <v>1.3989888000000001</v>
      </c>
      <c r="E36" s="73">
        <f t="shared" si="6"/>
        <v>388.60800000000006</v>
      </c>
      <c r="F36" s="34">
        <v>3.5999999999999999E-3</v>
      </c>
      <c r="G36" s="22">
        <f>E36*F36</f>
        <v>1.3989888000000001</v>
      </c>
      <c r="H36" s="22">
        <f t="shared" si="1"/>
        <v>0</v>
      </c>
      <c r="I36" s="23">
        <f t="shared" si="2"/>
        <v>0</v>
      </c>
      <c r="J36" s="23">
        <f t="shared" si="9"/>
        <v>1.1746831210383349E-2</v>
      </c>
      <c r="K36" s="108">
        <f t="shared" si="10"/>
        <v>1.1418598183207E-2</v>
      </c>
    </row>
    <row r="37" spans="1:11" x14ac:dyDescent="0.2">
      <c r="A37" s="107" t="s">
        <v>43</v>
      </c>
      <c r="B37" s="73">
        <f>B8</f>
        <v>388.60800000000006</v>
      </c>
      <c r="C37" s="34">
        <v>2.0999999999999999E-3</v>
      </c>
      <c r="D37" s="22">
        <f>B37*C37</f>
        <v>0.81607680000000005</v>
      </c>
      <c r="E37" s="73">
        <f t="shared" si="6"/>
        <v>388.60800000000006</v>
      </c>
      <c r="F37" s="34">
        <v>2.0999999999999999E-3</v>
      </c>
      <c r="G37" s="22">
        <f>E37*F37</f>
        <v>0.81607680000000005</v>
      </c>
      <c r="H37" s="22">
        <f>G37-D37</f>
        <v>0</v>
      </c>
      <c r="I37" s="23">
        <f t="shared" si="2"/>
        <v>0</v>
      </c>
      <c r="J37" s="23">
        <f t="shared" si="9"/>
        <v>6.8523182060569524E-3</v>
      </c>
      <c r="K37" s="108">
        <f t="shared" si="10"/>
        <v>6.6608489402040835E-3</v>
      </c>
    </row>
    <row r="38" spans="1:11" x14ac:dyDescent="0.2">
      <c r="A38" s="107" t="s">
        <v>96</v>
      </c>
      <c r="B38" s="73">
        <f>B8</f>
        <v>388.60800000000006</v>
      </c>
      <c r="C38" s="34">
        <v>1.1000000000000001E-3</v>
      </c>
      <c r="D38" s="22">
        <f>B38*C38</f>
        <v>0.42746880000000009</v>
      </c>
      <c r="E38" s="73">
        <f t="shared" si="6"/>
        <v>388.60800000000006</v>
      </c>
      <c r="F38" s="34">
        <v>1.1000000000000001E-3</v>
      </c>
      <c r="G38" s="22">
        <f>E38*F38</f>
        <v>0.42746880000000009</v>
      </c>
      <c r="H38" s="22">
        <f>G38-D38</f>
        <v>0</v>
      </c>
      <c r="I38" s="23">
        <f t="shared" si="2"/>
        <v>0</v>
      </c>
      <c r="J38" s="23">
        <f t="shared" si="9"/>
        <v>3.5893095365060234E-3</v>
      </c>
      <c r="K38" s="108">
        <f t="shared" si="10"/>
        <v>3.4890161115354729E-3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2.0991646270476479E-3</v>
      </c>
      <c r="K39" s="108">
        <f t="shared" si="10"/>
        <v>2.0405092205182415E-3</v>
      </c>
    </row>
    <row r="40" spans="1:11" s="1" customFormat="1" x14ac:dyDescent="0.2">
      <c r="A40" s="110" t="s">
        <v>45</v>
      </c>
      <c r="B40" s="74"/>
      <c r="C40" s="35"/>
      <c r="D40" s="35">
        <f>SUM(D36:D39)</f>
        <v>2.8925344000000002</v>
      </c>
      <c r="E40" s="73"/>
      <c r="F40" s="35"/>
      <c r="G40" s="35">
        <f>SUM(G36:G39)</f>
        <v>2.8925344000000002</v>
      </c>
      <c r="H40" s="35">
        <f t="shared" si="1"/>
        <v>0</v>
      </c>
      <c r="I40" s="36">
        <f t="shared" si="2"/>
        <v>0</v>
      </c>
      <c r="J40" s="36">
        <f t="shared" si="9"/>
        <v>2.4287623579993971E-2</v>
      </c>
      <c r="K40" s="111">
        <f t="shared" si="10"/>
        <v>2.3608972455464797E-2</v>
      </c>
    </row>
    <row r="41" spans="1:11" s="1" customFormat="1" ht="13.5" thickBot="1" x14ac:dyDescent="0.25">
      <c r="A41" s="112" t="s">
        <v>46</v>
      </c>
      <c r="B41" s="113">
        <f>B4</f>
        <v>352</v>
      </c>
      <c r="C41" s="114">
        <v>0</v>
      </c>
      <c r="D41" s="115">
        <f>B41*C41</f>
        <v>0</v>
      </c>
      <c r="E41" s="116">
        <f t="shared" si="6"/>
        <v>352</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111.64700441600002</v>
      </c>
      <c r="E42" s="38"/>
      <c r="F42" s="39"/>
      <c r="G42" s="39">
        <f>SUM(G14,G25,G26,G27,G33,G40,G41)</f>
        <v>113.42380441600002</v>
      </c>
      <c r="H42" s="39">
        <f t="shared" si="1"/>
        <v>1.7768000000000086</v>
      </c>
      <c r="I42" s="40">
        <f>IF(ISERROR(H42/D42),0,(H42/D42))</f>
        <v>1.5914444004064807E-2</v>
      </c>
      <c r="J42" s="40">
        <f t="shared" si="9"/>
        <v>0.95238095238095233</v>
      </c>
      <c r="K42" s="41"/>
    </row>
    <row r="43" spans="1:11" x14ac:dyDescent="0.2">
      <c r="A43" s="154" t="s">
        <v>102</v>
      </c>
      <c r="B43" s="43"/>
      <c r="C43" s="26">
        <v>0.13</v>
      </c>
      <c r="D43" s="26">
        <f>D42*C43</f>
        <v>14.514110574080002</v>
      </c>
      <c r="E43" s="26"/>
      <c r="F43" s="26">
        <f>C43</f>
        <v>0.13</v>
      </c>
      <c r="G43" s="26">
        <f>G42*F43</f>
        <v>14.745094574080003</v>
      </c>
      <c r="H43" s="26">
        <f t="shared" si="1"/>
        <v>0.23098400000000119</v>
      </c>
      <c r="I43" s="44">
        <f t="shared" si="2"/>
        <v>1.5914444004064814E-2</v>
      </c>
      <c r="J43" s="44">
        <f t="shared" si="9"/>
        <v>0.1238095238095238</v>
      </c>
      <c r="K43" s="45"/>
    </row>
    <row r="44" spans="1:11" s="1" customFormat="1" x14ac:dyDescent="0.2">
      <c r="A44" s="46" t="s">
        <v>103</v>
      </c>
      <c r="B44" s="24"/>
      <c r="C44" s="25"/>
      <c r="D44" s="25">
        <f>SUM(D42:D43)</f>
        <v>126.16111499008002</v>
      </c>
      <c r="E44" s="25"/>
      <c r="F44" s="25"/>
      <c r="G44" s="25">
        <f>SUM(G42:G43)</f>
        <v>128.16889899008004</v>
      </c>
      <c r="H44" s="25">
        <f t="shared" si="1"/>
        <v>2.0077840000000151</v>
      </c>
      <c r="I44" s="27">
        <f t="shared" si="2"/>
        <v>1.5914444004064849E-2</v>
      </c>
      <c r="J44" s="27">
        <f t="shared" si="9"/>
        <v>1.0761904761904761</v>
      </c>
      <c r="K44" s="47"/>
    </row>
    <row r="45" spans="1:11" x14ac:dyDescent="0.2">
      <c r="A45" s="42" t="s">
        <v>104</v>
      </c>
      <c r="B45" s="43"/>
      <c r="C45" s="26">
        <v>-0.08</v>
      </c>
      <c r="D45" s="26">
        <f>D42*C45</f>
        <v>-8.9317603532800014</v>
      </c>
      <c r="E45" s="26"/>
      <c r="F45" s="26">
        <f>C45</f>
        <v>-0.08</v>
      </c>
      <c r="G45" s="26">
        <f>G42*F45</f>
        <v>-9.0739043532800014</v>
      </c>
      <c r="H45" s="26">
        <f t="shared" si="1"/>
        <v>-0.14214400000000005</v>
      </c>
      <c r="I45" s="44">
        <f t="shared" si="2"/>
        <v>1.5914444004064734E-2</v>
      </c>
      <c r="J45" s="44">
        <f t="shared" si="9"/>
        <v>-7.6190476190476183E-2</v>
      </c>
      <c r="K45" s="45"/>
    </row>
    <row r="46" spans="1:11" s="1" customFormat="1" ht="13.5" thickBot="1" x14ac:dyDescent="0.25">
      <c r="A46" s="48" t="s">
        <v>105</v>
      </c>
      <c r="B46" s="49"/>
      <c r="C46" s="50"/>
      <c r="D46" s="50">
        <f>SUM(D44:D45)</f>
        <v>117.22935463680002</v>
      </c>
      <c r="E46" s="50"/>
      <c r="F46" s="50"/>
      <c r="G46" s="50">
        <f>SUM(G44:G45)</f>
        <v>119.09499463680004</v>
      </c>
      <c r="H46" s="50">
        <f t="shared" si="1"/>
        <v>1.8656400000000133</v>
      </c>
      <c r="I46" s="51">
        <f t="shared" si="2"/>
        <v>1.5914444004064842E-2</v>
      </c>
      <c r="J46" s="51">
        <f t="shared" si="9"/>
        <v>1</v>
      </c>
      <c r="K46" s="52"/>
    </row>
    <row r="47" spans="1:11" x14ac:dyDescent="0.2">
      <c r="A47" s="53" t="s">
        <v>106</v>
      </c>
      <c r="B47" s="54"/>
      <c r="C47" s="55"/>
      <c r="D47" s="55">
        <f>SUM(D18,D25,D26,D28,D33,D40,D41)</f>
        <v>114.90742553600002</v>
      </c>
      <c r="E47" s="55"/>
      <c r="F47" s="55"/>
      <c r="G47" s="55">
        <f>SUM(G18,G25,G26,G28,G33,G40,G41)</f>
        <v>116.68422553600003</v>
      </c>
      <c r="H47" s="55">
        <f>G47-D47</f>
        <v>1.7768000000000086</v>
      </c>
      <c r="I47" s="56">
        <f>IF(ISERROR(H47/D47),0,(H47/D47))</f>
        <v>1.5462882330814595E-2</v>
      </c>
      <c r="J47" s="56"/>
      <c r="K47" s="57">
        <f>G47/$G$51</f>
        <v>0.95238095238095233</v>
      </c>
    </row>
    <row r="48" spans="1:11" x14ac:dyDescent="0.2">
      <c r="A48" s="58" t="s">
        <v>102</v>
      </c>
      <c r="B48" s="59"/>
      <c r="C48" s="31">
        <v>0.13</v>
      </c>
      <c r="D48" s="31">
        <f>D47*C48</f>
        <v>14.937965319680004</v>
      </c>
      <c r="E48" s="31"/>
      <c r="F48" s="31">
        <f>C48</f>
        <v>0.13</v>
      </c>
      <c r="G48" s="31">
        <f>G47*F48</f>
        <v>15.168949319680005</v>
      </c>
      <c r="H48" s="31">
        <f>G48-D48</f>
        <v>0.23098400000000119</v>
      </c>
      <c r="I48" s="32">
        <f>IF(ISERROR(H48/D48),0,(H48/D48))</f>
        <v>1.54628823308146E-2</v>
      </c>
      <c r="J48" s="32"/>
      <c r="K48" s="60">
        <f>G48/$G$51</f>
        <v>0.12380952380952381</v>
      </c>
    </row>
    <row r="49" spans="1:11" x14ac:dyDescent="0.2">
      <c r="A49" s="61" t="s">
        <v>107</v>
      </c>
      <c r="B49" s="29"/>
      <c r="C49" s="30"/>
      <c r="D49" s="30">
        <f>SUM(D47:D48)</f>
        <v>129.84539085568002</v>
      </c>
      <c r="E49" s="30"/>
      <c r="F49" s="30"/>
      <c r="G49" s="30">
        <f>SUM(G47:G48)</f>
        <v>131.85317485568004</v>
      </c>
      <c r="H49" s="30">
        <f>G49-D49</f>
        <v>2.0077840000000151</v>
      </c>
      <c r="I49" s="33">
        <f>IF(ISERROR(H49/D49),0,(H49/D49))</f>
        <v>1.5462882330814637E-2</v>
      </c>
      <c r="J49" s="33"/>
      <c r="K49" s="62">
        <f>G49/$G$51</f>
        <v>1.0761904761904761</v>
      </c>
    </row>
    <row r="50" spans="1:11" x14ac:dyDescent="0.2">
      <c r="A50" s="58" t="s">
        <v>104</v>
      </c>
      <c r="B50" s="59"/>
      <c r="C50" s="31">
        <v>-0.08</v>
      </c>
      <c r="D50" s="31">
        <f>D47*C50</f>
        <v>-9.1925940428800015</v>
      </c>
      <c r="E50" s="31"/>
      <c r="F50" s="31">
        <f>C50</f>
        <v>-0.08</v>
      </c>
      <c r="G50" s="31">
        <f>G47*F50</f>
        <v>-9.3347380428800033</v>
      </c>
      <c r="H50" s="31">
        <f>G50-D50</f>
        <v>-0.14214400000000182</v>
      </c>
      <c r="I50" s="32">
        <f>IF(ISERROR(H50/D50),0,(H50/D50))</f>
        <v>1.546288233081472E-2</v>
      </c>
      <c r="J50" s="32"/>
      <c r="K50" s="60">
        <f>G50/$G$51</f>
        <v>-7.6190476190476197E-2</v>
      </c>
    </row>
    <row r="51" spans="1:11" ht="13.5" thickBot="1" x14ac:dyDescent="0.25">
      <c r="A51" s="63" t="s">
        <v>116</v>
      </c>
      <c r="B51" s="64"/>
      <c r="C51" s="65"/>
      <c r="D51" s="65">
        <f>SUM(D49:D50)</f>
        <v>120.65279681280002</v>
      </c>
      <c r="E51" s="65"/>
      <c r="F51" s="65"/>
      <c r="G51" s="65">
        <f>SUM(G49:G50)</f>
        <v>122.51843681280003</v>
      </c>
      <c r="H51" s="65">
        <f>G51-D51</f>
        <v>1.8656400000000133</v>
      </c>
      <c r="I51" s="66">
        <f>IF(ISERROR(H51/D51),0,(H51/D51))</f>
        <v>1.5462882330814632E-2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1" tint="0.499984740745262"/>
    <pageSetUpPr fitToPage="1"/>
  </sheetPr>
  <dimension ref="A1:K68"/>
  <sheetViews>
    <sheetView tabSelected="1" view="pageBreakPreview" topLeftCell="A19" zoomScaleNormal="100" zoomScaleSheetLayoutView="100" workbookViewId="0">
      <selection activeCell="C3" sqref="C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120</v>
      </c>
      <c r="B1" s="188"/>
      <c r="C1" s="188"/>
      <c r="D1" s="188"/>
      <c r="E1" s="188"/>
      <c r="F1" s="188"/>
      <c r="G1" s="188"/>
      <c r="H1" s="188"/>
      <c r="I1" s="188"/>
      <c r="J1" s="188"/>
      <c r="K1" s="189"/>
    </row>
    <row r="3" spans="1:11" x14ac:dyDescent="0.2">
      <c r="A3" s="13" t="s">
        <v>13</v>
      </c>
      <c r="B3" s="13" t="s">
        <v>3</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5">
        <f>B4*B6</f>
        <v>1104</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0.24821899018711768</v>
      </c>
      <c r="K12" s="106"/>
    </row>
    <row r="13" spans="1:11" x14ac:dyDescent="0.2">
      <c r="A13" s="107" t="s">
        <v>32</v>
      </c>
      <c r="B13" s="73">
        <f>IF(B4&gt;B7,(B4)-B7,0)</f>
        <v>400</v>
      </c>
      <c r="C13" s="21">
        <v>0.121</v>
      </c>
      <c r="D13" s="22">
        <f>B13*C13</f>
        <v>48.4</v>
      </c>
      <c r="E13" s="73">
        <f t="shared" ref="E13" si="0">B13</f>
        <v>400</v>
      </c>
      <c r="F13" s="21">
        <f>C13</f>
        <v>0.121</v>
      </c>
      <c r="G13" s="22">
        <f>E13*F13</f>
        <v>48.4</v>
      </c>
      <c r="H13" s="22">
        <f t="shared" ref="H13:H46" si="1">G13-D13</f>
        <v>0</v>
      </c>
      <c r="I13" s="23">
        <f t="shared" ref="I13:I46" si="2">IF(ISERROR(H13/D13),0,(H13/D13))</f>
        <v>0</v>
      </c>
      <c r="J13" s="23">
        <f>G13/$G$46</f>
        <v>0.19439804409476533</v>
      </c>
      <c r="K13" s="108"/>
    </row>
    <row r="14" spans="1:11" s="1" customFormat="1" x14ac:dyDescent="0.2">
      <c r="A14" s="46" t="s">
        <v>33</v>
      </c>
      <c r="B14" s="24"/>
      <c r="C14" s="25"/>
      <c r="D14" s="25">
        <f>SUM(D12:D13)</f>
        <v>110.19999999999999</v>
      </c>
      <c r="E14" s="76"/>
      <c r="F14" s="25"/>
      <c r="G14" s="25">
        <f>SUM(G12:G13)</f>
        <v>110.19999999999999</v>
      </c>
      <c r="H14" s="25">
        <f t="shared" si="1"/>
        <v>0</v>
      </c>
      <c r="I14" s="27">
        <f t="shared" si="2"/>
        <v>0</v>
      </c>
      <c r="J14" s="27">
        <f>G14/$G$46</f>
        <v>0.44261703428188298</v>
      </c>
      <c r="K14" s="108"/>
    </row>
    <row r="15" spans="1:11" s="1" customFormat="1" x14ac:dyDescent="0.2">
      <c r="A15" s="109" t="s">
        <v>34</v>
      </c>
      <c r="B15" s="75">
        <f>B4*0.65</f>
        <v>650</v>
      </c>
      <c r="C15" s="28">
        <v>8.6999999999999994E-2</v>
      </c>
      <c r="D15" s="22">
        <f>B15*C15</f>
        <v>56.55</v>
      </c>
      <c r="E15" s="73">
        <f t="shared" ref="E15:F17" si="3">B15</f>
        <v>650</v>
      </c>
      <c r="F15" s="28">
        <f t="shared" si="3"/>
        <v>8.6999999999999994E-2</v>
      </c>
      <c r="G15" s="22">
        <f>E15*F15</f>
        <v>56.55</v>
      </c>
      <c r="H15" s="22">
        <f t="shared" si="1"/>
        <v>0</v>
      </c>
      <c r="I15" s="23">
        <f t="shared" si="2"/>
        <v>0</v>
      </c>
      <c r="J15" s="23"/>
      <c r="K15" s="108">
        <f t="shared" ref="K15:K26" si="4">G15/$G$51</f>
        <v>0.2269500368277905</v>
      </c>
    </row>
    <row r="16" spans="1:11" s="1" customFormat="1" x14ac:dyDescent="0.2">
      <c r="A16" s="109" t="s">
        <v>35</v>
      </c>
      <c r="B16" s="75">
        <f>B4*0.17</f>
        <v>170</v>
      </c>
      <c r="C16" s="28">
        <v>0.13200000000000001</v>
      </c>
      <c r="D16" s="22">
        <f>B16*C16</f>
        <v>22.44</v>
      </c>
      <c r="E16" s="73">
        <f t="shared" si="3"/>
        <v>170</v>
      </c>
      <c r="F16" s="28">
        <f t="shared" si="3"/>
        <v>0.13200000000000001</v>
      </c>
      <c r="G16" s="22">
        <f>E16*F16</f>
        <v>22.44</v>
      </c>
      <c r="H16" s="22">
        <f t="shared" si="1"/>
        <v>0</v>
      </c>
      <c r="I16" s="23">
        <f t="shared" si="2"/>
        <v>0</v>
      </c>
      <c r="J16" s="23"/>
      <c r="K16" s="108">
        <f t="shared" si="4"/>
        <v>9.0057627345987962E-2</v>
      </c>
    </row>
    <row r="17" spans="1:11" s="1" customFormat="1" x14ac:dyDescent="0.2">
      <c r="A17" s="109" t="s">
        <v>36</v>
      </c>
      <c r="B17" s="75">
        <f>B4*0.18</f>
        <v>180</v>
      </c>
      <c r="C17" s="28">
        <v>0.18</v>
      </c>
      <c r="D17" s="22">
        <f>B17*C17</f>
        <v>32.4</v>
      </c>
      <c r="E17" s="73">
        <f t="shared" si="3"/>
        <v>180</v>
      </c>
      <c r="F17" s="28">
        <f t="shared" si="3"/>
        <v>0.18</v>
      </c>
      <c r="G17" s="22">
        <f>E17*F17</f>
        <v>32.4</v>
      </c>
      <c r="H17" s="22">
        <f t="shared" si="1"/>
        <v>0</v>
      </c>
      <c r="I17" s="23">
        <f t="shared" si="2"/>
        <v>0</v>
      </c>
      <c r="J17" s="23"/>
      <c r="K17" s="108">
        <f t="shared" si="4"/>
        <v>0.13002972932308421</v>
      </c>
    </row>
    <row r="18" spans="1:11" s="1" customFormat="1" x14ac:dyDescent="0.2">
      <c r="A18" s="61" t="s">
        <v>37</v>
      </c>
      <c r="B18" s="29"/>
      <c r="C18" s="30"/>
      <c r="D18" s="30">
        <f>SUM(D15:D17)</f>
        <v>111.38999999999999</v>
      </c>
      <c r="E18" s="77"/>
      <c r="F18" s="30"/>
      <c r="G18" s="30">
        <f>SUM(G15:G17)</f>
        <v>111.38999999999999</v>
      </c>
      <c r="H18" s="31">
        <f t="shared" si="1"/>
        <v>0</v>
      </c>
      <c r="I18" s="32">
        <f t="shared" si="2"/>
        <v>0</v>
      </c>
      <c r="J18" s="33">
        <f t="shared" ref="J18:J26" si="5">G18/$G$46</f>
        <v>0.44739665561396502</v>
      </c>
      <c r="K18" s="62">
        <f t="shared" si="4"/>
        <v>0.44703739349686261</v>
      </c>
    </row>
    <row r="19" spans="1:11" x14ac:dyDescent="0.2">
      <c r="A19" s="107" t="s">
        <v>38</v>
      </c>
      <c r="B19" s="73">
        <v>1</v>
      </c>
      <c r="C19" s="78">
        <f>VLOOKUP($B$3,'Data for Bill Impacts'!$A$3:$Y$15,7,0)</f>
        <v>45.14</v>
      </c>
      <c r="D19" s="22">
        <f>B19*C19</f>
        <v>45.14</v>
      </c>
      <c r="E19" s="73">
        <f t="shared" ref="E19:E41" si="6">B19</f>
        <v>1</v>
      </c>
      <c r="F19" s="78">
        <f>VLOOKUP($B$3,'Data for Bill Impacts'!$A$3:$Y$15,17,0)</f>
        <v>50.12</v>
      </c>
      <c r="G19" s="22">
        <f>E19*F19</f>
        <v>50.12</v>
      </c>
      <c r="H19" s="22">
        <f t="shared" si="1"/>
        <v>4.9799999999999969</v>
      </c>
      <c r="I19" s="23">
        <f t="shared" si="2"/>
        <v>0.11032343819229058</v>
      </c>
      <c r="J19" s="23">
        <f t="shared" si="5"/>
        <v>0.20130640433945532</v>
      </c>
      <c r="K19" s="108">
        <f t="shared" si="4"/>
        <v>0.20114475412570929</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1000</v>
      </c>
      <c r="C23" s="78">
        <f>VLOOKUP($B$3,'Data for Bill Impacts'!$A$3:$Y$15,10,0)</f>
        <v>5.2999999999999999E-2</v>
      </c>
      <c r="D23" s="22">
        <f>B23*C23</f>
        <v>53</v>
      </c>
      <c r="E23" s="73">
        <f t="shared" si="6"/>
        <v>1000</v>
      </c>
      <c r="F23" s="78">
        <f>VLOOKUP($B$3,'Data for Bill Impacts'!$A$3:$Y$15,19,0)</f>
        <v>4.3900000000000002E-2</v>
      </c>
      <c r="G23" s="22">
        <f>E23*F23</f>
        <v>43.9</v>
      </c>
      <c r="H23" s="22">
        <f t="shared" si="1"/>
        <v>-9.1000000000000014</v>
      </c>
      <c r="I23" s="23">
        <f t="shared" si="2"/>
        <v>-0.17169811320754719</v>
      </c>
      <c r="J23" s="23">
        <f t="shared" si="5"/>
        <v>0.17632384578016935</v>
      </c>
      <c r="K23" s="108">
        <f t="shared" si="4"/>
        <v>0.17618225670627768</v>
      </c>
    </row>
    <row r="24" spans="1:11" x14ac:dyDescent="0.2">
      <c r="A24" s="107" t="s">
        <v>121</v>
      </c>
      <c r="B24" s="73">
        <f>IF($B$9="kWh",$B$4,$B$5)</f>
        <v>1000</v>
      </c>
      <c r="C24" s="126">
        <f>VLOOKUP($B$3,'Data for Bill Impacts'!$A$3:$Y$15,14,0)</f>
        <v>2.0000000000000001E-4</v>
      </c>
      <c r="D24" s="22">
        <f>B24*C24</f>
        <v>0.2</v>
      </c>
      <c r="E24" s="73">
        <f>B24</f>
        <v>1000</v>
      </c>
      <c r="F24" s="126">
        <f>VLOOKUP($B$3,'Data for Bill Impacts'!$A$3:$Y$15,23,0)</f>
        <v>2.0000000000000001E-4</v>
      </c>
      <c r="G24" s="22">
        <f>E24*F24</f>
        <v>0.2</v>
      </c>
      <c r="H24" s="22">
        <f>G24-D24</f>
        <v>0</v>
      </c>
      <c r="I24" s="23">
        <f>IF(ISERROR(H24/D24),0,(H24/D24))</f>
        <v>0</v>
      </c>
      <c r="J24" s="23">
        <f t="shared" si="5"/>
        <v>8.0329770287093107E-4</v>
      </c>
      <c r="K24" s="108">
        <f t="shared" si="4"/>
        <v>8.0265265014249523E-4</v>
      </c>
    </row>
    <row r="25" spans="1:11" s="1" customFormat="1" x14ac:dyDescent="0.2">
      <c r="A25" s="110" t="s">
        <v>72</v>
      </c>
      <c r="B25" s="74"/>
      <c r="C25" s="35"/>
      <c r="D25" s="35">
        <f>SUM(D19:D24)</f>
        <v>98.34</v>
      </c>
      <c r="E25" s="73"/>
      <c r="F25" s="35"/>
      <c r="G25" s="35">
        <f>SUM(G19:G24)</f>
        <v>94.22</v>
      </c>
      <c r="H25" s="35">
        <f t="shared" si="1"/>
        <v>-4.1200000000000045</v>
      </c>
      <c r="I25" s="36">
        <f t="shared" si="2"/>
        <v>-4.1895464714256703E-2</v>
      </c>
      <c r="J25" s="36">
        <f t="shared" si="5"/>
        <v>0.37843354782249561</v>
      </c>
      <c r="K25" s="111">
        <f t="shared" si="4"/>
        <v>0.37812966348212945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3.1730259263401781E-3</v>
      </c>
      <c r="K26" s="108">
        <f t="shared" si="4"/>
        <v>3.1704779680628561E-3</v>
      </c>
    </row>
    <row r="27" spans="1:11" s="1" customFormat="1" x14ac:dyDescent="0.2">
      <c r="A27" s="119" t="s">
        <v>75</v>
      </c>
      <c r="B27" s="120">
        <f>B8-B4</f>
        <v>104</v>
      </c>
      <c r="C27" s="121">
        <f>IF(B4&gt;B7,C13,C12)</f>
        <v>0.121</v>
      </c>
      <c r="D27" s="22">
        <f>B27*C27</f>
        <v>12.584</v>
      </c>
      <c r="E27" s="73">
        <f>B27</f>
        <v>104</v>
      </c>
      <c r="F27" s="121">
        <f>C27</f>
        <v>0.121</v>
      </c>
      <c r="G27" s="22">
        <f>E27*F27</f>
        <v>12.584</v>
      </c>
      <c r="H27" s="22">
        <f t="shared" si="1"/>
        <v>0</v>
      </c>
      <c r="I27" s="23">
        <f>IF(ISERROR(H27/D27),0,(H27/D27))</f>
        <v>0</v>
      </c>
      <c r="J27" s="23">
        <f t="shared" ref="J27:J46" si="9">G27/$G$46</f>
        <v>5.0543491464638983E-2</v>
      </c>
      <c r="K27" s="108">
        <f t="shared" ref="K27:K41" si="10">G27/$G$51</f>
        <v>5.0502904746965796E-2</v>
      </c>
    </row>
    <row r="28" spans="1:11" s="1" customFormat="1" x14ac:dyDescent="0.2">
      <c r="A28" s="119" t="s">
        <v>74</v>
      </c>
      <c r="B28" s="120">
        <f>B8-B4</f>
        <v>104</v>
      </c>
      <c r="C28" s="121">
        <f>0.65*C15+0.17*C16+0.18*C17</f>
        <v>0.11139</v>
      </c>
      <c r="D28" s="22">
        <f>B28*C28</f>
        <v>11.58456</v>
      </c>
      <c r="E28" s="73">
        <f>B28</f>
        <v>104</v>
      </c>
      <c r="F28" s="121">
        <f>C28</f>
        <v>0.11139</v>
      </c>
      <c r="G28" s="22">
        <f>E28*F28</f>
        <v>11.58456</v>
      </c>
      <c r="H28" s="22">
        <f t="shared" si="1"/>
        <v>0</v>
      </c>
      <c r="I28" s="23">
        <f>IF(ISERROR(H28/D28),0,(H28/D28))</f>
        <v>0</v>
      </c>
      <c r="J28" s="23">
        <f t="shared" si="9"/>
        <v>4.6529252183852364E-2</v>
      </c>
      <c r="K28" s="108">
        <f t="shared" si="10"/>
        <v>4.6491888923673716E-2</v>
      </c>
    </row>
    <row r="29" spans="1:11" s="1" customFormat="1" x14ac:dyDescent="0.2">
      <c r="A29" s="110" t="s">
        <v>78</v>
      </c>
      <c r="B29" s="74"/>
      <c r="C29" s="35"/>
      <c r="D29" s="35">
        <f>SUM(D25,D26:D27)</f>
        <v>111.71400000000001</v>
      </c>
      <c r="E29" s="73"/>
      <c r="F29" s="35"/>
      <c r="G29" s="35">
        <f>SUM(G25,G26:G27)</f>
        <v>107.59400000000001</v>
      </c>
      <c r="H29" s="35">
        <f t="shared" si="1"/>
        <v>-4.1200000000000045</v>
      </c>
      <c r="I29" s="36">
        <f>IF(ISERROR(H29/D29),0,(H29/D29))</f>
        <v>-3.6879889718388063E-2</v>
      </c>
      <c r="J29" s="36">
        <f t="shared" si="9"/>
        <v>0.43215006521347482</v>
      </c>
      <c r="K29" s="111">
        <f t="shared" si="10"/>
        <v>0.43180304619715815</v>
      </c>
    </row>
    <row r="30" spans="1:11" s="1" customFormat="1" x14ac:dyDescent="0.2">
      <c r="A30" s="110" t="s">
        <v>77</v>
      </c>
      <c r="B30" s="74"/>
      <c r="C30" s="35"/>
      <c r="D30" s="35">
        <f>SUM(D25,D26,D28)</f>
        <v>110.71456000000001</v>
      </c>
      <c r="E30" s="73"/>
      <c r="F30" s="35"/>
      <c r="G30" s="35">
        <f>SUM(G25,G26,G28)</f>
        <v>106.59456</v>
      </c>
      <c r="H30" s="35">
        <f t="shared" si="1"/>
        <v>-4.1200000000000045</v>
      </c>
      <c r="I30" s="36">
        <f>IF(ISERROR(H30/D30),0,(H30/D30))</f>
        <v>-3.7212811034068184E-2</v>
      </c>
      <c r="J30" s="36">
        <f t="shared" si="9"/>
        <v>0.42813582593268817</v>
      </c>
      <c r="K30" s="111">
        <f t="shared" si="10"/>
        <v>0.42779203037386604</v>
      </c>
    </row>
    <row r="31" spans="1:11" x14ac:dyDescent="0.2">
      <c r="A31" s="107" t="s">
        <v>40</v>
      </c>
      <c r="B31" s="73">
        <f>B8</f>
        <v>1104</v>
      </c>
      <c r="C31" s="126">
        <f>VLOOKUP($B$3,'Data for Bill Impacts'!$A$3:$Y$15,15,0)</f>
        <v>5.6559999999999996E-3</v>
      </c>
      <c r="D31" s="22">
        <f>B31*C31</f>
        <v>6.2442239999999991</v>
      </c>
      <c r="E31" s="73">
        <f t="shared" si="6"/>
        <v>1104</v>
      </c>
      <c r="F31" s="126">
        <f>VLOOKUP($B$3,'Data for Bill Impacts'!$A$3:$Y$15,24,0)</f>
        <v>5.6559999999999996E-3</v>
      </c>
      <c r="G31" s="22">
        <f>E31*F31</f>
        <v>6.2442239999999991</v>
      </c>
      <c r="H31" s="22">
        <f t="shared" si="1"/>
        <v>0</v>
      </c>
      <c r="I31" s="23">
        <f t="shared" si="2"/>
        <v>0</v>
      </c>
      <c r="J31" s="23">
        <f t="shared" si="9"/>
        <v>2.507985397705768E-2</v>
      </c>
      <c r="K31" s="108">
        <f t="shared" si="10"/>
        <v>2.5059714708416853E-2</v>
      </c>
    </row>
    <row r="32" spans="1:11" x14ac:dyDescent="0.2">
      <c r="A32" s="107" t="s">
        <v>41</v>
      </c>
      <c r="B32" s="73">
        <f>B8</f>
        <v>1104</v>
      </c>
      <c r="C32" s="126">
        <f>VLOOKUP($B$3,'Data for Bill Impacts'!$A$3:$Y$15,16,0)</f>
        <v>4.8209999999999998E-3</v>
      </c>
      <c r="D32" s="22">
        <f>B32*C32</f>
        <v>5.3223839999999996</v>
      </c>
      <c r="E32" s="73">
        <f t="shared" si="6"/>
        <v>1104</v>
      </c>
      <c r="F32" s="126">
        <f>VLOOKUP($B$3,'Data for Bill Impacts'!$A$3:$Y$15,25,0)</f>
        <v>4.8209999999999998E-3</v>
      </c>
      <c r="G32" s="22">
        <f>E32*F32</f>
        <v>5.3223839999999996</v>
      </c>
      <c r="H32" s="22">
        <f t="shared" si="1"/>
        <v>0</v>
      </c>
      <c r="I32" s="23">
        <f t="shared" si="2"/>
        <v>0</v>
      </c>
      <c r="J32" s="23">
        <f t="shared" si="9"/>
        <v>2.1377294204984985E-2</v>
      </c>
      <c r="K32" s="108">
        <f t="shared" si="10"/>
        <v>2.1360128113380068E-2</v>
      </c>
    </row>
    <row r="33" spans="1:11" s="1" customFormat="1" x14ac:dyDescent="0.2">
      <c r="A33" s="110" t="s">
        <v>76</v>
      </c>
      <c r="B33" s="74"/>
      <c r="C33" s="35"/>
      <c r="D33" s="35">
        <f>SUM(D31:D32)</f>
        <v>11.566607999999999</v>
      </c>
      <c r="E33" s="73"/>
      <c r="F33" s="35"/>
      <c r="G33" s="35">
        <f>SUM(G31:G32)</f>
        <v>11.566607999999999</v>
      </c>
      <c r="H33" s="35">
        <f t="shared" si="1"/>
        <v>0</v>
      </c>
      <c r="I33" s="36">
        <f t="shared" si="2"/>
        <v>0</v>
      </c>
      <c r="J33" s="36">
        <f t="shared" si="9"/>
        <v>4.6457148182042669E-2</v>
      </c>
      <c r="K33" s="111">
        <f t="shared" si="10"/>
        <v>4.6419842821796925E-2</v>
      </c>
    </row>
    <row r="34" spans="1:11" s="1" customFormat="1" x14ac:dyDescent="0.2">
      <c r="A34" s="110" t="s">
        <v>91</v>
      </c>
      <c r="B34" s="74"/>
      <c r="C34" s="35"/>
      <c r="D34" s="35">
        <f>D29+D33</f>
        <v>123.28060800000002</v>
      </c>
      <c r="E34" s="73"/>
      <c r="F34" s="35"/>
      <c r="G34" s="35">
        <f>G29+G33</f>
        <v>119.16060800000001</v>
      </c>
      <c r="H34" s="35">
        <f t="shared" si="1"/>
        <v>-4.1200000000000045</v>
      </c>
      <c r="I34" s="36">
        <f t="shared" si="2"/>
        <v>-3.3419692414236014E-2</v>
      </c>
      <c r="J34" s="36">
        <f t="shared" si="9"/>
        <v>0.47860721339551748</v>
      </c>
      <c r="K34" s="111">
        <f t="shared" si="10"/>
        <v>0.4782228890189551</v>
      </c>
    </row>
    <row r="35" spans="1:11" s="1" customFormat="1" x14ac:dyDescent="0.2">
      <c r="A35" s="110" t="s">
        <v>92</v>
      </c>
      <c r="B35" s="74"/>
      <c r="C35" s="35"/>
      <c r="D35" s="35">
        <f>D30+D33</f>
        <v>122.28116800000001</v>
      </c>
      <c r="E35" s="73"/>
      <c r="F35" s="35"/>
      <c r="G35" s="35">
        <f>G30+G33</f>
        <v>118.161168</v>
      </c>
      <c r="H35" s="35">
        <f t="shared" si="1"/>
        <v>-4.1200000000000045</v>
      </c>
      <c r="I35" s="36">
        <f t="shared" si="2"/>
        <v>-3.3692841403019674E-2</v>
      </c>
      <c r="J35" s="36">
        <f t="shared" si="9"/>
        <v>0.47459297411473084</v>
      </c>
      <c r="K35" s="111">
        <f t="shared" si="10"/>
        <v>0.47421187319566299</v>
      </c>
    </row>
    <row r="36" spans="1:11" x14ac:dyDescent="0.2">
      <c r="A36" s="107" t="s">
        <v>42</v>
      </c>
      <c r="B36" s="73">
        <f>B8</f>
        <v>1104</v>
      </c>
      <c r="C36" s="34">
        <v>3.5999999999999999E-3</v>
      </c>
      <c r="D36" s="22">
        <f>B36*C36</f>
        <v>3.9743999999999997</v>
      </c>
      <c r="E36" s="73">
        <f t="shared" si="6"/>
        <v>1104</v>
      </c>
      <c r="F36" s="34">
        <v>3.5999999999999999E-3</v>
      </c>
      <c r="G36" s="22">
        <f>E36*F36</f>
        <v>3.9743999999999997</v>
      </c>
      <c r="H36" s="22">
        <f t="shared" si="1"/>
        <v>0</v>
      </c>
      <c r="I36" s="23">
        <f t="shared" si="2"/>
        <v>0</v>
      </c>
      <c r="J36" s="23">
        <f t="shared" si="9"/>
        <v>1.5963131951451142E-2</v>
      </c>
      <c r="K36" s="108">
        <f t="shared" si="10"/>
        <v>1.5950313463631662E-2</v>
      </c>
    </row>
    <row r="37" spans="1:11" x14ac:dyDescent="0.2">
      <c r="A37" s="107" t="s">
        <v>43</v>
      </c>
      <c r="B37" s="73">
        <f>B8</f>
        <v>1104</v>
      </c>
      <c r="C37" s="34">
        <v>2.0999999999999999E-3</v>
      </c>
      <c r="D37" s="22">
        <f>B37*C37</f>
        <v>2.3184</v>
      </c>
      <c r="E37" s="73">
        <f t="shared" si="6"/>
        <v>1104</v>
      </c>
      <c r="F37" s="34">
        <v>2.0999999999999999E-3</v>
      </c>
      <c r="G37" s="22">
        <f>E37*F37</f>
        <v>2.3184</v>
      </c>
      <c r="H37" s="22">
        <f>G37-D37</f>
        <v>0</v>
      </c>
      <c r="I37" s="23">
        <f t="shared" si="2"/>
        <v>0</v>
      </c>
      <c r="J37" s="23">
        <f t="shared" si="9"/>
        <v>9.3118269716798326E-3</v>
      </c>
      <c r="K37" s="108">
        <f t="shared" si="10"/>
        <v>9.3043495204518031E-3</v>
      </c>
    </row>
    <row r="38" spans="1:11" x14ac:dyDescent="0.2">
      <c r="A38" s="107" t="s">
        <v>96</v>
      </c>
      <c r="B38" s="73">
        <f>B8</f>
        <v>1104</v>
      </c>
      <c r="C38" s="34">
        <v>1.1000000000000001E-3</v>
      </c>
      <c r="D38" s="22">
        <f>B38*C38</f>
        <v>1.2144000000000001</v>
      </c>
      <c r="E38" s="73">
        <f t="shared" si="6"/>
        <v>1104</v>
      </c>
      <c r="F38" s="34">
        <v>1.1000000000000001E-3</v>
      </c>
      <c r="G38" s="22">
        <f>E38*F38</f>
        <v>1.2144000000000001</v>
      </c>
      <c r="H38" s="22">
        <f>G38-D38</f>
        <v>0</v>
      </c>
      <c r="I38" s="23">
        <f t="shared" ref="I38" si="11">IF(ISERROR(H38/D38),0,(H38/D38))</f>
        <v>0</v>
      </c>
      <c r="J38" s="23">
        <f t="shared" ref="J38" si="12">G38/$G$46</f>
        <v>4.8776236518322941E-3</v>
      </c>
      <c r="K38" s="108">
        <f t="shared" ref="K38" si="13">G38/$G$51</f>
        <v>4.8737068916652315E-3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1.0041221285886639E-3</v>
      </c>
      <c r="K39" s="108">
        <f t="shared" si="10"/>
        <v>1.0033158126781189E-3</v>
      </c>
    </row>
    <row r="40" spans="1:11" s="1" customFormat="1" x14ac:dyDescent="0.2">
      <c r="A40" s="110" t="s">
        <v>45</v>
      </c>
      <c r="B40" s="74"/>
      <c r="C40" s="35"/>
      <c r="D40" s="35">
        <f>SUM(D36:D39)</f>
        <v>7.7572000000000001</v>
      </c>
      <c r="E40" s="73"/>
      <c r="F40" s="35"/>
      <c r="G40" s="35">
        <f>SUM(G36:G39)</f>
        <v>7.7572000000000001</v>
      </c>
      <c r="H40" s="35">
        <f t="shared" si="1"/>
        <v>0</v>
      </c>
      <c r="I40" s="36">
        <f t="shared" si="2"/>
        <v>0</v>
      </c>
      <c r="J40" s="36">
        <f t="shared" si="9"/>
        <v>3.1156704703551932E-2</v>
      </c>
      <c r="K40" s="111">
        <f t="shared" si="10"/>
        <v>3.1131685688426818E-2</v>
      </c>
    </row>
    <row r="41" spans="1:11" s="1" customFormat="1" ht="13.5" thickBot="1" x14ac:dyDescent="0.25">
      <c r="A41" s="112" t="s">
        <v>46</v>
      </c>
      <c r="B41" s="113">
        <f>B4</f>
        <v>1000</v>
      </c>
      <c r="C41" s="114">
        <v>0</v>
      </c>
      <c r="D41" s="115">
        <f>B41*C41</f>
        <v>0</v>
      </c>
      <c r="E41" s="116">
        <f t="shared" si="6"/>
        <v>1000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241.237808</v>
      </c>
      <c r="E42" s="38"/>
      <c r="F42" s="39"/>
      <c r="G42" s="39">
        <f>SUM(G14,G25,G26,G27,G33,G40,G41)</f>
        <v>237.117808</v>
      </c>
      <c r="H42" s="39">
        <f t="shared" si="1"/>
        <v>-4.1200000000000045</v>
      </c>
      <c r="I42" s="40">
        <f>IF(ISERROR(H42/D42),0,(H42/D42))</f>
        <v>-1.7078583303990244E-2</v>
      </c>
      <c r="J42" s="40">
        <f t="shared" si="9"/>
        <v>0.95238095238095244</v>
      </c>
      <c r="K42" s="41"/>
    </row>
    <row r="43" spans="1:11" x14ac:dyDescent="0.2">
      <c r="A43" s="154" t="s">
        <v>102</v>
      </c>
      <c r="B43" s="43"/>
      <c r="C43" s="26">
        <v>0.13</v>
      </c>
      <c r="D43" s="26">
        <f>D42*C43</f>
        <v>31.360915040000002</v>
      </c>
      <c r="E43" s="26"/>
      <c r="F43" s="26">
        <f>C43</f>
        <v>0.13</v>
      </c>
      <c r="G43" s="26">
        <f>G42*F43</f>
        <v>30.82531504</v>
      </c>
      <c r="H43" s="26">
        <f t="shared" si="1"/>
        <v>-0.5356000000000023</v>
      </c>
      <c r="I43" s="44">
        <f t="shared" si="2"/>
        <v>-1.70785833039903E-2</v>
      </c>
      <c r="J43" s="44">
        <f t="shared" si="9"/>
        <v>0.12380952380952381</v>
      </c>
      <c r="K43" s="45"/>
    </row>
    <row r="44" spans="1:11" s="1" customFormat="1" x14ac:dyDescent="0.2">
      <c r="A44" s="46" t="s">
        <v>103</v>
      </c>
      <c r="B44" s="24"/>
      <c r="C44" s="25"/>
      <c r="D44" s="25">
        <f>SUM(D42:D43)</f>
        <v>272.59872303999998</v>
      </c>
      <c r="E44" s="25"/>
      <c r="F44" s="25"/>
      <c r="G44" s="25">
        <f>SUM(G42:G43)</f>
        <v>267.94312303999999</v>
      </c>
      <c r="H44" s="25">
        <f t="shared" si="1"/>
        <v>-4.6555999999999926</v>
      </c>
      <c r="I44" s="27">
        <f t="shared" si="2"/>
        <v>-1.7078583303990202E-2</v>
      </c>
      <c r="J44" s="27">
        <f t="shared" si="9"/>
        <v>1.0761904761904761</v>
      </c>
      <c r="K44" s="47"/>
    </row>
    <row r="45" spans="1:11" x14ac:dyDescent="0.2">
      <c r="A45" s="42" t="s">
        <v>104</v>
      </c>
      <c r="B45" s="43"/>
      <c r="C45" s="26">
        <v>-0.08</v>
      </c>
      <c r="D45" s="26">
        <f>D42*C45</f>
        <v>-19.299024639999999</v>
      </c>
      <c r="E45" s="26"/>
      <c r="F45" s="26">
        <f>C45</f>
        <v>-0.08</v>
      </c>
      <c r="G45" s="26">
        <f>G42*F45</f>
        <v>-18.96942464</v>
      </c>
      <c r="H45" s="26">
        <f t="shared" si="1"/>
        <v>0.32959999999999923</v>
      </c>
      <c r="I45" s="44">
        <f t="shared" si="2"/>
        <v>-1.7078583303990189E-2</v>
      </c>
      <c r="J45" s="44">
        <f t="shared" si="9"/>
        <v>-7.6190476190476197E-2</v>
      </c>
      <c r="K45" s="45"/>
    </row>
    <row r="46" spans="1:11" s="1" customFormat="1" ht="13.5" thickBot="1" x14ac:dyDescent="0.25">
      <c r="A46" s="48" t="s">
        <v>105</v>
      </c>
      <c r="B46" s="49"/>
      <c r="C46" s="50"/>
      <c r="D46" s="50">
        <f>SUM(D44:D45)</f>
        <v>253.29969839999998</v>
      </c>
      <c r="E46" s="50"/>
      <c r="F46" s="50"/>
      <c r="G46" s="50">
        <f>SUM(G44:G45)</f>
        <v>248.97369839999999</v>
      </c>
      <c r="H46" s="50">
        <f t="shared" si="1"/>
        <v>-4.3259999999999934</v>
      </c>
      <c r="I46" s="51">
        <f t="shared" si="2"/>
        <v>-1.7078583303990202E-2</v>
      </c>
      <c r="J46" s="51">
        <f t="shared" si="9"/>
        <v>1</v>
      </c>
      <c r="K46" s="52"/>
    </row>
    <row r="47" spans="1:11" x14ac:dyDescent="0.2">
      <c r="A47" s="53" t="s">
        <v>106</v>
      </c>
      <c r="B47" s="54"/>
      <c r="C47" s="55"/>
      <c r="D47" s="55">
        <f>SUM(D18,D25,D26,D28,D33,D40,D41)</f>
        <v>241.42836800000001</v>
      </c>
      <c r="E47" s="55"/>
      <c r="F47" s="55"/>
      <c r="G47" s="55">
        <f>SUM(G18,G25,G26,G28,G33,G40,G41)</f>
        <v>237.308368</v>
      </c>
      <c r="H47" s="55">
        <f>G47-D47</f>
        <v>-4.1200000000000045</v>
      </c>
      <c r="I47" s="56">
        <f>IF(ISERROR(H47/D47),0,(H47/D47))</f>
        <v>-1.7065103136512959E-2</v>
      </c>
      <c r="J47" s="56"/>
      <c r="K47" s="57">
        <f>G47/$G$51</f>
        <v>0.95238095238095244</v>
      </c>
    </row>
    <row r="48" spans="1:11" x14ac:dyDescent="0.2">
      <c r="A48" s="58" t="s">
        <v>102</v>
      </c>
      <c r="B48" s="59"/>
      <c r="C48" s="31">
        <v>0.13</v>
      </c>
      <c r="D48" s="31">
        <f>D47*C48</f>
        <v>31.385687840000003</v>
      </c>
      <c r="E48" s="31"/>
      <c r="F48" s="31">
        <f>C48</f>
        <v>0.13</v>
      </c>
      <c r="G48" s="31">
        <f>G47*F48</f>
        <v>30.85008784</v>
      </c>
      <c r="H48" s="31">
        <f>G48-D48</f>
        <v>-0.5356000000000023</v>
      </c>
      <c r="I48" s="32">
        <f>IF(ISERROR(H48/D48),0,(H48/D48))</f>
        <v>-1.7065103136513011E-2</v>
      </c>
      <c r="J48" s="32"/>
      <c r="K48" s="60">
        <f>G48/$G$51</f>
        <v>0.12380952380952381</v>
      </c>
    </row>
    <row r="49" spans="1:11" x14ac:dyDescent="0.2">
      <c r="A49" s="150" t="s">
        <v>107</v>
      </c>
      <c r="B49" s="29"/>
      <c r="C49" s="30"/>
      <c r="D49" s="30">
        <f>SUM(D47:D48)</f>
        <v>272.81405584000004</v>
      </c>
      <c r="E49" s="30"/>
      <c r="F49" s="30"/>
      <c r="G49" s="30">
        <f>SUM(G47:G48)</f>
        <v>268.15845583999999</v>
      </c>
      <c r="H49" s="30">
        <f>G49-D49</f>
        <v>-4.6556000000000495</v>
      </c>
      <c r="I49" s="33">
        <f>IF(ISERROR(H49/D49),0,(H49/D49))</f>
        <v>-1.7065103136513118E-2</v>
      </c>
      <c r="J49" s="33"/>
      <c r="K49" s="62">
        <f>G49/$G$51</f>
        <v>1.0761904761904761</v>
      </c>
    </row>
    <row r="50" spans="1:11" x14ac:dyDescent="0.2">
      <c r="A50" s="58" t="s">
        <v>104</v>
      </c>
      <c r="B50" s="59"/>
      <c r="C50" s="31">
        <v>-0.08</v>
      </c>
      <c r="D50" s="31">
        <f>D47*C50</f>
        <v>-19.31426944</v>
      </c>
      <c r="E50" s="31"/>
      <c r="F50" s="31">
        <f>C50</f>
        <v>-0.08</v>
      </c>
      <c r="G50" s="31">
        <f>G47*F50</f>
        <v>-18.984669440000001</v>
      </c>
      <c r="H50" s="31">
        <f>G50-D50</f>
        <v>0.32959999999999923</v>
      </c>
      <c r="I50" s="32">
        <f>IF(ISERROR(H50/D50),0,(H50/D50))</f>
        <v>-1.70651031365129E-2</v>
      </c>
      <c r="J50" s="32"/>
      <c r="K50" s="60">
        <f>G50/$G$51</f>
        <v>-7.6190476190476197E-2</v>
      </c>
    </row>
    <row r="51" spans="1:11" ht="13.5" thickBot="1" x14ac:dyDescent="0.25">
      <c r="A51" s="63" t="s">
        <v>116</v>
      </c>
      <c r="B51" s="64"/>
      <c r="C51" s="65"/>
      <c r="D51" s="65">
        <f>SUM(D49:D50)</f>
        <v>253.49978640000003</v>
      </c>
      <c r="E51" s="65"/>
      <c r="F51" s="65"/>
      <c r="G51" s="65">
        <f>SUM(G49:G50)</f>
        <v>249.17378639999998</v>
      </c>
      <c r="H51" s="65">
        <f>G51-D51</f>
        <v>-4.3260000000000502</v>
      </c>
      <c r="I51" s="66">
        <f>IF(ISERROR(H51/D51),0,(H51/D51))</f>
        <v>-1.7065103136513136E-2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1" tint="0.499984740745262"/>
    <pageSetUpPr fitToPage="1"/>
  </sheetPr>
  <dimension ref="A1:K68"/>
  <sheetViews>
    <sheetView tabSelected="1" view="pageBreakPreview" topLeftCell="A19"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117</v>
      </c>
      <c r="B1" s="188"/>
      <c r="C1" s="188"/>
      <c r="D1" s="188"/>
      <c r="E1" s="188"/>
      <c r="F1" s="188"/>
      <c r="G1" s="188"/>
      <c r="H1" s="188"/>
      <c r="I1" s="188"/>
      <c r="J1" s="188"/>
      <c r="K1" s="189"/>
    </row>
    <row r="3" spans="1:11" x14ac:dyDescent="0.2">
      <c r="A3" s="13" t="s">
        <v>13</v>
      </c>
      <c r="B3" s="13" t="s">
        <v>6</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1067</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0.37213410618896003</v>
      </c>
      <c r="K12" s="106"/>
    </row>
    <row r="13" spans="1:11" x14ac:dyDescent="0.2">
      <c r="A13" s="107" t="s">
        <v>32</v>
      </c>
      <c r="B13" s="73">
        <f>IF(B4&gt;B7,(B4)-B7,0)</f>
        <v>250</v>
      </c>
      <c r="C13" s="21">
        <v>0.121</v>
      </c>
      <c r="D13" s="22">
        <f>B13*C13</f>
        <v>30.25</v>
      </c>
      <c r="E13" s="73">
        <f t="shared" ref="E13" si="0">B13</f>
        <v>250</v>
      </c>
      <c r="F13" s="21">
        <f>C13</f>
        <v>0.121</v>
      </c>
      <c r="G13" s="22">
        <f>E13*F13</f>
        <v>30.25</v>
      </c>
      <c r="H13" s="22">
        <f t="shared" ref="H13:H46" si="1">G13-D13</f>
        <v>0</v>
      </c>
      <c r="I13" s="23">
        <f t="shared" ref="I13:I46" si="2">IF(ISERROR(H13/D13),0,(H13/D13))</f>
        <v>0</v>
      </c>
      <c r="J13" s="23">
        <f>G13/$G$46</f>
        <v>0.14572241698661542</v>
      </c>
      <c r="K13" s="108"/>
    </row>
    <row r="14" spans="1:11" s="1" customFormat="1" x14ac:dyDescent="0.2">
      <c r="A14" s="46" t="s">
        <v>33</v>
      </c>
      <c r="B14" s="24"/>
      <c r="C14" s="25"/>
      <c r="D14" s="25">
        <f>SUM(D12:D13)</f>
        <v>107.5</v>
      </c>
      <c r="E14" s="76"/>
      <c r="F14" s="25"/>
      <c r="G14" s="25">
        <f>SUM(G12:G13)</f>
        <v>107.5</v>
      </c>
      <c r="H14" s="25">
        <f t="shared" si="1"/>
        <v>0</v>
      </c>
      <c r="I14" s="27">
        <f t="shared" si="2"/>
        <v>0</v>
      </c>
      <c r="J14" s="27">
        <f>G14/$G$46</f>
        <v>0.51785652317557551</v>
      </c>
      <c r="K14" s="108"/>
    </row>
    <row r="15" spans="1:11" s="1" customFormat="1" x14ac:dyDescent="0.2">
      <c r="A15" s="109" t="s">
        <v>34</v>
      </c>
      <c r="B15" s="75">
        <f>B4*0.65</f>
        <v>650</v>
      </c>
      <c r="C15" s="28">
        <v>8.6999999999999994E-2</v>
      </c>
      <c r="D15" s="22">
        <f>B15*C15</f>
        <v>56.55</v>
      </c>
      <c r="E15" s="73">
        <f t="shared" ref="E15:F17" si="3">B15</f>
        <v>650</v>
      </c>
      <c r="F15" s="28">
        <f t="shared" si="3"/>
        <v>8.6999999999999994E-2</v>
      </c>
      <c r="G15" s="22">
        <f>E15*F15</f>
        <v>56.55</v>
      </c>
      <c r="H15" s="22">
        <f t="shared" si="1"/>
        <v>0</v>
      </c>
      <c r="I15" s="23">
        <f t="shared" si="2"/>
        <v>0</v>
      </c>
      <c r="J15" s="23"/>
      <c r="K15" s="108">
        <f t="shared" ref="K15:K26" si="4">G15/$G$51</f>
        <v>0.26801596719982773</v>
      </c>
    </row>
    <row r="16" spans="1:11" s="1" customFormat="1" x14ac:dyDescent="0.2">
      <c r="A16" s="109" t="s">
        <v>35</v>
      </c>
      <c r="B16" s="75">
        <f>B4*0.17</f>
        <v>170</v>
      </c>
      <c r="C16" s="28">
        <v>0.13200000000000001</v>
      </c>
      <c r="D16" s="22">
        <f>B16*C16</f>
        <v>22.44</v>
      </c>
      <c r="E16" s="73">
        <f t="shared" si="3"/>
        <v>170</v>
      </c>
      <c r="F16" s="28">
        <f t="shared" si="3"/>
        <v>0.13200000000000001</v>
      </c>
      <c r="G16" s="22">
        <f>E16*F16</f>
        <v>22.44</v>
      </c>
      <c r="H16" s="22">
        <f t="shared" si="1"/>
        <v>0</v>
      </c>
      <c r="I16" s="23">
        <f t="shared" si="2"/>
        <v>0</v>
      </c>
      <c r="J16" s="23"/>
      <c r="K16" s="108">
        <f t="shared" si="4"/>
        <v>0.10635328565807489</v>
      </c>
    </row>
    <row r="17" spans="1:11" s="1" customFormat="1" x14ac:dyDescent="0.2">
      <c r="A17" s="109" t="s">
        <v>36</v>
      </c>
      <c r="B17" s="75">
        <f>B4*0.18</f>
        <v>180</v>
      </c>
      <c r="C17" s="28">
        <v>0.18</v>
      </c>
      <c r="D17" s="22">
        <f>B17*C17</f>
        <v>32.4</v>
      </c>
      <c r="E17" s="73">
        <f t="shared" si="3"/>
        <v>180</v>
      </c>
      <c r="F17" s="28">
        <f t="shared" si="3"/>
        <v>0.18</v>
      </c>
      <c r="G17" s="22">
        <f>E17*F17</f>
        <v>32.4</v>
      </c>
      <c r="H17" s="22">
        <f t="shared" si="1"/>
        <v>0</v>
      </c>
      <c r="I17" s="23">
        <f t="shared" si="2"/>
        <v>0</v>
      </c>
      <c r="J17" s="23"/>
      <c r="K17" s="108">
        <f t="shared" si="4"/>
        <v>0.15355821993411881</v>
      </c>
    </row>
    <row r="18" spans="1:11" s="1" customFormat="1" x14ac:dyDescent="0.2">
      <c r="A18" s="61" t="s">
        <v>37</v>
      </c>
      <c r="B18" s="29"/>
      <c r="C18" s="30"/>
      <c r="D18" s="30">
        <f>SUM(D15:D17)</f>
        <v>111.38999999999999</v>
      </c>
      <c r="E18" s="77"/>
      <c r="F18" s="30"/>
      <c r="G18" s="30">
        <f>SUM(G15:G17)</f>
        <v>111.38999999999999</v>
      </c>
      <c r="H18" s="31">
        <f t="shared" si="1"/>
        <v>0</v>
      </c>
      <c r="I18" s="32">
        <f t="shared" si="2"/>
        <v>0</v>
      </c>
      <c r="J18" s="33">
        <f t="shared" ref="J18:J23" si="5">G18/$G$46</f>
        <v>0.53659570340955665</v>
      </c>
      <c r="K18" s="62">
        <f t="shared" si="4"/>
        <v>0.52792747279202135</v>
      </c>
    </row>
    <row r="19" spans="1:11" x14ac:dyDescent="0.2">
      <c r="A19" s="107" t="s">
        <v>38</v>
      </c>
      <c r="B19" s="73">
        <v>1</v>
      </c>
      <c r="C19" s="78">
        <f>VLOOKUP($B$3,'Data for Bill Impacts'!$A$3:$Y$15,7,0)</f>
        <v>24.52</v>
      </c>
      <c r="D19" s="22">
        <f>B19*C19</f>
        <v>24.52</v>
      </c>
      <c r="E19" s="73">
        <f t="shared" ref="E19:E41" si="6">B19</f>
        <v>1</v>
      </c>
      <c r="F19" s="78">
        <f>VLOOKUP($B$3,'Data for Bill Impacts'!$A$3:$Y$15,17,0)</f>
        <v>25.11</v>
      </c>
      <c r="G19" s="22">
        <f>E19*F19</f>
        <v>25.11</v>
      </c>
      <c r="H19" s="22">
        <f t="shared" si="1"/>
        <v>0.58999999999999986</v>
      </c>
      <c r="I19" s="23">
        <f t="shared" si="2"/>
        <v>2.4061990212071772E-2</v>
      </c>
      <c r="J19" s="23">
        <f t="shared" si="5"/>
        <v>0.12096164927384837</v>
      </c>
      <c r="K19" s="108">
        <f t="shared" si="4"/>
        <v>0.11900762044894209</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110</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4.8172699830286087E-5</v>
      </c>
      <c r="K22" s="108">
        <f t="shared" si="4"/>
        <v>4.7394512325345316E-5</v>
      </c>
    </row>
    <row r="23" spans="1:11" x14ac:dyDescent="0.2">
      <c r="A23" s="107" t="s">
        <v>39</v>
      </c>
      <c r="B23" s="73">
        <f>IF($B$9="kWh",$B$4,$B$5)</f>
        <v>1000</v>
      </c>
      <c r="C23" s="78">
        <f>VLOOKUP($B$3,'Data for Bill Impacts'!$A$3:$Y$15,10,0)</f>
        <v>2.9000000000000001E-2</v>
      </c>
      <c r="D23" s="22">
        <f>B23*C23</f>
        <v>29</v>
      </c>
      <c r="E23" s="73">
        <f t="shared" si="6"/>
        <v>1000</v>
      </c>
      <c r="F23" s="78">
        <f>VLOOKUP($B$3,'Data for Bill Impacts'!$A$3:$Y$15,19,0)</f>
        <v>0.03</v>
      </c>
      <c r="G23" s="22">
        <f>E23*F23</f>
        <v>30</v>
      </c>
      <c r="H23" s="22">
        <f t="shared" si="1"/>
        <v>1</v>
      </c>
      <c r="I23" s="23">
        <f t="shared" si="2"/>
        <v>3.4482758620689655E-2</v>
      </c>
      <c r="J23" s="23">
        <f t="shared" si="5"/>
        <v>0.14451809949085825</v>
      </c>
      <c r="K23" s="108">
        <f t="shared" si="4"/>
        <v>0.14218353697603595</v>
      </c>
    </row>
    <row r="24" spans="1:11" x14ac:dyDescent="0.2">
      <c r="A24" s="107" t="s">
        <v>121</v>
      </c>
      <c r="B24" s="73">
        <f>IF($B$9="kWh",$B$4,$B$5)</f>
        <v>1000</v>
      </c>
      <c r="C24" s="126">
        <f>VLOOKUP($B$3,'Data for Bill Impacts'!$A$3:$Y$15,14,0)</f>
        <v>2.0000000000000001E-4</v>
      </c>
      <c r="D24" s="22">
        <f>B24*C24</f>
        <v>0.2</v>
      </c>
      <c r="E24" s="73">
        <f t="shared" si="6"/>
        <v>1000</v>
      </c>
      <c r="F24" s="126">
        <f>VLOOKUP($B$3,'Data for Bill Impacts'!$A$3:$Y$15,23,0)</f>
        <v>2.0000000000000001E-4</v>
      </c>
      <c r="G24" s="22">
        <f>E24*F24</f>
        <v>0.2</v>
      </c>
      <c r="H24" s="22">
        <f t="shared" si="1"/>
        <v>0</v>
      </c>
      <c r="I24" s="23">
        <f>IF(ISERROR(H24/D24),0,(H24/D24))</f>
        <v>0</v>
      </c>
      <c r="J24" s="23">
        <f t="shared" ref="J24" si="9">G24/$G$46</f>
        <v>9.6345399660572185E-4</v>
      </c>
      <c r="K24" s="108">
        <f t="shared" si="4"/>
        <v>9.4789024650690631E-4</v>
      </c>
    </row>
    <row r="25" spans="1:11" s="1" customFormat="1" x14ac:dyDescent="0.2">
      <c r="A25" s="110" t="s">
        <v>72</v>
      </c>
      <c r="B25" s="74"/>
      <c r="C25" s="35"/>
      <c r="D25" s="35">
        <f>SUM(D19:D24)</f>
        <v>53.730000000000004</v>
      </c>
      <c r="E25" s="73"/>
      <c r="F25" s="35"/>
      <c r="G25" s="35">
        <f>SUM(G19:G24)</f>
        <v>55.320000000000007</v>
      </c>
      <c r="H25" s="35">
        <f t="shared" si="1"/>
        <v>1.5900000000000034</v>
      </c>
      <c r="I25" s="36">
        <f t="shared" si="2"/>
        <v>2.9592406476828648E-2</v>
      </c>
      <c r="J25" s="36">
        <f>G25/$G$46</f>
        <v>0.26649137546114265</v>
      </c>
      <c r="K25" s="111">
        <f t="shared" si="4"/>
        <v>0.26218644218381032</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3.8056432865926013E-3</v>
      </c>
      <c r="K26" s="108">
        <f t="shared" si="4"/>
        <v>3.7441664737022803E-3</v>
      </c>
    </row>
    <row r="27" spans="1:11" s="1" customFormat="1" x14ac:dyDescent="0.2">
      <c r="A27" s="119" t="s">
        <v>75</v>
      </c>
      <c r="B27" s="120">
        <f>B8-B4</f>
        <v>67</v>
      </c>
      <c r="C27" s="121">
        <f>IF(B4&gt;B7,C13,C12)</f>
        <v>0.121</v>
      </c>
      <c r="D27" s="22">
        <f>B27*C27</f>
        <v>8.1069999999999993</v>
      </c>
      <c r="E27" s="73">
        <f>B27</f>
        <v>67</v>
      </c>
      <c r="F27" s="121">
        <f>C27</f>
        <v>0.121</v>
      </c>
      <c r="G27" s="22">
        <f>E27*F27</f>
        <v>8.1069999999999993</v>
      </c>
      <c r="H27" s="22">
        <f t="shared" si="1"/>
        <v>0</v>
      </c>
      <c r="I27" s="23">
        <f>IF(ISERROR(H27/D27),0,(H27/D27))</f>
        <v>0</v>
      </c>
      <c r="J27" s="23">
        <f t="shared" ref="J27:J46" si="10">G27/$G$46</f>
        <v>3.9053607752412928E-2</v>
      </c>
      <c r="K27" s="108">
        <f t="shared" ref="K27:K41" si="11">G27/$G$51</f>
        <v>3.842273114215744E-2</v>
      </c>
    </row>
    <row r="28" spans="1:11" s="1" customFormat="1" x14ac:dyDescent="0.2">
      <c r="A28" s="119" t="s">
        <v>74</v>
      </c>
      <c r="B28" s="120">
        <f>B8-B4</f>
        <v>67</v>
      </c>
      <c r="C28" s="121">
        <f>0.65*C15+0.17*C16+0.18*C17</f>
        <v>0.11139</v>
      </c>
      <c r="D28" s="22">
        <f>B28*C28</f>
        <v>7.4631300000000005</v>
      </c>
      <c r="E28" s="73">
        <f>B28</f>
        <v>67</v>
      </c>
      <c r="F28" s="121">
        <f>C28</f>
        <v>0.11139</v>
      </c>
      <c r="G28" s="22">
        <f>E28*F28</f>
        <v>7.4631300000000005</v>
      </c>
      <c r="H28" s="22">
        <f t="shared" si="1"/>
        <v>0</v>
      </c>
      <c r="I28" s="23">
        <f>IF(ISERROR(H28/D28),0,(H28/D28))</f>
        <v>0</v>
      </c>
      <c r="J28" s="23">
        <f t="shared" si="10"/>
        <v>3.5951912128440303E-2</v>
      </c>
      <c r="K28" s="108">
        <f t="shared" si="11"/>
        <v>3.5371140677065441E-2</v>
      </c>
    </row>
    <row r="29" spans="1:11" s="1" customFormat="1" x14ac:dyDescent="0.2">
      <c r="A29" s="110" t="s">
        <v>78</v>
      </c>
      <c r="B29" s="74"/>
      <c r="C29" s="35"/>
      <c r="D29" s="35">
        <f>SUM(D25,D26:D27)</f>
        <v>62.627000000000002</v>
      </c>
      <c r="E29" s="73"/>
      <c r="F29" s="35"/>
      <c r="G29" s="35">
        <f>SUM(G25,G26:G27)</f>
        <v>64.217000000000013</v>
      </c>
      <c r="H29" s="35">
        <f t="shared" si="1"/>
        <v>1.5900000000000105</v>
      </c>
      <c r="I29" s="36">
        <f>IF(ISERROR(H29/D29),0,(H29/D29))</f>
        <v>2.5388410749357472E-2</v>
      </c>
      <c r="J29" s="36">
        <f t="shared" si="10"/>
        <v>0.30935062650014822</v>
      </c>
      <c r="K29" s="111">
        <f t="shared" si="11"/>
        <v>0.30435333979967005</v>
      </c>
    </row>
    <row r="30" spans="1:11" s="1" customFormat="1" x14ac:dyDescent="0.2">
      <c r="A30" s="110" t="s">
        <v>77</v>
      </c>
      <c r="B30" s="74"/>
      <c r="C30" s="35"/>
      <c r="D30" s="35">
        <f>SUM(D25,D26,D28)</f>
        <v>61.983130000000003</v>
      </c>
      <c r="E30" s="73"/>
      <c r="F30" s="35"/>
      <c r="G30" s="35">
        <f>SUM(G25,G26,G28)</f>
        <v>63.573130000000006</v>
      </c>
      <c r="H30" s="35">
        <f t="shared" si="1"/>
        <v>1.5900000000000034</v>
      </c>
      <c r="I30" s="36">
        <f>IF(ISERROR(H30/D30),0,(H30/D30))</f>
        <v>2.5652141155182117E-2</v>
      </c>
      <c r="J30" s="36">
        <f t="shared" si="10"/>
        <v>0.30624893087617555</v>
      </c>
      <c r="K30" s="111">
        <f t="shared" si="11"/>
        <v>0.30130174933457804</v>
      </c>
    </row>
    <row r="31" spans="1:11" x14ac:dyDescent="0.2">
      <c r="A31" s="107" t="s">
        <v>40</v>
      </c>
      <c r="B31" s="73">
        <f>B8</f>
        <v>1067</v>
      </c>
      <c r="C31" s="126">
        <f>VLOOKUP($B$3,'Data for Bill Impacts'!$A$3:$Y$15,15,0)</f>
        <v>6.1060000000000003E-3</v>
      </c>
      <c r="D31" s="22">
        <f>B31*C31</f>
        <v>6.5151020000000006</v>
      </c>
      <c r="E31" s="73">
        <f t="shared" si="6"/>
        <v>1067</v>
      </c>
      <c r="F31" s="126">
        <f>VLOOKUP($B$3,'Data for Bill Impacts'!$A$3:$Y$15,24,0)</f>
        <v>6.1060000000000003E-3</v>
      </c>
      <c r="G31" s="22">
        <f>E31*F31</f>
        <v>6.5151020000000006</v>
      </c>
      <c r="H31" s="22">
        <f t="shared" si="1"/>
        <v>0</v>
      </c>
      <c r="I31" s="23">
        <f t="shared" si="2"/>
        <v>0</v>
      </c>
      <c r="J31" s="23">
        <f t="shared" si="10"/>
        <v>3.1385005300969659E-2</v>
      </c>
      <c r="K31" s="108">
        <f t="shared" si="11"/>
        <v>3.0878008203988193E-2</v>
      </c>
    </row>
    <row r="32" spans="1:11" x14ac:dyDescent="0.2">
      <c r="A32" s="107" t="s">
        <v>41</v>
      </c>
      <c r="B32" s="73">
        <f>B8</f>
        <v>1067</v>
      </c>
      <c r="C32" s="126">
        <f>VLOOKUP($B$3,'Data for Bill Impacts'!$A$3:$Y$15,16,0)</f>
        <v>4.6519999999999999E-3</v>
      </c>
      <c r="D32" s="22">
        <f>B32*C32</f>
        <v>4.9636839999999998</v>
      </c>
      <c r="E32" s="73">
        <f t="shared" si="6"/>
        <v>1067</v>
      </c>
      <c r="F32" s="126">
        <f>VLOOKUP($B$3,'Data for Bill Impacts'!$A$3:$Y$15,25,0)</f>
        <v>4.6519999999999999E-3</v>
      </c>
      <c r="G32" s="22">
        <f>E32*F32</f>
        <v>4.9636839999999998</v>
      </c>
      <c r="H32" s="22">
        <f t="shared" si="1"/>
        <v>0</v>
      </c>
      <c r="I32" s="23">
        <f t="shared" si="2"/>
        <v>0</v>
      </c>
      <c r="J32" s="23">
        <f t="shared" si="10"/>
        <v>2.3911405938439375E-2</v>
      </c>
      <c r="K32" s="108">
        <f t="shared" si="11"/>
        <v>2.3525138251711934E-2</v>
      </c>
    </row>
    <row r="33" spans="1:11" s="1" customFormat="1" x14ac:dyDescent="0.2">
      <c r="A33" s="110" t="s">
        <v>76</v>
      </c>
      <c r="B33" s="74"/>
      <c r="C33" s="35"/>
      <c r="D33" s="35">
        <f>SUM(D31:D32)</f>
        <v>11.478785999999999</v>
      </c>
      <c r="E33" s="73"/>
      <c r="F33" s="35"/>
      <c r="G33" s="35">
        <f>SUM(G31:G32)</f>
        <v>11.478785999999999</v>
      </c>
      <c r="H33" s="35">
        <f t="shared" si="1"/>
        <v>0</v>
      </c>
      <c r="I33" s="36">
        <f t="shared" si="2"/>
        <v>0</v>
      </c>
      <c r="J33" s="36">
        <f t="shared" si="10"/>
        <v>5.5296411239409031E-2</v>
      </c>
      <c r="K33" s="111">
        <f t="shared" si="11"/>
        <v>5.4403146455700123E-2</v>
      </c>
    </row>
    <row r="34" spans="1:11" s="1" customFormat="1" x14ac:dyDescent="0.2">
      <c r="A34" s="110" t="s">
        <v>91</v>
      </c>
      <c r="B34" s="74"/>
      <c r="C34" s="35"/>
      <c r="D34" s="35">
        <f>D29+D33</f>
        <v>74.105785999999995</v>
      </c>
      <c r="E34" s="73"/>
      <c r="F34" s="35"/>
      <c r="G34" s="35">
        <f>G29+G33</f>
        <v>75.695786000000012</v>
      </c>
      <c r="H34" s="35">
        <f t="shared" si="1"/>
        <v>1.5900000000000176</v>
      </c>
      <c r="I34" s="36">
        <f t="shared" si="2"/>
        <v>2.145581452978608E-2</v>
      </c>
      <c r="J34" s="36">
        <f t="shared" si="10"/>
        <v>0.36464703773955726</v>
      </c>
      <c r="K34" s="111">
        <f t="shared" si="11"/>
        <v>0.35875648625537021</v>
      </c>
    </row>
    <row r="35" spans="1:11" s="1" customFormat="1" x14ac:dyDescent="0.2">
      <c r="A35" s="110" t="s">
        <v>92</v>
      </c>
      <c r="B35" s="74"/>
      <c r="C35" s="35"/>
      <c r="D35" s="35">
        <f>D30+D33</f>
        <v>73.461916000000002</v>
      </c>
      <c r="E35" s="73"/>
      <c r="F35" s="35"/>
      <c r="G35" s="35">
        <f>G30+G33</f>
        <v>75.051916000000006</v>
      </c>
      <c r="H35" s="35">
        <f t="shared" si="1"/>
        <v>1.5900000000000034</v>
      </c>
      <c r="I35" s="36">
        <f t="shared" si="2"/>
        <v>2.164386782397567E-2</v>
      </c>
      <c r="J35" s="36">
        <f t="shared" si="10"/>
        <v>0.36154534211558459</v>
      </c>
      <c r="K35" s="111">
        <f t="shared" si="11"/>
        <v>0.35570489579027814</v>
      </c>
    </row>
    <row r="36" spans="1:11" x14ac:dyDescent="0.2">
      <c r="A36" s="107" t="s">
        <v>42</v>
      </c>
      <c r="B36" s="73">
        <f>B8</f>
        <v>1067</v>
      </c>
      <c r="C36" s="34">
        <v>3.5999999999999999E-3</v>
      </c>
      <c r="D36" s="22">
        <f>B36*C36</f>
        <v>3.8411999999999997</v>
      </c>
      <c r="E36" s="73">
        <f t="shared" si="6"/>
        <v>1067</v>
      </c>
      <c r="F36" s="34">
        <v>3.5999999999999999E-3</v>
      </c>
      <c r="G36" s="22">
        <f>E36*F36</f>
        <v>3.8411999999999997</v>
      </c>
      <c r="H36" s="22">
        <f t="shared" si="1"/>
        <v>0</v>
      </c>
      <c r="I36" s="23">
        <f t="shared" si="2"/>
        <v>0</v>
      </c>
      <c r="J36" s="23">
        <f t="shared" si="10"/>
        <v>1.8504097458809491E-2</v>
      </c>
      <c r="K36" s="108">
        <f t="shared" si="11"/>
        <v>1.8205180074411641E-2</v>
      </c>
    </row>
    <row r="37" spans="1:11" x14ac:dyDescent="0.2">
      <c r="A37" s="107" t="s">
        <v>43</v>
      </c>
      <c r="B37" s="73">
        <f>B8</f>
        <v>1067</v>
      </c>
      <c r="C37" s="34">
        <v>2.0999999999999999E-3</v>
      </c>
      <c r="D37" s="22">
        <f>B37*C37</f>
        <v>2.2406999999999999</v>
      </c>
      <c r="E37" s="73">
        <f t="shared" si="6"/>
        <v>1067</v>
      </c>
      <c r="F37" s="34">
        <v>2.0999999999999999E-3</v>
      </c>
      <c r="G37" s="22">
        <f>E37*F37</f>
        <v>2.2406999999999999</v>
      </c>
      <c r="H37" s="22">
        <f>G37-D37</f>
        <v>0</v>
      </c>
      <c r="I37" s="23">
        <f t="shared" si="2"/>
        <v>0</v>
      </c>
      <c r="J37" s="23">
        <f t="shared" si="10"/>
        <v>1.0794056850972204E-2</v>
      </c>
      <c r="K37" s="108">
        <f t="shared" si="11"/>
        <v>1.0619688376740124E-2</v>
      </c>
    </row>
    <row r="38" spans="1:11" x14ac:dyDescent="0.2">
      <c r="A38" s="107" t="s">
        <v>96</v>
      </c>
      <c r="B38" s="73">
        <f>B8</f>
        <v>1067</v>
      </c>
      <c r="C38" s="34">
        <v>1.1000000000000001E-3</v>
      </c>
      <c r="D38" s="22">
        <f>B38*C38</f>
        <v>1.1737</v>
      </c>
      <c r="E38" s="73">
        <f t="shared" si="6"/>
        <v>1067</v>
      </c>
      <c r="F38" s="34">
        <v>1.1000000000000001E-3</v>
      </c>
      <c r="G38" s="22">
        <f>E38*F38</f>
        <v>1.1737</v>
      </c>
      <c r="H38" s="22">
        <f>G38-D38</f>
        <v>0</v>
      </c>
      <c r="I38" s="23">
        <f t="shared" ref="I38" si="12">IF(ISERROR(H38/D38),0,(H38/D38))</f>
        <v>0</v>
      </c>
      <c r="J38" s="23">
        <f t="shared" ref="J38" si="13">G38/$G$46</f>
        <v>5.6540297790806781E-3</v>
      </c>
      <c r="K38" s="108">
        <f t="shared" ref="K38" si="14">G38/$G$51</f>
        <v>5.5626939116257797E-3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1.2043174957571522E-3</v>
      </c>
      <c r="K39" s="108">
        <f t="shared" si="11"/>
        <v>1.1848628081336328E-3</v>
      </c>
    </row>
    <row r="40" spans="1:11" s="1" customFormat="1" x14ac:dyDescent="0.2">
      <c r="A40" s="110" t="s">
        <v>45</v>
      </c>
      <c r="B40" s="74"/>
      <c r="C40" s="35"/>
      <c r="D40" s="35">
        <f>SUM(D36:D39)</f>
        <v>7.5055999999999994</v>
      </c>
      <c r="E40" s="73"/>
      <c r="F40" s="35"/>
      <c r="G40" s="35">
        <f>SUM(G36:G39)</f>
        <v>7.5055999999999994</v>
      </c>
      <c r="H40" s="35">
        <f t="shared" si="1"/>
        <v>0</v>
      </c>
      <c r="I40" s="36">
        <f t="shared" si="2"/>
        <v>0</v>
      </c>
      <c r="J40" s="36">
        <f t="shared" si="10"/>
        <v>3.6156501584619527E-2</v>
      </c>
      <c r="K40" s="111">
        <f t="shared" si="11"/>
        <v>3.5572425170911179E-2</v>
      </c>
    </row>
    <row r="41" spans="1:11" s="1" customFormat="1" ht="13.5" thickBot="1" x14ac:dyDescent="0.25">
      <c r="A41" s="112" t="s">
        <v>46</v>
      </c>
      <c r="B41" s="113">
        <f>B4</f>
        <v>1000</v>
      </c>
      <c r="C41" s="114">
        <v>7.0000000000000001E-3</v>
      </c>
      <c r="D41" s="115">
        <f>B41*C41</f>
        <v>7</v>
      </c>
      <c r="E41" s="116">
        <f t="shared" si="6"/>
        <v>1000</v>
      </c>
      <c r="F41" s="114">
        <f>C41</f>
        <v>7.0000000000000001E-3</v>
      </c>
      <c r="G41" s="115">
        <f>E41*F41</f>
        <v>7</v>
      </c>
      <c r="H41" s="115">
        <f t="shared" si="1"/>
        <v>0</v>
      </c>
      <c r="I41" s="117">
        <f t="shared" si="2"/>
        <v>0</v>
      </c>
      <c r="J41" s="117">
        <f t="shared" si="10"/>
        <v>3.3720889881200262E-2</v>
      </c>
      <c r="K41" s="118">
        <f t="shared" si="11"/>
        <v>3.3176158627741717E-2</v>
      </c>
    </row>
    <row r="42" spans="1:11" s="1" customFormat="1" x14ac:dyDescent="0.2">
      <c r="A42" s="37" t="s">
        <v>101</v>
      </c>
      <c r="B42" s="38"/>
      <c r="C42" s="39"/>
      <c r="D42" s="39">
        <f>SUM(D14,D25,D26,D27,D33,D40,D41)</f>
        <v>196.11138600000001</v>
      </c>
      <c r="E42" s="38"/>
      <c r="F42" s="39"/>
      <c r="G42" s="39">
        <f>SUM(G14,G25,G26,G27,G33,G40,G41)</f>
        <v>197.70138599999999</v>
      </c>
      <c r="H42" s="39">
        <f t="shared" si="1"/>
        <v>1.589999999999975</v>
      </c>
      <c r="I42" s="40">
        <f>IF(ISERROR(H42/D42),0,(H42/D42))</f>
        <v>8.1076373607393455E-3</v>
      </c>
      <c r="J42" s="40">
        <f t="shared" si="10"/>
        <v>0.95238095238095244</v>
      </c>
      <c r="K42" s="41"/>
    </row>
    <row r="43" spans="1:11" x14ac:dyDescent="0.2">
      <c r="A43" s="154" t="s">
        <v>102</v>
      </c>
      <c r="B43" s="43"/>
      <c r="C43" s="26">
        <v>0.13</v>
      </c>
      <c r="D43" s="26">
        <f>D42*C43</f>
        <v>25.494480180000004</v>
      </c>
      <c r="E43" s="26"/>
      <c r="F43" s="26">
        <f>C43</f>
        <v>0.13</v>
      </c>
      <c r="G43" s="26">
        <f>G42*F43</f>
        <v>25.701180179999998</v>
      </c>
      <c r="H43" s="26">
        <f t="shared" si="1"/>
        <v>0.20669999999999433</v>
      </c>
      <c r="I43" s="44">
        <f t="shared" si="2"/>
        <v>8.1076373607392501E-3</v>
      </c>
      <c r="J43" s="44">
        <f t="shared" si="10"/>
        <v>0.12380952380952381</v>
      </c>
      <c r="K43" s="45"/>
    </row>
    <row r="44" spans="1:11" s="1" customFormat="1" x14ac:dyDescent="0.2">
      <c r="A44" s="46" t="s">
        <v>103</v>
      </c>
      <c r="B44" s="24"/>
      <c r="C44" s="25"/>
      <c r="D44" s="25">
        <f>SUM(D42:D43)</f>
        <v>221.60586618000002</v>
      </c>
      <c r="E44" s="25"/>
      <c r="F44" s="25"/>
      <c r="G44" s="25">
        <f>SUM(G42:G43)</f>
        <v>223.40256617999998</v>
      </c>
      <c r="H44" s="25">
        <f t="shared" si="1"/>
        <v>1.7966999999999587</v>
      </c>
      <c r="I44" s="27">
        <f t="shared" si="2"/>
        <v>8.1076373607392848E-3</v>
      </c>
      <c r="J44" s="27">
        <f t="shared" si="10"/>
        <v>1.0761904761904761</v>
      </c>
      <c r="K44" s="47"/>
    </row>
    <row r="45" spans="1:11" x14ac:dyDescent="0.2">
      <c r="A45" s="42" t="s">
        <v>104</v>
      </c>
      <c r="B45" s="43"/>
      <c r="C45" s="26">
        <v>-0.08</v>
      </c>
      <c r="D45" s="26">
        <f>D42*C45</f>
        <v>-15.688910880000002</v>
      </c>
      <c r="E45" s="26"/>
      <c r="F45" s="26">
        <f>C45</f>
        <v>-0.08</v>
      </c>
      <c r="G45" s="26">
        <f>G42*F45</f>
        <v>-15.816110879999998</v>
      </c>
      <c r="H45" s="26">
        <f t="shared" si="1"/>
        <v>-0.12719999999999665</v>
      </c>
      <c r="I45" s="44">
        <f t="shared" si="2"/>
        <v>8.1076373607392588E-3</v>
      </c>
      <c r="J45" s="44">
        <f t="shared" si="10"/>
        <v>-7.6190476190476183E-2</v>
      </c>
      <c r="K45" s="45"/>
    </row>
    <row r="46" spans="1:11" s="1" customFormat="1" ht="13.5" thickBot="1" x14ac:dyDescent="0.25">
      <c r="A46" s="48" t="s">
        <v>105</v>
      </c>
      <c r="B46" s="49"/>
      <c r="C46" s="50"/>
      <c r="D46" s="50">
        <f>SUM(D44:D45)</f>
        <v>205.91695530000001</v>
      </c>
      <c r="E46" s="50"/>
      <c r="F46" s="50"/>
      <c r="G46" s="50">
        <f>SUM(G44:G45)</f>
        <v>207.58645529999998</v>
      </c>
      <c r="H46" s="50">
        <f t="shared" si="1"/>
        <v>1.6694999999999709</v>
      </c>
      <c r="I46" s="51">
        <f t="shared" si="2"/>
        <v>8.1076373607393316E-3</v>
      </c>
      <c r="J46" s="51">
        <f t="shared" si="10"/>
        <v>1</v>
      </c>
      <c r="K46" s="52"/>
    </row>
    <row r="47" spans="1:11" x14ac:dyDescent="0.2">
      <c r="A47" s="53" t="s">
        <v>106</v>
      </c>
      <c r="B47" s="54"/>
      <c r="C47" s="55"/>
      <c r="D47" s="55">
        <f>SUM(D18,D25,D26,D28,D33,D40,D41)</f>
        <v>199.357516</v>
      </c>
      <c r="E47" s="55"/>
      <c r="F47" s="55"/>
      <c r="G47" s="55">
        <f>SUM(G18,G25,G26,G28,G33,G40,G41)</f>
        <v>200.94751599999998</v>
      </c>
      <c r="H47" s="55">
        <f>G47-D47</f>
        <v>1.589999999999975</v>
      </c>
      <c r="I47" s="56">
        <f>IF(ISERROR(H47/D47),0,(H47/D47))</f>
        <v>7.9756210445558265E-3</v>
      </c>
      <c r="J47" s="56"/>
      <c r="K47" s="57">
        <f>G47/$G$51</f>
        <v>0.95238095238095244</v>
      </c>
    </row>
    <row r="48" spans="1:11" x14ac:dyDescent="0.2">
      <c r="A48" s="155" t="s">
        <v>102</v>
      </c>
      <c r="B48" s="59"/>
      <c r="C48" s="31">
        <v>0.13</v>
      </c>
      <c r="D48" s="31">
        <f>D47*C48</f>
        <v>25.91647708</v>
      </c>
      <c r="E48" s="31"/>
      <c r="F48" s="31">
        <f>C48</f>
        <v>0.13</v>
      </c>
      <c r="G48" s="31">
        <f>G47*F48</f>
        <v>26.123177079999998</v>
      </c>
      <c r="H48" s="31">
        <f>G48-D48</f>
        <v>0.20669999999999789</v>
      </c>
      <c r="I48" s="32">
        <f>IF(ISERROR(H48/D48),0,(H48/D48))</f>
        <v>7.9756210445558716E-3</v>
      </c>
      <c r="J48" s="32"/>
      <c r="K48" s="60">
        <f>G48/$G$51</f>
        <v>0.12380952380952381</v>
      </c>
    </row>
    <row r="49" spans="1:11" x14ac:dyDescent="0.2">
      <c r="A49" s="150" t="s">
        <v>107</v>
      </c>
      <c r="B49" s="29"/>
      <c r="C49" s="30"/>
      <c r="D49" s="30">
        <f>SUM(D47:D48)</f>
        <v>225.27399308</v>
      </c>
      <c r="E49" s="30"/>
      <c r="F49" s="30"/>
      <c r="G49" s="30">
        <f>SUM(G47:G48)</f>
        <v>227.07069307999998</v>
      </c>
      <c r="H49" s="30">
        <f>G49-D49</f>
        <v>1.7966999999999871</v>
      </c>
      <c r="I49" s="33">
        <f>IF(ISERROR(H49/D49),0,(H49/D49))</f>
        <v>7.9756210445558959E-3</v>
      </c>
      <c r="J49" s="33"/>
      <c r="K49" s="62">
        <f>G49/$G$51</f>
        <v>1.0761904761904761</v>
      </c>
    </row>
    <row r="50" spans="1:11" x14ac:dyDescent="0.2">
      <c r="A50" s="58" t="s">
        <v>104</v>
      </c>
      <c r="B50" s="59"/>
      <c r="C50" s="31">
        <v>-0.08</v>
      </c>
      <c r="D50" s="31">
        <f>D47*C50</f>
        <v>-15.94860128</v>
      </c>
      <c r="E50" s="31"/>
      <c r="F50" s="31">
        <f>C50</f>
        <v>-0.08</v>
      </c>
      <c r="G50" s="31">
        <f>G47*F50</f>
        <v>-16.07580128</v>
      </c>
      <c r="H50" s="31">
        <f>G50-D50</f>
        <v>-0.1272000000000002</v>
      </c>
      <c r="I50" s="32">
        <f>IF(ISERROR(H50/D50),0,(H50/D50))</f>
        <v>7.9756210445559653E-3</v>
      </c>
      <c r="J50" s="32"/>
      <c r="K50" s="60">
        <f>G50/$G$51</f>
        <v>-7.6190476190476197E-2</v>
      </c>
    </row>
    <row r="51" spans="1:11" ht="13.5" thickBot="1" x14ac:dyDescent="0.25">
      <c r="A51" s="63" t="s">
        <v>116</v>
      </c>
      <c r="B51" s="64"/>
      <c r="C51" s="65"/>
      <c r="D51" s="65">
        <f>SUM(D49:D50)</f>
        <v>209.32539180000001</v>
      </c>
      <c r="E51" s="65"/>
      <c r="F51" s="65"/>
      <c r="G51" s="65">
        <f>SUM(G49:G50)</f>
        <v>210.99489179999998</v>
      </c>
      <c r="H51" s="65">
        <f>G51-D51</f>
        <v>1.6694999999999709</v>
      </c>
      <c r="I51" s="66">
        <f>IF(ISERROR(H51/D51),0,(H51/D51))</f>
        <v>7.9756210445558126E-3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9"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46"/>
  <sheetViews>
    <sheetView tabSelected="1" zoomScale="90" zoomScaleNormal="90" zoomScaleSheetLayoutView="100" workbookViewId="0">
      <selection activeCell="C3" sqref="C3"/>
    </sheetView>
  </sheetViews>
  <sheetFormatPr defaultRowHeight="12.75" x14ac:dyDescent="0.2"/>
  <cols>
    <col min="1" max="1" width="10.5703125" customWidth="1"/>
    <col min="2" max="2" width="13.42578125" customWidth="1"/>
    <col min="3" max="5" width="13.7109375" customWidth="1"/>
    <col min="6" max="6" width="12.140625" customWidth="1"/>
    <col min="7" max="7" width="13" customWidth="1"/>
    <col min="8" max="8" width="11.85546875" bestFit="1" customWidth="1"/>
    <col min="9" max="9" width="12.28515625" bestFit="1" customWidth="1"/>
    <col min="10" max="10" width="19.42578125" customWidth="1"/>
  </cols>
  <sheetData>
    <row r="1" spans="1:10" ht="39" thickBot="1" x14ac:dyDescent="0.25">
      <c r="A1" s="95" t="s">
        <v>13</v>
      </c>
      <c r="B1" s="89" t="s">
        <v>67</v>
      </c>
      <c r="C1" s="96" t="s">
        <v>62</v>
      </c>
      <c r="D1" s="97" t="s">
        <v>68</v>
      </c>
      <c r="E1" s="99" t="s">
        <v>122</v>
      </c>
      <c r="F1" s="87" t="s">
        <v>63</v>
      </c>
      <c r="G1" s="88" t="s">
        <v>65</v>
      </c>
      <c r="H1" s="86" t="s">
        <v>64</v>
      </c>
      <c r="I1" s="143" t="s">
        <v>66</v>
      </c>
      <c r="J1" s="99" t="s">
        <v>69</v>
      </c>
    </row>
    <row r="2" spans="1:10" x14ac:dyDescent="0.2">
      <c r="A2" s="177" t="s">
        <v>0</v>
      </c>
      <c r="B2" s="90" t="s">
        <v>60</v>
      </c>
      <c r="C2" s="98">
        <f>BI_UR_Low!B4</f>
        <v>350</v>
      </c>
      <c r="D2" s="83"/>
      <c r="E2" s="147">
        <f>BI_UR_Low!D51</f>
        <v>87.220452059999985</v>
      </c>
      <c r="F2" s="133">
        <f>BI_UR_Low!H$25</f>
        <v>2.9349999999999952</v>
      </c>
      <c r="G2" s="134">
        <f>BI_UR_Low!I$25</f>
        <v>8.8872066616199688E-2</v>
      </c>
      <c r="H2" s="135">
        <f>BI_UR_Low!H$51</f>
        <v>3.0817499999999995</v>
      </c>
      <c r="I2" s="144">
        <f>BI_UR_Low!I$51</f>
        <v>3.5332882680773392E-2</v>
      </c>
      <c r="J2" s="174" t="s">
        <v>50</v>
      </c>
    </row>
    <row r="3" spans="1:10" x14ac:dyDescent="0.2">
      <c r="A3" s="178"/>
      <c r="B3" s="91" t="s">
        <v>90</v>
      </c>
      <c r="C3" s="93">
        <f>BI_UR_Typical!B4</f>
        <v>750</v>
      </c>
      <c r="D3" s="84"/>
      <c r="E3" s="148">
        <f>BI_UR_Typical!D51</f>
        <v>148.0809687</v>
      </c>
      <c r="F3" s="136">
        <f>BI_UR_Typical!H$25</f>
        <v>1.0549999999999997</v>
      </c>
      <c r="G3" s="137">
        <f>BI_UR_Typical!I$25</f>
        <v>3.0155781049021002E-2</v>
      </c>
      <c r="H3" s="138">
        <f>BI_UR_Typical!H$51</f>
        <v>1.10775000000001</v>
      </c>
      <c r="I3" s="145">
        <f>BI_UR_Typical!I$51</f>
        <v>7.4807047098957155E-3</v>
      </c>
      <c r="J3" s="175"/>
    </row>
    <row r="4" spans="1:10" x14ac:dyDescent="0.2">
      <c r="A4" s="178"/>
      <c r="B4" s="158" t="s">
        <v>113</v>
      </c>
      <c r="C4" s="159">
        <f>BI_UR_Avg!$B$4</f>
        <v>755</v>
      </c>
      <c r="D4" s="160"/>
      <c r="E4" s="161">
        <f>BI_UR_Avg!$D$51</f>
        <v>148.841725158</v>
      </c>
      <c r="F4" s="162">
        <f>BI_UR_Avg!$H$25</f>
        <v>1.0315000000000012</v>
      </c>
      <c r="G4" s="163">
        <f>BI_UR_Avg!$I$25</f>
        <v>2.946343135434671E-2</v>
      </c>
      <c r="H4" s="164">
        <f>BI_UR_Avg!$H$51</f>
        <v>1.083075000000008</v>
      </c>
      <c r="I4" s="165">
        <f>BI_UR_Avg!$I$51</f>
        <v>7.2766893749067413E-3</v>
      </c>
      <c r="J4" s="175"/>
    </row>
    <row r="5" spans="1:10" ht="13.5" thickBot="1" x14ac:dyDescent="0.25">
      <c r="A5" s="179"/>
      <c r="B5" s="92" t="s">
        <v>61</v>
      </c>
      <c r="C5" s="94">
        <f>BI_UR_High!B4</f>
        <v>1400</v>
      </c>
      <c r="D5" s="85"/>
      <c r="E5" s="149">
        <f>BI_UR_High!D51</f>
        <v>246.97930823999997</v>
      </c>
      <c r="F5" s="139">
        <f>BI_UR_High!H$25</f>
        <v>-2</v>
      </c>
      <c r="G5" s="140">
        <f>BI_UR_High!I$25</f>
        <v>-5.2397170552790147E-2</v>
      </c>
      <c r="H5" s="141">
        <f>BI_UR_High!H$51</f>
        <v>-2.0999999999999943</v>
      </c>
      <c r="I5" s="146">
        <f>BI_UR_High!I$51</f>
        <v>-8.5027365853634091E-3</v>
      </c>
      <c r="J5" s="176"/>
    </row>
    <row r="6" spans="1:10" x14ac:dyDescent="0.2">
      <c r="A6" s="180" t="s">
        <v>1</v>
      </c>
      <c r="B6" s="90" t="s">
        <v>60</v>
      </c>
      <c r="C6" s="98">
        <f>BI_R1_Low!B4</f>
        <v>400</v>
      </c>
      <c r="D6" s="83"/>
      <c r="E6" s="147">
        <f>BI_R1_Low!D51</f>
        <v>113.08189367999999</v>
      </c>
      <c r="F6" s="133">
        <f>BI_R1_Low!H$25</f>
        <v>3.5</v>
      </c>
      <c r="G6" s="134">
        <f>BI_R1_Low!I$25</f>
        <v>6.9874226392493521E-2</v>
      </c>
      <c r="H6" s="135">
        <f>BI_R1_Low!H$51</f>
        <v>3.6749999999999972</v>
      </c>
      <c r="I6" s="144">
        <f>BI_R1_Low!I$51</f>
        <v>3.2498571437082055E-2</v>
      </c>
      <c r="J6" s="174" t="s">
        <v>50</v>
      </c>
    </row>
    <row r="7" spans="1:10" x14ac:dyDescent="0.2">
      <c r="A7" s="181"/>
      <c r="B7" s="91" t="s">
        <v>90</v>
      </c>
      <c r="C7" s="93">
        <f>BI_R1_Typical!B4</f>
        <v>750</v>
      </c>
      <c r="D7" s="84"/>
      <c r="E7" s="148">
        <f>BI_R1_Typical!D51</f>
        <v>172.25586314999998</v>
      </c>
      <c r="F7" s="136">
        <f>BI_R1_Typical!H$25</f>
        <v>2.3100000000000023</v>
      </c>
      <c r="G7" s="142">
        <f>BI_R1_Typical!I$25</f>
        <v>4.0561896400351231E-2</v>
      </c>
      <c r="H7" s="138">
        <f>BI_R1_Typical!H$51</f>
        <v>2.4254999999999995</v>
      </c>
      <c r="I7" s="145">
        <f>BI_R1_Typical!I$51</f>
        <v>1.4080797922610508E-2</v>
      </c>
      <c r="J7" s="175"/>
    </row>
    <row r="8" spans="1:10" x14ac:dyDescent="0.2">
      <c r="A8" s="182"/>
      <c r="B8" s="158" t="s">
        <v>113</v>
      </c>
      <c r="C8" s="159">
        <f>BI_R1_Avg!$B$4</f>
        <v>920</v>
      </c>
      <c r="D8" s="160"/>
      <c r="E8" s="161">
        <f>BI_R1_Avg!$D$51</f>
        <v>200.997505464</v>
      </c>
      <c r="F8" s="162">
        <f>BI_R1_Avg!$H$25</f>
        <v>1.7319999999999993</v>
      </c>
      <c r="G8" s="163">
        <f>BI_R1_Avg!$I$25</f>
        <v>2.8731628014996177E-2</v>
      </c>
      <c r="H8" s="164">
        <f>BI_R1_Avg!$H$51</f>
        <v>1.8186000000000035</v>
      </c>
      <c r="I8" s="165">
        <f>BI_R1_Avg!$I$51</f>
        <v>9.0478734838116033E-3</v>
      </c>
      <c r="J8" s="175"/>
    </row>
    <row r="9" spans="1:10" ht="13.5" thickBot="1" x14ac:dyDescent="0.25">
      <c r="A9" s="183"/>
      <c r="B9" s="92" t="s">
        <v>61</v>
      </c>
      <c r="C9" s="94">
        <f>BI_R1_High!B4</f>
        <v>1800</v>
      </c>
      <c r="D9" s="85"/>
      <c r="E9" s="149">
        <f>BI_R1_High!D51</f>
        <v>349.77777156000002</v>
      </c>
      <c r="F9" s="139">
        <f>BI_R1_High!H$25</f>
        <v>-1.2600000000000051</v>
      </c>
      <c r="G9" s="140">
        <f>BI_R1_High!I$25</f>
        <v>-1.6251773507029603E-2</v>
      </c>
      <c r="H9" s="141">
        <f>BI_R1_High!H$51</f>
        <v>-1.3230000000000359</v>
      </c>
      <c r="I9" s="146">
        <f>BI_R1_High!I$51</f>
        <v>-3.782401592015094E-3</v>
      </c>
      <c r="J9" s="176"/>
    </row>
    <row r="10" spans="1:10" x14ac:dyDescent="0.2">
      <c r="A10" s="180" t="s">
        <v>2</v>
      </c>
      <c r="B10" s="90" t="s">
        <v>60</v>
      </c>
      <c r="C10" s="98">
        <f>BI_R2_Low!B4</f>
        <v>450</v>
      </c>
      <c r="D10" s="83"/>
      <c r="E10" s="147">
        <f>BI_R2_Low!D51</f>
        <v>120.47767022329911</v>
      </c>
      <c r="F10" s="133">
        <f>BI_R2_Low!H$25</f>
        <v>7.5899999999999963</v>
      </c>
      <c r="G10" s="134">
        <f>BI_R2_Low!I$25</f>
        <v>0.15559758209332356</v>
      </c>
      <c r="H10" s="135">
        <f>BI_R2_Low!H$51</f>
        <v>7.9695000000000249</v>
      </c>
      <c r="I10" s="144">
        <f>BI_R2_Low!I$51</f>
        <v>6.614918752353835E-2</v>
      </c>
      <c r="J10" s="174" t="s">
        <v>50</v>
      </c>
    </row>
    <row r="11" spans="1:10" x14ac:dyDescent="0.2">
      <c r="A11" s="181"/>
      <c r="B11" s="91" t="s">
        <v>90</v>
      </c>
      <c r="C11" s="93">
        <f>BI_R2_Typical!B4</f>
        <v>750</v>
      </c>
      <c r="D11" s="84"/>
      <c r="E11" s="148">
        <f>BI_R2_Typical!D51</f>
        <v>176.12834222329911</v>
      </c>
      <c r="F11" s="136">
        <f>BI_R2_Typical!H$25</f>
        <v>5.970000000000006</v>
      </c>
      <c r="G11" s="142">
        <f>BI_R2_Typical!I$25</f>
        <v>0.10205184323540793</v>
      </c>
      <c r="H11" s="138">
        <f>BI_R2_Typical!H$51</f>
        <v>6.2684999999999889</v>
      </c>
      <c r="I11" s="145">
        <f>BI_R2_Typical!I$51</f>
        <v>3.559052405122088E-2</v>
      </c>
      <c r="J11" s="175"/>
    </row>
    <row r="12" spans="1:10" x14ac:dyDescent="0.2">
      <c r="A12" s="182"/>
      <c r="B12" s="158" t="s">
        <v>113</v>
      </c>
      <c r="C12" s="159">
        <f>BI_R2_Avg!$B$4</f>
        <v>1152</v>
      </c>
      <c r="D12" s="160"/>
      <c r="E12" s="161">
        <f>BI_R2_Avg!$D$51</f>
        <v>250.70024270329912</v>
      </c>
      <c r="F12" s="162">
        <f>BI_R2_Avg!$H$25</f>
        <v>3.799199999999999</v>
      </c>
      <c r="G12" s="163">
        <f>BI_R2_Avg!$I$25</f>
        <v>5.3117479356436799E-2</v>
      </c>
      <c r="H12" s="164">
        <f>BI_R2_Avg!$H$51</f>
        <v>3.9891599999999983</v>
      </c>
      <c r="I12" s="165">
        <f>BI_R2_Avg!$I$51</f>
        <v>1.5912070754239848E-2</v>
      </c>
      <c r="J12" s="175"/>
    </row>
    <row r="13" spans="1:10" ht="13.5" thickBot="1" x14ac:dyDescent="0.25">
      <c r="A13" s="183"/>
      <c r="B13" s="92" t="s">
        <v>61</v>
      </c>
      <c r="C13" s="94">
        <f>BI_R2_High!B4</f>
        <v>2300</v>
      </c>
      <c r="D13" s="85"/>
      <c r="E13" s="149">
        <f>BI_R2_High!D51</f>
        <v>463.65681422329914</v>
      </c>
      <c r="F13" s="139">
        <f>BI_R2_High!H$25</f>
        <v>-2.4000000000000057</v>
      </c>
      <c r="G13" s="140">
        <f>BI_R2_High!I$25</f>
        <v>-2.2075120505811188E-2</v>
      </c>
      <c r="H13" s="141">
        <f>BI_R2_High!H$51</f>
        <v>-2.5199999999999818</v>
      </c>
      <c r="I13" s="146">
        <f>BI_R2_High!I$51</f>
        <v>-5.4350543822404363E-3</v>
      </c>
      <c r="J13" s="176"/>
    </row>
    <row r="14" spans="1:10" x14ac:dyDescent="0.2">
      <c r="A14" s="180" t="s">
        <v>3</v>
      </c>
      <c r="B14" s="90" t="s">
        <v>60</v>
      </c>
      <c r="C14" s="98">
        <f>BI_Seas_Low!B4</f>
        <v>50</v>
      </c>
      <c r="D14" s="83"/>
      <c r="E14" s="147">
        <f>BI_Seas_Low!D51</f>
        <v>58.739539319999992</v>
      </c>
      <c r="F14" s="133">
        <f>BI_Seas_Low!H$25</f>
        <v>4.5249999999999986</v>
      </c>
      <c r="G14" s="134">
        <f>BI_Seas_Low!I$25</f>
        <v>9.4665271966527173E-2</v>
      </c>
      <c r="H14" s="135">
        <f>BI_Seas_Low!H$51</f>
        <v>4.7512499999999989</v>
      </c>
      <c r="I14" s="144">
        <f>BI_Seas_Low!I$51</f>
        <v>8.0886742643932599E-2</v>
      </c>
      <c r="J14" s="174" t="s">
        <v>50</v>
      </c>
    </row>
    <row r="15" spans="1:10" x14ac:dyDescent="0.2">
      <c r="A15" s="181"/>
      <c r="B15" s="91" t="s">
        <v>90</v>
      </c>
      <c r="C15" s="93">
        <f>BI_Seas_Typical!B4</f>
        <v>350</v>
      </c>
      <c r="D15" s="84"/>
      <c r="E15" s="148">
        <f>BI_Seas_Typical!D51</f>
        <v>120.24277524000003</v>
      </c>
      <c r="F15" s="136">
        <f>BI_Seas_Typical!H$25</f>
        <v>1.7949999999999946</v>
      </c>
      <c r="G15" s="142">
        <f>BI_Seas_Typical!I$25</f>
        <v>2.8152446675031285E-2</v>
      </c>
      <c r="H15" s="138">
        <f>BI_Seas_Typical!H$51</f>
        <v>1.8847499999999826</v>
      </c>
      <c r="I15" s="145">
        <f>BI_Seas_Typical!I$51</f>
        <v>1.5674538418113629E-2</v>
      </c>
      <c r="J15" s="175"/>
    </row>
    <row r="16" spans="1:10" x14ac:dyDescent="0.2">
      <c r="A16" s="182"/>
      <c r="B16" s="158" t="s">
        <v>113</v>
      </c>
      <c r="C16" s="159">
        <f>BI_Seas_Avg!$B$4</f>
        <v>352</v>
      </c>
      <c r="D16" s="160"/>
      <c r="E16" s="161">
        <f>BI_Seas_Avg!$D$51</f>
        <v>120.65279681280002</v>
      </c>
      <c r="F16" s="162">
        <f>BI_Seas_Avg!$H$25</f>
        <v>1.7768000000000086</v>
      </c>
      <c r="G16" s="163">
        <f>BI_Seas_Avg!$I$25</f>
        <v>2.7820575451254628E-2</v>
      </c>
      <c r="H16" s="164">
        <f>BI_Seas_Avg!$H$51</f>
        <v>1.8656400000000133</v>
      </c>
      <c r="I16" s="165">
        <f>BI_Seas_Avg!$I$51</f>
        <v>1.5462882330814632E-2</v>
      </c>
      <c r="J16" s="175"/>
    </row>
    <row r="17" spans="1:10" ht="13.5" thickBot="1" x14ac:dyDescent="0.25">
      <c r="A17" s="183"/>
      <c r="B17" s="92" t="s">
        <v>61</v>
      </c>
      <c r="C17" s="94">
        <f>BI_Seas_High!B4</f>
        <v>1000</v>
      </c>
      <c r="D17" s="85"/>
      <c r="E17" s="149">
        <f>BI_Seas_High!D51</f>
        <v>253.49978640000003</v>
      </c>
      <c r="F17" s="139">
        <f>BI_Seas_High!H$25</f>
        <v>-4.1200000000000045</v>
      </c>
      <c r="G17" s="140">
        <f>BI_Seas_High!I$25</f>
        <v>-4.1895464714256703E-2</v>
      </c>
      <c r="H17" s="141">
        <f>BI_Seas_High!H$51</f>
        <v>-4.3260000000000502</v>
      </c>
      <c r="I17" s="146">
        <f>BI_Seas_High!I$51</f>
        <v>-1.7065103136513136E-2</v>
      </c>
      <c r="J17" s="176"/>
    </row>
    <row r="18" spans="1:10" x14ac:dyDescent="0.2">
      <c r="A18" s="177" t="s">
        <v>4</v>
      </c>
      <c r="B18" s="90" t="s">
        <v>60</v>
      </c>
      <c r="C18" s="98">
        <f>BI_GSe_Low!B4</f>
        <v>1000</v>
      </c>
      <c r="D18" s="83"/>
      <c r="E18" s="147">
        <f>BI_GSe_Low!D51</f>
        <v>252.6082356</v>
      </c>
      <c r="F18" s="133">
        <f>BI_GSe_Low!H$25</f>
        <v>2.6499999999999915</v>
      </c>
      <c r="G18" s="134">
        <f>BI_GSe_Low!I$25</f>
        <v>2.884824733289779E-2</v>
      </c>
      <c r="H18" s="135">
        <f>BI_GSe_Low!H$51</f>
        <v>2.7824999999999704</v>
      </c>
      <c r="I18" s="144">
        <f>BI_GSe_Low!I$51</f>
        <v>1.1015080301681069E-2</v>
      </c>
      <c r="J18" s="174" t="s">
        <v>50</v>
      </c>
    </row>
    <row r="19" spans="1:10" x14ac:dyDescent="0.2">
      <c r="A19" s="178"/>
      <c r="B19" s="91" t="s">
        <v>90</v>
      </c>
      <c r="C19" s="93">
        <f>BI_GSe_Typical!B4</f>
        <v>2000</v>
      </c>
      <c r="D19" s="84"/>
      <c r="E19" s="148">
        <f>BI_GSe_Typical!D51</f>
        <v>472.35147120000005</v>
      </c>
      <c r="F19" s="136">
        <f>BI_GSe_Typical!H$25</f>
        <v>4.6500000000000057</v>
      </c>
      <c r="G19" s="142">
        <f>BI_GSe_Typical!I$25</f>
        <v>3.0301055649680733E-2</v>
      </c>
      <c r="H19" s="138">
        <f>BI_GSe_Typical!H$51</f>
        <v>4.8824999999999363</v>
      </c>
      <c r="I19" s="145">
        <f>BI_GSe_Typical!I$51</f>
        <v>1.033658260361937E-2</v>
      </c>
      <c r="J19" s="175"/>
    </row>
    <row r="20" spans="1:10" x14ac:dyDescent="0.2">
      <c r="A20" s="178"/>
      <c r="B20" s="158" t="s">
        <v>113</v>
      </c>
      <c r="C20" s="159">
        <f>BI_GSe_Avg!$B$4</f>
        <v>1982</v>
      </c>
      <c r="D20" s="160"/>
      <c r="E20" s="161">
        <f>BI_GSe_Avg!$D$51</f>
        <v>468.39609295920008</v>
      </c>
      <c r="F20" s="162">
        <f>BI_GSe_Avg!$H$25</f>
        <v>4.6140000000000043</v>
      </c>
      <c r="G20" s="163">
        <f>BI_GSe_Avg!$I$25</f>
        <v>3.0285288202521569E-2</v>
      </c>
      <c r="H20" s="164">
        <f>BI_GSe_Avg!$H$51</f>
        <v>4.8446999999999889</v>
      </c>
      <c r="I20" s="165">
        <f>BI_GSe_Avg!$I$51</f>
        <v>1.034316911012746E-2</v>
      </c>
      <c r="J20" s="175"/>
    </row>
    <row r="21" spans="1:10" ht="13.5" thickBot="1" x14ac:dyDescent="0.25">
      <c r="A21" s="179"/>
      <c r="B21" s="92" t="s">
        <v>61</v>
      </c>
      <c r="C21" s="94">
        <f>BI_GSe_High!B4</f>
        <v>15000</v>
      </c>
      <c r="D21" s="85"/>
      <c r="E21" s="149">
        <f>BI_GSe_High!D51</f>
        <v>3329.0135340000002</v>
      </c>
      <c r="F21" s="139">
        <f>BI_GSe_High!H$25</f>
        <v>30.649999999999977</v>
      </c>
      <c r="G21" s="140">
        <f>BI_GSe_High!I$25</f>
        <v>3.2119128958564731E-2</v>
      </c>
      <c r="H21" s="141">
        <f>BI_GSe_High!H$51</f>
        <v>32.182499999999891</v>
      </c>
      <c r="I21" s="146">
        <f>BI_GSe_High!I$51</f>
        <v>9.6672782105907441E-3</v>
      </c>
      <c r="J21" s="176"/>
    </row>
    <row r="22" spans="1:10" x14ac:dyDescent="0.2">
      <c r="A22" s="177" t="s">
        <v>6</v>
      </c>
      <c r="B22" s="90" t="s">
        <v>60</v>
      </c>
      <c r="C22" s="98">
        <f>BI_UGe_Low!B4</f>
        <v>1000</v>
      </c>
      <c r="D22" s="83"/>
      <c r="E22" s="147">
        <f>BI_UGe_Low!D51</f>
        <v>209.32539180000001</v>
      </c>
      <c r="F22" s="133">
        <f>BI_UGe_Low!H$25</f>
        <v>1.5900000000000034</v>
      </c>
      <c r="G22" s="134">
        <f>BI_UGe_Low!I$25</f>
        <v>2.9592406476828648E-2</v>
      </c>
      <c r="H22" s="135">
        <f>BI_UGe_Low!H$51</f>
        <v>1.6694999999999709</v>
      </c>
      <c r="I22" s="144">
        <f>BI_UGe_Low!I$51</f>
        <v>7.9756210445558126E-3</v>
      </c>
      <c r="J22" s="174" t="s">
        <v>50</v>
      </c>
    </row>
    <row r="23" spans="1:10" x14ac:dyDescent="0.2">
      <c r="A23" s="178"/>
      <c r="B23" s="91" t="s">
        <v>90</v>
      </c>
      <c r="C23" s="93">
        <f>BI_UGe_Typical!B4</f>
        <v>2000</v>
      </c>
      <c r="D23" s="84"/>
      <c r="E23" s="148">
        <f>BI_UGe_Typical!D51</f>
        <v>391.80228359999995</v>
      </c>
      <c r="F23" s="136">
        <f>BI_UGe_Typical!H$25</f>
        <v>2.5900000000000034</v>
      </c>
      <c r="G23" s="142">
        <f>BI_UGe_Typical!I$25</f>
        <v>3.1231158808633825E-2</v>
      </c>
      <c r="H23" s="138">
        <f>BI_UGe_Typical!H$51</f>
        <v>2.7195000000000391</v>
      </c>
      <c r="I23" s="145">
        <f>BI_UGe_Typical!I$51</f>
        <v>6.9410008921143495E-3</v>
      </c>
      <c r="J23" s="175"/>
    </row>
    <row r="24" spans="1:10" x14ac:dyDescent="0.2">
      <c r="A24" s="178"/>
      <c r="B24" s="158" t="s">
        <v>113</v>
      </c>
      <c r="C24" s="159">
        <f>BI_UGe_Avg!$B$4</f>
        <v>2759</v>
      </c>
      <c r="D24" s="160"/>
      <c r="E24" s="161">
        <f>BI_UGe_Avg!$D$51</f>
        <v>530.30224447620003</v>
      </c>
      <c r="F24" s="162">
        <f>BI_UGe_Avg!$H$25</f>
        <v>3.3489999999999895</v>
      </c>
      <c r="G24" s="163">
        <f>BI_UGe_Avg!$I$25</f>
        <v>3.1867073672030712E-2</v>
      </c>
      <c r="H24" s="164">
        <f>BI_UGe_Avg!$H$51</f>
        <v>3.5164499999999634</v>
      </c>
      <c r="I24" s="165">
        <f>BI_UGe_Avg!$I$51</f>
        <v>6.6310298261575279E-3</v>
      </c>
      <c r="J24" s="175"/>
    </row>
    <row r="25" spans="1:10" ht="13.5" thickBot="1" x14ac:dyDescent="0.25">
      <c r="A25" s="179"/>
      <c r="B25" s="92" t="s">
        <v>61</v>
      </c>
      <c r="C25" s="94">
        <f>BI_UGe_High!B4</f>
        <v>15000</v>
      </c>
      <c r="D25" s="85"/>
      <c r="E25" s="149">
        <f>BI_UGe_High!D51</f>
        <v>2764.0018769999997</v>
      </c>
      <c r="F25" s="139">
        <f>BI_UGe_High!H$25</f>
        <v>15.590000000000032</v>
      </c>
      <c r="G25" s="140">
        <f>BI_UGe_High!I$25</f>
        <v>3.3705921778046898E-2</v>
      </c>
      <c r="H25" s="141">
        <f>BI_UGe_High!H$51</f>
        <v>16.369499999999789</v>
      </c>
      <c r="I25" s="146">
        <f>BI_UGe_High!I$51</f>
        <v>5.9223910577683699E-3</v>
      </c>
      <c r="J25" s="176"/>
    </row>
    <row r="26" spans="1:10" x14ac:dyDescent="0.2">
      <c r="A26" s="177" t="s">
        <v>5</v>
      </c>
      <c r="B26" s="90" t="s">
        <v>60</v>
      </c>
      <c r="C26" s="98">
        <f>BI_GSd_Low!B4</f>
        <v>15000</v>
      </c>
      <c r="D26" s="83">
        <f>BI_GSd_Low!B5</f>
        <v>60</v>
      </c>
      <c r="E26" s="147">
        <f>BI_GSd_Low!D38</f>
        <v>3625.3692503599996</v>
      </c>
      <c r="F26" s="133">
        <f>BI_GSd_Low!H$23</f>
        <v>33.071999999999889</v>
      </c>
      <c r="G26" s="134">
        <f>BI_GSd_Low!I$23</f>
        <v>2.8059208391291474E-2</v>
      </c>
      <c r="H26" s="135">
        <f>BI_GSd_Low!H$38</f>
        <v>37.371360000000095</v>
      </c>
      <c r="I26" s="144">
        <f>BI_GSd_Low!I$38</f>
        <v>1.0308290664816864E-2</v>
      </c>
      <c r="J26" s="184" t="s">
        <v>70</v>
      </c>
    </row>
    <row r="27" spans="1:10" x14ac:dyDescent="0.2">
      <c r="A27" s="178"/>
      <c r="B27" s="158" t="s">
        <v>113</v>
      </c>
      <c r="C27" s="93">
        <f>BI_GSd_Avg!B4</f>
        <v>36104</v>
      </c>
      <c r="D27" s="84">
        <f>BI_GSd_Avg!B5</f>
        <v>124</v>
      </c>
      <c r="E27" s="148">
        <f>BI_GSd_Avg!D38</f>
        <v>8090.1944257679997</v>
      </c>
      <c r="F27" s="136">
        <f>BI_GSd_Avg!H$23</f>
        <v>66.364800000000287</v>
      </c>
      <c r="G27" s="142">
        <f>BI_GSd_Avg!I$23</f>
        <v>2.8424107072357398E-2</v>
      </c>
      <c r="H27" s="138">
        <f>BI_GSd_Avg!H$38</f>
        <v>74.992224000000533</v>
      </c>
      <c r="I27" s="145">
        <f>BI_GSd_Avg!I$38</f>
        <v>9.2695206138858083E-3</v>
      </c>
      <c r="J27" s="185"/>
    </row>
    <row r="28" spans="1:10" ht="13.5" thickBot="1" x14ac:dyDescent="0.25">
      <c r="A28" s="179"/>
      <c r="B28" s="92" t="s">
        <v>61</v>
      </c>
      <c r="C28" s="94">
        <f>BI_GSd_High!B4</f>
        <v>175000</v>
      </c>
      <c r="D28" s="85">
        <f>BI_GSd_High!B5</f>
        <v>500</v>
      </c>
      <c r="E28" s="149">
        <f>BI_GSd_High!D38</f>
        <v>36435.734802999999</v>
      </c>
      <c r="F28" s="139">
        <f>BI_GSd_High!H$23</f>
        <v>261.96000000000095</v>
      </c>
      <c r="G28" s="140">
        <f>BI_GSd_High!I$23</f>
        <v>2.8606740045422969E-2</v>
      </c>
      <c r="H28" s="141">
        <f>BI_GSd_High!H$38</f>
        <v>296.01479999999719</v>
      </c>
      <c r="I28" s="146">
        <f>BI_GSd_High!I$38</f>
        <v>8.1242988950403789E-3</v>
      </c>
      <c r="J28" s="186"/>
    </row>
    <row r="29" spans="1:10" ht="12.75" customHeight="1" x14ac:dyDescent="0.2">
      <c r="A29" s="177" t="s">
        <v>7</v>
      </c>
      <c r="B29" s="90" t="s">
        <v>60</v>
      </c>
      <c r="C29" s="98">
        <f>BI_UGd_Low!B4</f>
        <v>15000</v>
      </c>
      <c r="D29" s="83">
        <f>BI_UGd_Low!B5</f>
        <v>60</v>
      </c>
      <c r="E29" s="147">
        <f>BI_UGd_Low!D38</f>
        <v>3168.230607</v>
      </c>
      <c r="F29" s="133">
        <f>BI_UGd_Low!H$23</f>
        <v>20.118000000000052</v>
      </c>
      <c r="G29" s="134">
        <f>BI_UGd_Low!I$23</f>
        <v>2.7446074425546557E-2</v>
      </c>
      <c r="H29" s="135">
        <f>BI_UGd_Low!H$38</f>
        <v>22.733339999999771</v>
      </c>
      <c r="I29" s="144">
        <f>BI_UGd_Low!I$38</f>
        <v>7.1754057137671514E-3</v>
      </c>
      <c r="J29" s="184" t="s">
        <v>70</v>
      </c>
    </row>
    <row r="30" spans="1:10" x14ac:dyDescent="0.2">
      <c r="A30" s="178"/>
      <c r="B30" s="158" t="s">
        <v>113</v>
      </c>
      <c r="C30" s="93">
        <f>BI_UGd_Avg!B4</f>
        <v>50525</v>
      </c>
      <c r="D30" s="84">
        <f>BI_UGd_Avg!B5</f>
        <v>135</v>
      </c>
      <c r="E30" s="148">
        <f>BI_UGd_Avg!D38</f>
        <v>9338.6642544999995</v>
      </c>
      <c r="F30" s="136">
        <f>BI_UGd_Avg!H$23</f>
        <v>42.565499999999929</v>
      </c>
      <c r="G30" s="142">
        <f>BI_UGd_Avg!I$23</f>
        <v>2.739038244655205E-2</v>
      </c>
      <c r="H30" s="138">
        <f>BI_UGd_Avg!H$38</f>
        <v>48.099014999999781</v>
      </c>
      <c r="I30" s="145">
        <f>BI_UGd_Avg!I$38</f>
        <v>5.1505240673817374E-3</v>
      </c>
      <c r="J30" s="185"/>
    </row>
    <row r="31" spans="1:10" ht="13.5" thickBot="1" x14ac:dyDescent="0.25">
      <c r="A31" s="179"/>
      <c r="B31" s="92" t="s">
        <v>61</v>
      </c>
      <c r="C31" s="94">
        <f>BI_UGd_High!B4</f>
        <v>175000</v>
      </c>
      <c r="D31" s="85">
        <f>BI_UGd_High!B5</f>
        <v>500</v>
      </c>
      <c r="E31" s="149">
        <f>BI_UGd_High!D38</f>
        <v>32568.840225</v>
      </c>
      <c r="F31" s="139">
        <f>BI_UGd_High!H$23</f>
        <v>151.8100000000004</v>
      </c>
      <c r="G31" s="140">
        <f>BI_UGd_High!I$23</f>
        <v>2.7839083094555947E-2</v>
      </c>
      <c r="H31" s="141">
        <f>BI_UGd_High!H$38</f>
        <v>171.54530000000523</v>
      </c>
      <c r="I31" s="146">
        <f>BI_UGd_High!I$38</f>
        <v>5.2671602309107167E-3</v>
      </c>
      <c r="J31" s="186"/>
    </row>
    <row r="32" spans="1:10" x14ac:dyDescent="0.2">
      <c r="A32" s="178" t="s">
        <v>8</v>
      </c>
      <c r="B32" s="90" t="s">
        <v>60</v>
      </c>
      <c r="C32" s="98">
        <f>BI_StLgt_Low!B4</f>
        <v>100</v>
      </c>
      <c r="D32" s="83"/>
      <c r="E32" s="147">
        <f>BI_StLgt_Low!D37</f>
        <v>29.695732079999996</v>
      </c>
      <c r="F32" s="133">
        <f>BI_StLgt_Low!H$20</f>
        <v>0.43000000000000149</v>
      </c>
      <c r="G32" s="134">
        <f>BI_StLgt_Low!I$20</f>
        <v>2.9944289693593421E-2</v>
      </c>
      <c r="H32" s="135">
        <f>BI_StLgt_Low!H$37</f>
        <v>0.4515000000000029</v>
      </c>
      <c r="I32" s="144">
        <f>BI_StLgt_Low!I$37</f>
        <v>1.5204205061645444E-2</v>
      </c>
      <c r="J32" s="174" t="s">
        <v>95</v>
      </c>
    </row>
    <row r="33" spans="1:10" x14ac:dyDescent="0.2">
      <c r="A33" s="178"/>
      <c r="B33" s="158" t="s">
        <v>113</v>
      </c>
      <c r="C33" s="93">
        <f>BI_StLgt_Avg!B4</f>
        <v>517</v>
      </c>
      <c r="D33" s="84"/>
      <c r="E33" s="148">
        <f>BI_StLgt_Avg!D37</f>
        <v>133.52459109360001</v>
      </c>
      <c r="F33" s="136">
        <f>BI_StLgt_Avg!H$20</f>
        <v>1.7226999999999961</v>
      </c>
      <c r="G33" s="142">
        <f>BI_StLgt_Avg!I$20</f>
        <v>3.0390487867267571E-2</v>
      </c>
      <c r="H33" s="138">
        <f>BI_StLgt_Avg!H$37</f>
        <v>1.8088349999999878</v>
      </c>
      <c r="I33" s="145">
        <f>BI_StLgt_Avg!I$37</f>
        <v>1.3546830476582433E-2</v>
      </c>
      <c r="J33" s="175"/>
    </row>
    <row r="34" spans="1:10" ht="13.5" thickBot="1" x14ac:dyDescent="0.25">
      <c r="A34" s="179"/>
      <c r="B34" s="92" t="s">
        <v>61</v>
      </c>
      <c r="C34" s="94">
        <f>BI_StLgt_High!B4</f>
        <v>2000</v>
      </c>
      <c r="D34" s="85"/>
      <c r="E34" s="149">
        <f>BI_StLgt_High!D37</f>
        <v>532.04024160000006</v>
      </c>
      <c r="F34" s="139">
        <f>BI_StLgt_High!H$20</f>
        <v>6.3200000000000216</v>
      </c>
      <c r="G34" s="140">
        <f>BI_StLgt_High!I$20</f>
        <v>3.0500458472081566E-2</v>
      </c>
      <c r="H34" s="141">
        <f>BI_StLgt_High!H$37</f>
        <v>6.6360000000000809</v>
      </c>
      <c r="I34" s="146">
        <f>BI_StLgt_High!I$37</f>
        <v>1.2472740746158026E-2</v>
      </c>
      <c r="J34" s="176"/>
    </row>
    <row r="35" spans="1:10" x14ac:dyDescent="0.2">
      <c r="A35" s="178" t="s">
        <v>9</v>
      </c>
      <c r="B35" s="90" t="s">
        <v>60</v>
      </c>
      <c r="C35" s="98">
        <f>BI_SenLgt_Low!B4</f>
        <v>20</v>
      </c>
      <c r="D35" s="83"/>
      <c r="E35" s="147">
        <f>BI_SenLgt_Low!D37</f>
        <v>9.1605464159999972</v>
      </c>
      <c r="F35" s="133">
        <f>BI_SenLgt_Low!H$20</f>
        <v>0.3360000000000003</v>
      </c>
      <c r="G35" s="134">
        <f>BI_SenLgt_Low!I$20</f>
        <v>5.8536585365853717E-2</v>
      </c>
      <c r="H35" s="135">
        <f>BI_SenLgt_Low!H$37</f>
        <v>0.35280000000000022</v>
      </c>
      <c r="I35" s="144">
        <f>BI_SenLgt_Low!I$37</f>
        <v>3.8512986450654575E-2</v>
      </c>
      <c r="J35" s="174" t="s">
        <v>95</v>
      </c>
    </row>
    <row r="36" spans="1:10" x14ac:dyDescent="0.2">
      <c r="A36" s="178"/>
      <c r="B36" s="158" t="s">
        <v>113</v>
      </c>
      <c r="C36" s="93">
        <f>BI_SenLgt_Avg!B4</f>
        <v>71</v>
      </c>
      <c r="D36" s="84"/>
      <c r="E36" s="148">
        <f>BI_SenLgt_Avg!D37</f>
        <v>23.121914776800001</v>
      </c>
      <c r="F36" s="136">
        <f>BI_SenLgt_Avg!H$20</f>
        <v>0.70830000000000126</v>
      </c>
      <c r="G36" s="142">
        <f>BI_SenLgt_Avg!I$20</f>
        <v>5.8711870026525309E-2</v>
      </c>
      <c r="H36" s="138">
        <f>BI_SenLgt_Avg!H$37</f>
        <v>0.74371500000000168</v>
      </c>
      <c r="I36" s="145">
        <f>BI_SenLgt_Avg!I$37</f>
        <v>3.2164939935953242E-2</v>
      </c>
      <c r="J36" s="175"/>
    </row>
    <row r="37" spans="1:10" ht="13.5" thickBot="1" x14ac:dyDescent="0.25">
      <c r="A37" s="179"/>
      <c r="B37" s="92" t="s">
        <v>61</v>
      </c>
      <c r="C37" s="94">
        <f>BI_SenLgt_High!B4</f>
        <v>200</v>
      </c>
      <c r="D37" s="85"/>
      <c r="E37" s="149">
        <f>BI_SenLgt_High!D37</f>
        <v>58.435964159999997</v>
      </c>
      <c r="F37" s="139">
        <f>BI_SenLgt_High!H$20</f>
        <v>1.6500000000000021</v>
      </c>
      <c r="G37" s="140">
        <f>BI_SenLgt_High!I$20</f>
        <v>5.8802565930149757E-2</v>
      </c>
      <c r="H37" s="141">
        <f>BI_SenLgt_High!H$37</f>
        <v>1.7325000000000017</v>
      </c>
      <c r="I37" s="146">
        <f>BI_SenLgt_High!I$37</f>
        <v>2.9647838020715252E-2</v>
      </c>
      <c r="J37" s="176"/>
    </row>
    <row r="38" spans="1:10" x14ac:dyDescent="0.2">
      <c r="A38" s="178" t="s">
        <v>12</v>
      </c>
      <c r="B38" s="90" t="s">
        <v>60</v>
      </c>
      <c r="C38" s="98">
        <f>BI_USL_Low!B4</f>
        <v>100</v>
      </c>
      <c r="D38" s="83"/>
      <c r="E38" s="147">
        <f>BI_USL_Low!D37</f>
        <v>55.204230900000006</v>
      </c>
      <c r="F38" s="133">
        <f>BI_USL_Low!H$20</f>
        <v>1.1900000000000048</v>
      </c>
      <c r="G38" s="134">
        <f>BI_USL_Low!I$20</f>
        <v>3.0749354005168081E-2</v>
      </c>
      <c r="H38" s="135">
        <f>BI_USL_Low!H$37</f>
        <v>1.2495000000000047</v>
      </c>
      <c r="I38" s="144">
        <f>BI_USL_Low!I$37</f>
        <v>2.2634134732597181E-2</v>
      </c>
      <c r="J38" s="174" t="s">
        <v>95</v>
      </c>
    </row>
    <row r="39" spans="1:10" x14ac:dyDescent="0.2">
      <c r="A39" s="178"/>
      <c r="B39" s="158" t="s">
        <v>113</v>
      </c>
      <c r="C39" s="93">
        <f>BI_USL_Avg!B4</f>
        <v>364</v>
      </c>
      <c r="D39" s="84"/>
      <c r="E39" s="148">
        <f>BI_USL_Avg!D37</f>
        <v>101.15140047600001</v>
      </c>
      <c r="F39" s="136">
        <f>BI_USL_Avg!H$20</f>
        <v>1.3748000000000076</v>
      </c>
      <c r="G39" s="142">
        <f>BI_USL_Avg!I$20</f>
        <v>2.9573223197384434E-2</v>
      </c>
      <c r="H39" s="138">
        <f>BI_USL_Avg!H$37</f>
        <v>1.4435400000000129</v>
      </c>
      <c r="I39" s="145">
        <f>BI_USL_Avg!I$37</f>
        <v>1.4271082686022908E-2</v>
      </c>
      <c r="J39" s="175"/>
    </row>
    <row r="40" spans="1:10" ht="13.5" thickBot="1" x14ac:dyDescent="0.25">
      <c r="A40" s="179"/>
      <c r="B40" s="92" t="s">
        <v>61</v>
      </c>
      <c r="C40" s="94">
        <f>BI_USL_High!B4</f>
        <v>1000</v>
      </c>
      <c r="D40" s="85"/>
      <c r="E40" s="149">
        <f>BI_USL_High!D37</f>
        <v>218.30610899999999</v>
      </c>
      <c r="F40" s="139">
        <f>BI_USL_High!H$20</f>
        <v>1.8200000000000074</v>
      </c>
      <c r="G40" s="140">
        <f>BI_USL_High!I$20</f>
        <v>2.7892720306513522E-2</v>
      </c>
      <c r="H40" s="141">
        <f>BI_USL_High!H$37</f>
        <v>1.9110000000000014</v>
      </c>
      <c r="I40" s="146">
        <f>BI_USL_High!I$37</f>
        <v>8.7537632765008946E-3</v>
      </c>
      <c r="J40" s="176"/>
    </row>
    <row r="41" spans="1:10" ht="12.75" customHeight="1" x14ac:dyDescent="0.2">
      <c r="A41" s="178" t="s">
        <v>47</v>
      </c>
      <c r="B41" s="90" t="s">
        <v>60</v>
      </c>
      <c r="C41" s="98">
        <f>BI_DGen_Low!B4</f>
        <v>300</v>
      </c>
      <c r="D41" s="83">
        <f>BI_DGen_Low!B5</f>
        <v>10</v>
      </c>
      <c r="E41" s="147">
        <f>BI_DGen_Low!D38</f>
        <v>388.55919874000006</v>
      </c>
      <c r="F41" s="133">
        <f>BI_DGen_Low!H$23</f>
        <v>7.8340000000000032</v>
      </c>
      <c r="G41" s="134">
        <f>BI_DGen_Low!I$23</f>
        <v>2.6576403241045651E-2</v>
      </c>
      <c r="H41" s="135">
        <f>BI_DGen_Low!H$38</f>
        <v>8.8524199999999951</v>
      </c>
      <c r="I41" s="144">
        <f>BI_DGen_Low!I$38</f>
        <v>2.2782680293520707E-2</v>
      </c>
      <c r="J41" s="184" t="s">
        <v>70</v>
      </c>
    </row>
    <row r="42" spans="1:10" x14ac:dyDescent="0.2">
      <c r="A42" s="178"/>
      <c r="B42" s="158" t="s">
        <v>113</v>
      </c>
      <c r="C42" s="93">
        <f>BI_DGen_Avg!B4</f>
        <v>1328</v>
      </c>
      <c r="D42" s="84">
        <f>BI_DGen_Avg!B5</f>
        <v>13</v>
      </c>
      <c r="E42" s="148">
        <f>BI_DGen_Avg!D38</f>
        <v>570.94363953999982</v>
      </c>
      <c r="F42" s="136">
        <f>BI_DGen_Avg!H$23</f>
        <v>10.184200000000033</v>
      </c>
      <c r="G42" s="142">
        <f>BI_DGen_Avg!I$23</f>
        <v>3.1270234828268746E-2</v>
      </c>
      <c r="H42" s="138">
        <f>BI_DGen_Avg!H$38</f>
        <v>11.508146000000124</v>
      </c>
      <c r="I42" s="145">
        <f>BI_DGen_Avg!I$38</f>
        <v>2.0156360808699182E-2</v>
      </c>
      <c r="J42" s="185"/>
    </row>
    <row r="43" spans="1:10" ht="13.5" thickBot="1" x14ac:dyDescent="0.25">
      <c r="A43" s="179"/>
      <c r="B43" s="92" t="s">
        <v>61</v>
      </c>
      <c r="C43" s="94">
        <f>BI_DGen_High!B4</f>
        <v>5000</v>
      </c>
      <c r="D43" s="85">
        <f>BI_DGen_High!B5</f>
        <v>100</v>
      </c>
      <c r="E43" s="149">
        <f>BI_DGen_High!D38</f>
        <v>2152.6436494</v>
      </c>
      <c r="F43" s="139">
        <f>BI_DGen_High!H$23</f>
        <v>78.339999999999918</v>
      </c>
      <c r="G43" s="140">
        <f>BI_DGen_High!I$23</f>
        <v>6.699164827759882E-2</v>
      </c>
      <c r="H43" s="141">
        <f>BI_DGen_High!H$38</f>
        <v>88.524199999999837</v>
      </c>
      <c r="I43" s="146">
        <f>BI_DGen_High!I$38</f>
        <v>4.1123480899717853E-2</v>
      </c>
      <c r="J43" s="186"/>
    </row>
    <row r="44" spans="1:10" x14ac:dyDescent="0.2">
      <c r="A44" s="178" t="s">
        <v>11</v>
      </c>
      <c r="B44" s="90" t="s">
        <v>60</v>
      </c>
      <c r="C44" s="98">
        <f>BI_ST_Low!B4</f>
        <v>200000</v>
      </c>
      <c r="D44" s="83">
        <f>BI_ST_Low!B5</f>
        <v>500</v>
      </c>
      <c r="E44" s="147">
        <f>BI_ST_Low!D36</f>
        <v>33442.66326501494</v>
      </c>
      <c r="F44" s="133">
        <f>BI_ST_Low!H$21</f>
        <v>53.116801939704601</v>
      </c>
      <c r="G44" s="134">
        <f>BI_ST_Low!I$21</f>
        <v>2.1733721081157859E-2</v>
      </c>
      <c r="H44" s="135">
        <f>BI_ST_Low!H$36</f>
        <v>60.021986191859469</v>
      </c>
      <c r="I44" s="144">
        <f>BI_ST_Low!I$36</f>
        <v>1.7947729137544409E-3</v>
      </c>
      <c r="J44" s="184" t="s">
        <v>70</v>
      </c>
    </row>
    <row r="45" spans="1:10" x14ac:dyDescent="0.2">
      <c r="A45" s="178"/>
      <c r="B45" s="158" t="s">
        <v>113</v>
      </c>
      <c r="C45" s="93">
        <f>BI_ST_Avg!B4</f>
        <v>1601036</v>
      </c>
      <c r="D45" s="84">
        <f>BI_ST_Avg!B5</f>
        <v>3091</v>
      </c>
      <c r="E45" s="148">
        <f>BI_ST_Avg!D36</f>
        <v>250009.75680062635</v>
      </c>
      <c r="F45" s="136">
        <f>BI_ST_Avg!H$21</f>
        <v>171.6125695912524</v>
      </c>
      <c r="G45" s="142">
        <f>BI_ST_Avg!I$21</f>
        <v>1.8162345719363607E-2</v>
      </c>
      <c r="H45" s="138">
        <f>BI_ST_Avg!H$36</f>
        <v>193.92220363812521</v>
      </c>
      <c r="I45" s="145">
        <f>BI_ST_Avg!I$36</f>
        <v>7.7565854276947718E-4</v>
      </c>
      <c r="J45" s="185"/>
    </row>
    <row r="46" spans="1:10" ht="13.5" thickBot="1" x14ac:dyDescent="0.25">
      <c r="A46" s="179"/>
      <c r="B46" s="92" t="s">
        <v>61</v>
      </c>
      <c r="C46" s="94">
        <f>BI_ST_High!B4</f>
        <v>4000000</v>
      </c>
      <c r="D46" s="85">
        <f>BI_ST_High!B5</f>
        <v>10000</v>
      </c>
      <c r="E46" s="149">
        <f>BI_ST_High!D36</f>
        <v>642429.92160029872</v>
      </c>
      <c r="F46" s="139">
        <f>BI_ST_High!H$21</f>
        <v>487.58603879409202</v>
      </c>
      <c r="G46" s="140">
        <f>BI_ST_High!I$21</f>
        <v>1.9120360904213769E-2</v>
      </c>
      <c r="H46" s="141">
        <f>BI_ST_High!H$36</f>
        <v>550.97222383739427</v>
      </c>
      <c r="I46" s="146">
        <f>BI_ST_High!I$36</f>
        <v>8.5763786105248253E-4</v>
      </c>
      <c r="J46" s="186"/>
    </row>
  </sheetData>
  <mergeCells count="26">
    <mergeCell ref="A44:A46"/>
    <mergeCell ref="J44:J46"/>
    <mergeCell ref="A41:A43"/>
    <mergeCell ref="A38:A40"/>
    <mergeCell ref="A22:A25"/>
    <mergeCell ref="A26:A28"/>
    <mergeCell ref="A29:A31"/>
    <mergeCell ref="A32:A34"/>
    <mergeCell ref="A35:A37"/>
    <mergeCell ref="J32:J34"/>
    <mergeCell ref="J29:J31"/>
    <mergeCell ref="J26:J28"/>
    <mergeCell ref="J41:J43"/>
    <mergeCell ref="J38:J40"/>
    <mergeCell ref="J35:J37"/>
    <mergeCell ref="A2:A5"/>
    <mergeCell ref="A6:A9"/>
    <mergeCell ref="A10:A13"/>
    <mergeCell ref="A14:A17"/>
    <mergeCell ref="A18:A21"/>
    <mergeCell ref="J2:J5"/>
    <mergeCell ref="J22:J25"/>
    <mergeCell ref="J18:J21"/>
    <mergeCell ref="J14:J17"/>
    <mergeCell ref="J10:J13"/>
    <mergeCell ref="J6:J9"/>
  </mergeCells>
  <pageMargins left="0.7" right="0.7" top="0.75" bottom="0.75" header="0.3" footer="0.3"/>
  <pageSetup paperSize="5" fitToHeight="0" orientation="landscape" r:id="rId1"/>
  <headerFooter>
    <oddHeader>&amp;RFiled: 2017-03-31
EB-2017-0049
Exhibit H1-4-1
Attachment 3
Page &amp;P of &amp;N</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1" tint="0.499984740745262"/>
    <pageSetUpPr fitToPage="1"/>
  </sheetPr>
  <dimension ref="A1:K68"/>
  <sheetViews>
    <sheetView tabSelected="1" view="pageBreakPreview" topLeftCell="A22"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118</v>
      </c>
      <c r="B1" s="188"/>
      <c r="C1" s="188"/>
      <c r="D1" s="188"/>
      <c r="E1" s="188"/>
      <c r="F1" s="188"/>
      <c r="G1" s="188"/>
      <c r="H1" s="188"/>
      <c r="I1" s="188"/>
      <c r="J1" s="188"/>
      <c r="K1" s="189"/>
    </row>
    <row r="3" spans="1:11" x14ac:dyDescent="0.2">
      <c r="A3" s="13" t="s">
        <v>13</v>
      </c>
      <c r="B3" s="13" t="s">
        <v>6</v>
      </c>
    </row>
    <row r="4" spans="1:11" x14ac:dyDescent="0.2">
      <c r="A4" s="15" t="s">
        <v>62</v>
      </c>
      <c r="B4" s="15">
        <v>2000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2134</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0.19222160143478445</v>
      </c>
      <c r="K12" s="106"/>
    </row>
    <row r="13" spans="1:11" x14ac:dyDescent="0.2">
      <c r="A13" s="107" t="s">
        <v>32</v>
      </c>
      <c r="B13" s="73">
        <f>IF(B4&gt;B7,(B4)-B7,0)</f>
        <v>1250</v>
      </c>
      <c r="C13" s="21">
        <v>0.121</v>
      </c>
      <c r="D13" s="22">
        <f>B13*C13</f>
        <v>151.25</v>
      </c>
      <c r="E13" s="73">
        <f t="shared" ref="E13" si="0">B13</f>
        <v>1250</v>
      </c>
      <c r="F13" s="21">
        <f>C13</f>
        <v>0.121</v>
      </c>
      <c r="G13" s="22">
        <f>E13*F13</f>
        <v>151.25</v>
      </c>
      <c r="H13" s="22">
        <f t="shared" ref="H13:H46" si="1">G13-D13</f>
        <v>0</v>
      </c>
      <c r="I13" s="23">
        <f t="shared" ref="I13:I46" si="2">IF(ISERROR(H13/D13),0,(H13/D13))</f>
        <v>0</v>
      </c>
      <c r="J13" s="23">
        <f>G13/$G$46</f>
        <v>0.37635620992894692</v>
      </c>
      <c r="K13" s="108"/>
    </row>
    <row r="14" spans="1:11" s="1" customFormat="1" x14ac:dyDescent="0.2">
      <c r="A14" s="46" t="s">
        <v>33</v>
      </c>
      <c r="B14" s="24"/>
      <c r="C14" s="25"/>
      <c r="D14" s="25">
        <f>SUM(D12:D13)</f>
        <v>228.5</v>
      </c>
      <c r="E14" s="76"/>
      <c r="F14" s="25"/>
      <c r="G14" s="25">
        <f>SUM(G12:G13)</f>
        <v>228.5</v>
      </c>
      <c r="H14" s="25">
        <f t="shared" si="1"/>
        <v>0</v>
      </c>
      <c r="I14" s="27">
        <f t="shared" si="2"/>
        <v>0</v>
      </c>
      <c r="J14" s="27">
        <f>G14/$G$46</f>
        <v>0.56857781136373131</v>
      </c>
      <c r="K14" s="108"/>
    </row>
    <row r="15" spans="1:11" s="1" customFormat="1" x14ac:dyDescent="0.2">
      <c r="A15" s="109" t="s">
        <v>34</v>
      </c>
      <c r="B15" s="75">
        <f>B4*0.65</f>
        <v>1300</v>
      </c>
      <c r="C15" s="28">
        <v>8.6999999999999994E-2</v>
      </c>
      <c r="D15" s="22">
        <f>B15*C15</f>
        <v>113.1</v>
      </c>
      <c r="E15" s="73">
        <f t="shared" ref="E15:F17" si="3">B15</f>
        <v>1300</v>
      </c>
      <c r="F15" s="28">
        <f t="shared" si="3"/>
        <v>8.6999999999999994E-2</v>
      </c>
      <c r="G15" s="22">
        <f>E15*F15</f>
        <v>113.1</v>
      </c>
      <c r="H15" s="22">
        <f t="shared" si="1"/>
        <v>0</v>
      </c>
      <c r="I15" s="23">
        <f t="shared" si="2"/>
        <v>0</v>
      </c>
      <c r="J15" s="23"/>
      <c r="K15" s="108">
        <f t="shared" ref="K15:K26" si="4">G15/$G$51</f>
        <v>0.28667618545157564</v>
      </c>
    </row>
    <row r="16" spans="1:11" s="1" customFormat="1" x14ac:dyDescent="0.2">
      <c r="A16" s="109" t="s">
        <v>35</v>
      </c>
      <c r="B16" s="75">
        <f>B4*0.17</f>
        <v>340</v>
      </c>
      <c r="C16" s="28">
        <v>0.13200000000000001</v>
      </c>
      <c r="D16" s="22">
        <f>B16*C16</f>
        <v>44.88</v>
      </c>
      <c r="E16" s="73">
        <f t="shared" si="3"/>
        <v>340</v>
      </c>
      <c r="F16" s="28">
        <f t="shared" si="3"/>
        <v>0.13200000000000001</v>
      </c>
      <c r="G16" s="22">
        <f>E16*F16</f>
        <v>44.88</v>
      </c>
      <c r="H16" s="22">
        <f t="shared" si="1"/>
        <v>0</v>
      </c>
      <c r="I16" s="23">
        <f t="shared" si="2"/>
        <v>0</v>
      </c>
      <c r="J16" s="23"/>
      <c r="K16" s="108">
        <f t="shared" si="4"/>
        <v>0.11375797703860935</v>
      </c>
    </row>
    <row r="17" spans="1:11" s="1" customFormat="1" x14ac:dyDescent="0.2">
      <c r="A17" s="109" t="s">
        <v>36</v>
      </c>
      <c r="B17" s="75">
        <f>B4*0.18</f>
        <v>360</v>
      </c>
      <c r="C17" s="28">
        <v>0.18</v>
      </c>
      <c r="D17" s="22">
        <f>B17*C17</f>
        <v>64.8</v>
      </c>
      <c r="E17" s="73">
        <f t="shared" si="3"/>
        <v>360</v>
      </c>
      <c r="F17" s="28">
        <f t="shared" si="3"/>
        <v>0.18</v>
      </c>
      <c r="G17" s="22">
        <f>E17*F17</f>
        <v>64.8</v>
      </c>
      <c r="H17" s="22">
        <f t="shared" si="1"/>
        <v>0</v>
      </c>
      <c r="I17" s="23">
        <f t="shared" si="2"/>
        <v>0</v>
      </c>
      <c r="J17" s="23"/>
      <c r="K17" s="108">
        <f t="shared" si="4"/>
        <v>0.16424948556376748</v>
      </c>
    </row>
    <row r="18" spans="1:11" s="1" customFormat="1" x14ac:dyDescent="0.2">
      <c r="A18" s="61" t="s">
        <v>37</v>
      </c>
      <c r="B18" s="29"/>
      <c r="C18" s="30"/>
      <c r="D18" s="30">
        <f>SUM(D15:D17)</f>
        <v>222.77999999999997</v>
      </c>
      <c r="E18" s="77"/>
      <c r="F18" s="30"/>
      <c r="G18" s="30">
        <f>SUM(G15:G17)</f>
        <v>222.77999999999997</v>
      </c>
      <c r="H18" s="31">
        <f t="shared" si="1"/>
        <v>0</v>
      </c>
      <c r="I18" s="32">
        <f t="shared" si="2"/>
        <v>0</v>
      </c>
      <c r="J18" s="33">
        <f t="shared" ref="J18:J23" si="5">G18/$G$46</f>
        <v>0.55434470378823653</v>
      </c>
      <c r="K18" s="62">
        <f t="shared" si="4"/>
        <v>0.56468364805395244</v>
      </c>
    </row>
    <row r="19" spans="1:11" x14ac:dyDescent="0.2">
      <c r="A19" s="107" t="s">
        <v>38</v>
      </c>
      <c r="B19" s="73">
        <v>1</v>
      </c>
      <c r="C19" s="78">
        <f>VLOOKUP($B$3,'Data for Bill Impacts'!$A$3:$Y$15,7,0)</f>
        <v>24.52</v>
      </c>
      <c r="D19" s="22">
        <f>B19*C19</f>
        <v>24.52</v>
      </c>
      <c r="E19" s="73">
        <f t="shared" ref="E19:E41" si="6">B19</f>
        <v>1</v>
      </c>
      <c r="F19" s="78">
        <f>VLOOKUP($B$3,'Data for Bill Impacts'!$A$3:$Y$15,17,0)</f>
        <v>25.11</v>
      </c>
      <c r="G19" s="22">
        <f>E19*F19</f>
        <v>25.11</v>
      </c>
      <c r="H19" s="22">
        <f t="shared" si="1"/>
        <v>0.58999999999999986</v>
      </c>
      <c r="I19" s="23">
        <f t="shared" si="2"/>
        <v>2.4061990212071772E-2</v>
      </c>
      <c r="J19" s="23">
        <f t="shared" si="5"/>
        <v>6.2481351612005666E-2</v>
      </c>
      <c r="K19" s="108">
        <f t="shared" si="4"/>
        <v>6.3646675655959897E-2</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110</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2.4883055201913846E-5</v>
      </c>
      <c r="K22" s="108">
        <f t="shared" si="4"/>
        <v>2.5347142833914736E-5</v>
      </c>
    </row>
    <row r="23" spans="1:11" x14ac:dyDescent="0.2">
      <c r="A23" s="107" t="s">
        <v>39</v>
      </c>
      <c r="B23" s="73">
        <f>IF($B$9="kWh",$B$4,$B$5)</f>
        <v>2000</v>
      </c>
      <c r="C23" s="78">
        <f>VLOOKUP($B$3,'Data for Bill Impacts'!$A$3:$Y$15,10,0)</f>
        <v>2.9000000000000001E-2</v>
      </c>
      <c r="D23" s="22">
        <f>B23*C23</f>
        <v>58</v>
      </c>
      <c r="E23" s="73">
        <f t="shared" si="6"/>
        <v>2000</v>
      </c>
      <c r="F23" s="78">
        <f>VLOOKUP($B$3,'Data for Bill Impacts'!$A$3:$Y$15,19,0)</f>
        <v>0.03</v>
      </c>
      <c r="G23" s="22">
        <f>E23*F23</f>
        <v>60</v>
      </c>
      <c r="H23" s="22">
        <f t="shared" si="1"/>
        <v>2</v>
      </c>
      <c r="I23" s="23">
        <f t="shared" si="2"/>
        <v>3.4482758620689655E-2</v>
      </c>
      <c r="J23" s="23">
        <f t="shared" si="5"/>
        <v>0.14929833121148306</v>
      </c>
      <c r="K23" s="108">
        <f t="shared" si="4"/>
        <v>0.15208285700348842</v>
      </c>
    </row>
    <row r="24" spans="1:11" x14ac:dyDescent="0.2">
      <c r="A24" s="107" t="s">
        <v>121</v>
      </c>
      <c r="B24" s="73">
        <f>IF($B$9="kWh",$B$4,$B$5)</f>
        <v>2000</v>
      </c>
      <c r="C24" s="126">
        <f>VLOOKUP($B$3,'Data for Bill Impacts'!$A$3:$Y$15,14,0)</f>
        <v>2.0000000000000001E-4</v>
      </c>
      <c r="D24" s="22">
        <f>B24*C24</f>
        <v>0.4</v>
      </c>
      <c r="E24" s="73">
        <f t="shared" si="6"/>
        <v>2000</v>
      </c>
      <c r="F24" s="126">
        <f>VLOOKUP($B$3,'Data for Bill Impacts'!$A$3:$Y$15,23,0)</f>
        <v>2.0000000000000001E-4</v>
      </c>
      <c r="G24" s="22">
        <f>E24*F24</f>
        <v>0.4</v>
      </c>
      <c r="H24" s="22">
        <f t="shared" si="1"/>
        <v>0</v>
      </c>
      <c r="I24" s="23">
        <f>IF(ISERROR(H24/D24),0,(H24/D24))</f>
        <v>0</v>
      </c>
      <c r="J24" s="23">
        <f t="shared" ref="J24" si="9">G24/$G$46</f>
        <v>9.9532220807655391E-4</v>
      </c>
      <c r="K24" s="108">
        <f t="shared" si="4"/>
        <v>1.0138857133565895E-3</v>
      </c>
    </row>
    <row r="25" spans="1:11" s="1" customFormat="1" x14ac:dyDescent="0.2">
      <c r="A25" s="110" t="s">
        <v>72</v>
      </c>
      <c r="B25" s="74"/>
      <c r="C25" s="35"/>
      <c r="D25" s="35">
        <f>SUM(D19:D24)</f>
        <v>82.93</v>
      </c>
      <c r="E25" s="73"/>
      <c r="F25" s="35"/>
      <c r="G25" s="35">
        <f>SUM(G19:G24)</f>
        <v>85.52000000000001</v>
      </c>
      <c r="H25" s="35">
        <f t="shared" si="1"/>
        <v>2.5900000000000034</v>
      </c>
      <c r="I25" s="36">
        <f t="shared" si="2"/>
        <v>3.1231158808633825E-2</v>
      </c>
      <c r="J25" s="36">
        <f>G25/$G$46</f>
        <v>0.21279988808676722</v>
      </c>
      <c r="K25" s="111">
        <f t="shared" si="4"/>
        <v>0.21676876551563884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1.9657613609511937E-3</v>
      </c>
      <c r="K26" s="108">
        <f t="shared" si="4"/>
        <v>2.0024242838792643E-3</v>
      </c>
    </row>
    <row r="27" spans="1:11" s="1" customFormat="1" x14ac:dyDescent="0.2">
      <c r="A27" s="119" t="s">
        <v>75</v>
      </c>
      <c r="B27" s="120">
        <f>B8-B4</f>
        <v>134</v>
      </c>
      <c r="C27" s="121">
        <f>IF(B4&gt;B7,C13,C12)</f>
        <v>0.121</v>
      </c>
      <c r="D27" s="22">
        <f>B27*C27</f>
        <v>16.213999999999999</v>
      </c>
      <c r="E27" s="73">
        <f>B27</f>
        <v>134</v>
      </c>
      <c r="F27" s="121">
        <f>C27</f>
        <v>0.121</v>
      </c>
      <c r="G27" s="22">
        <f>E27*F27</f>
        <v>16.213999999999999</v>
      </c>
      <c r="H27" s="22">
        <f t="shared" si="1"/>
        <v>0</v>
      </c>
      <c r="I27" s="23">
        <f>IF(ISERROR(H27/D27),0,(H27/D27))</f>
        <v>0</v>
      </c>
      <c r="J27" s="23">
        <f t="shared" ref="J27:J46" si="10">G27/$G$46</f>
        <v>4.0345385704383105E-2</v>
      </c>
      <c r="K27" s="108">
        <f t="shared" ref="K27:K41" si="11">G27/$G$51</f>
        <v>4.1097857390909348E-2</v>
      </c>
    </row>
    <row r="28" spans="1:11" s="1" customFormat="1" x14ac:dyDescent="0.2">
      <c r="A28" s="119" t="s">
        <v>74</v>
      </c>
      <c r="B28" s="120">
        <f>B8-B4</f>
        <v>134</v>
      </c>
      <c r="C28" s="121">
        <f>0.65*C15+0.17*C16+0.18*C17</f>
        <v>0.11139</v>
      </c>
      <c r="D28" s="22">
        <f>B28*C28</f>
        <v>14.926260000000001</v>
      </c>
      <c r="E28" s="73">
        <f>B28</f>
        <v>134</v>
      </c>
      <c r="F28" s="121">
        <f>C28</f>
        <v>0.11139</v>
      </c>
      <c r="G28" s="22">
        <f>E28*F28</f>
        <v>14.926260000000001</v>
      </c>
      <c r="H28" s="22">
        <f t="shared" si="1"/>
        <v>0</v>
      </c>
      <c r="I28" s="23">
        <f>IF(ISERROR(H28/D28),0,(H28/D28))</f>
        <v>0</v>
      </c>
      <c r="J28" s="23">
        <f t="shared" si="10"/>
        <v>3.7141095153811858E-2</v>
      </c>
      <c r="K28" s="108">
        <f t="shared" si="11"/>
        <v>3.7833804419614821E-2</v>
      </c>
    </row>
    <row r="29" spans="1:11" s="1" customFormat="1" x14ac:dyDescent="0.2">
      <c r="A29" s="110" t="s">
        <v>78</v>
      </c>
      <c r="B29" s="74"/>
      <c r="C29" s="35"/>
      <c r="D29" s="35">
        <f>SUM(D25,D26:D27)</f>
        <v>99.934000000000012</v>
      </c>
      <c r="E29" s="73"/>
      <c r="F29" s="35"/>
      <c r="G29" s="35">
        <f>SUM(G25,G26:G27)</f>
        <v>102.52400000000002</v>
      </c>
      <c r="H29" s="35">
        <f t="shared" si="1"/>
        <v>2.5900000000000034</v>
      </c>
      <c r="I29" s="36">
        <f>IF(ISERROR(H29/D29),0,(H29/D29))</f>
        <v>2.5917105289491094E-2</v>
      </c>
      <c r="J29" s="36">
        <f t="shared" si="10"/>
        <v>0.25511103515210154</v>
      </c>
      <c r="K29" s="111">
        <f t="shared" si="11"/>
        <v>0.25986904719042747</v>
      </c>
    </row>
    <row r="30" spans="1:11" s="1" customFormat="1" x14ac:dyDescent="0.2">
      <c r="A30" s="110" t="s">
        <v>77</v>
      </c>
      <c r="B30" s="74"/>
      <c r="C30" s="35"/>
      <c r="D30" s="35">
        <f>SUM(D25,D26,D28)</f>
        <v>98.646260000000012</v>
      </c>
      <c r="E30" s="73"/>
      <c r="F30" s="35"/>
      <c r="G30" s="35">
        <f>SUM(G25,G26,G28)</f>
        <v>101.23626000000002</v>
      </c>
      <c r="H30" s="35">
        <f t="shared" si="1"/>
        <v>2.5900000000000034</v>
      </c>
      <c r="I30" s="36">
        <f>IF(ISERROR(H30/D30),0,(H30/D30))</f>
        <v>2.6255430261623736E-2</v>
      </c>
      <c r="J30" s="36">
        <f t="shared" si="10"/>
        <v>0.25190674460153029</v>
      </c>
      <c r="K30" s="111">
        <f t="shared" si="11"/>
        <v>0.25660499421913296</v>
      </c>
    </row>
    <row r="31" spans="1:11" x14ac:dyDescent="0.2">
      <c r="A31" s="107" t="s">
        <v>40</v>
      </c>
      <c r="B31" s="73">
        <f>B8</f>
        <v>2134</v>
      </c>
      <c r="C31" s="126">
        <f>VLOOKUP($B$3,'Data for Bill Impacts'!$A$3:$Y$15,15,0)</f>
        <v>6.1060000000000003E-3</v>
      </c>
      <c r="D31" s="22">
        <f>B31*C31</f>
        <v>13.030204000000001</v>
      </c>
      <c r="E31" s="73">
        <f t="shared" si="6"/>
        <v>2134</v>
      </c>
      <c r="F31" s="126">
        <f>VLOOKUP($B$3,'Data for Bill Impacts'!$A$3:$Y$15,24,0)</f>
        <v>6.1060000000000003E-3</v>
      </c>
      <c r="G31" s="22">
        <f>E31*F31</f>
        <v>13.030204000000001</v>
      </c>
      <c r="H31" s="22">
        <f t="shared" si="1"/>
        <v>0</v>
      </c>
      <c r="I31" s="23">
        <f t="shared" si="2"/>
        <v>0</v>
      </c>
      <c r="J31" s="23">
        <f t="shared" si="10"/>
        <v>3.2423128542419861E-2</v>
      </c>
      <c r="K31" s="108">
        <f t="shared" si="11"/>
        <v>3.3027844194304719E-2</v>
      </c>
    </row>
    <row r="32" spans="1:11" x14ac:dyDescent="0.2">
      <c r="A32" s="107" t="s">
        <v>41</v>
      </c>
      <c r="B32" s="73">
        <f>B8</f>
        <v>2134</v>
      </c>
      <c r="C32" s="126">
        <f>VLOOKUP($B$3,'Data for Bill Impacts'!$A$3:$Y$15,16,0)</f>
        <v>4.6519999999999999E-3</v>
      </c>
      <c r="D32" s="22">
        <f>B32*C32</f>
        <v>9.9273679999999995</v>
      </c>
      <c r="E32" s="73">
        <f t="shared" si="6"/>
        <v>2134</v>
      </c>
      <c r="F32" s="126">
        <f>VLOOKUP($B$3,'Data for Bill Impacts'!$A$3:$Y$15,25,0)</f>
        <v>4.6519999999999999E-3</v>
      </c>
      <c r="G32" s="22">
        <f>E32*F32</f>
        <v>9.9273679999999995</v>
      </c>
      <c r="H32" s="22">
        <f t="shared" si="1"/>
        <v>0</v>
      </c>
      <c r="I32" s="23">
        <f t="shared" si="2"/>
        <v>0</v>
      </c>
      <c r="J32" s="23">
        <f t="shared" si="10"/>
        <v>2.4702324595371302E-2</v>
      </c>
      <c r="K32" s="108">
        <f t="shared" si="11"/>
        <v>2.5163041466083447E-2</v>
      </c>
    </row>
    <row r="33" spans="1:11" s="1" customFormat="1" x14ac:dyDescent="0.2">
      <c r="A33" s="110" t="s">
        <v>76</v>
      </c>
      <c r="B33" s="74"/>
      <c r="C33" s="35"/>
      <c r="D33" s="35">
        <f>SUM(D31:D32)</f>
        <v>22.957571999999999</v>
      </c>
      <c r="E33" s="73"/>
      <c r="F33" s="35"/>
      <c r="G33" s="35">
        <f>SUM(G31:G32)</f>
        <v>22.957571999999999</v>
      </c>
      <c r="H33" s="35">
        <f t="shared" si="1"/>
        <v>0</v>
      </c>
      <c r="I33" s="36">
        <f t="shared" si="2"/>
        <v>0</v>
      </c>
      <c r="J33" s="36">
        <f t="shared" si="10"/>
        <v>5.712545313779116E-2</v>
      </c>
      <c r="K33" s="111">
        <f t="shared" si="11"/>
        <v>5.8190885660388159E-2</v>
      </c>
    </row>
    <row r="34" spans="1:11" s="1" customFormat="1" ht="13.5" customHeight="1" x14ac:dyDescent="0.2">
      <c r="A34" s="110" t="s">
        <v>91</v>
      </c>
      <c r="B34" s="74"/>
      <c r="C34" s="35"/>
      <c r="D34" s="35">
        <f>D29+D33</f>
        <v>122.89157200000001</v>
      </c>
      <c r="E34" s="73"/>
      <c r="F34" s="35"/>
      <c r="G34" s="35">
        <f>G29+G33</f>
        <v>125.48157200000001</v>
      </c>
      <c r="H34" s="35">
        <f t="shared" si="1"/>
        <v>2.5900000000000034</v>
      </c>
      <c r="I34" s="36">
        <f t="shared" si="2"/>
        <v>2.1075489212555629E-2</v>
      </c>
      <c r="J34" s="36">
        <f t="shared" si="10"/>
        <v>0.3122364882898927</v>
      </c>
      <c r="K34" s="111">
        <f t="shared" si="11"/>
        <v>0.31805993285081563</v>
      </c>
    </row>
    <row r="35" spans="1:11" s="1" customFormat="1" ht="13.5" customHeight="1" x14ac:dyDescent="0.2">
      <c r="A35" s="110" t="s">
        <v>92</v>
      </c>
      <c r="B35" s="74"/>
      <c r="C35" s="35"/>
      <c r="D35" s="35">
        <f>D30+D33</f>
        <v>121.60383200000001</v>
      </c>
      <c r="E35" s="73"/>
      <c r="F35" s="35"/>
      <c r="G35" s="35">
        <f>G30+G33</f>
        <v>124.19383200000001</v>
      </c>
      <c r="H35" s="35">
        <f t="shared" si="1"/>
        <v>2.5900000000000034</v>
      </c>
      <c r="I35" s="36">
        <f t="shared" si="2"/>
        <v>2.1298670916883634E-2</v>
      </c>
      <c r="J35" s="36">
        <f t="shared" si="10"/>
        <v>0.30903219773932145</v>
      </c>
      <c r="K35" s="111">
        <f t="shared" si="11"/>
        <v>0.31479587987952112</v>
      </c>
    </row>
    <row r="36" spans="1:11" x14ac:dyDescent="0.2">
      <c r="A36" s="107" t="s">
        <v>42</v>
      </c>
      <c r="B36" s="73">
        <f>B8</f>
        <v>2134</v>
      </c>
      <c r="C36" s="34">
        <v>3.5999999999999999E-3</v>
      </c>
      <c r="D36" s="22">
        <f>B36*C36</f>
        <v>7.6823999999999995</v>
      </c>
      <c r="E36" s="73">
        <f t="shared" si="6"/>
        <v>2134</v>
      </c>
      <c r="F36" s="34">
        <v>3.5999999999999999E-3</v>
      </c>
      <c r="G36" s="22">
        <f>E36*F36</f>
        <v>7.6823999999999995</v>
      </c>
      <c r="H36" s="22">
        <f t="shared" si="1"/>
        <v>0</v>
      </c>
      <c r="I36" s="23">
        <f t="shared" si="2"/>
        <v>0</v>
      </c>
      <c r="J36" s="23">
        <f t="shared" si="10"/>
        <v>1.911615832831829E-2</v>
      </c>
      <c r="K36" s="108">
        <f t="shared" si="11"/>
        <v>1.9472689010726657E-2</v>
      </c>
    </row>
    <row r="37" spans="1:11" x14ac:dyDescent="0.2">
      <c r="A37" s="107" t="s">
        <v>43</v>
      </c>
      <c r="B37" s="73">
        <f>B8</f>
        <v>2134</v>
      </c>
      <c r="C37" s="34">
        <v>2.0999999999999999E-3</v>
      </c>
      <c r="D37" s="22">
        <f>B37*C37</f>
        <v>4.4813999999999998</v>
      </c>
      <c r="E37" s="73">
        <f t="shared" si="6"/>
        <v>2134</v>
      </c>
      <c r="F37" s="34">
        <v>2.0999999999999999E-3</v>
      </c>
      <c r="G37" s="22">
        <f>E37*F37</f>
        <v>4.4813999999999998</v>
      </c>
      <c r="H37" s="22">
        <f>G37-D37</f>
        <v>0</v>
      </c>
      <c r="I37" s="23">
        <f t="shared" si="2"/>
        <v>0</v>
      </c>
      <c r="J37" s="23">
        <f t="shared" si="10"/>
        <v>1.115109235818567E-2</v>
      </c>
      <c r="K37" s="108">
        <f t="shared" si="11"/>
        <v>1.135906858959055E-2</v>
      </c>
    </row>
    <row r="38" spans="1:11" x14ac:dyDescent="0.2">
      <c r="A38" s="107" t="s">
        <v>96</v>
      </c>
      <c r="B38" s="73">
        <f>B8</f>
        <v>2134</v>
      </c>
      <c r="C38" s="34">
        <v>1.1000000000000001E-3</v>
      </c>
      <c r="D38" s="22">
        <f>B38*C38</f>
        <v>2.3473999999999999</v>
      </c>
      <c r="E38" s="73">
        <f t="shared" si="6"/>
        <v>2134</v>
      </c>
      <c r="F38" s="34">
        <v>1.1000000000000001E-3</v>
      </c>
      <c r="G38" s="22">
        <f>E38*F38</f>
        <v>2.3473999999999999</v>
      </c>
      <c r="H38" s="22">
        <f>G38-D38</f>
        <v>0</v>
      </c>
      <c r="I38" s="23">
        <f t="shared" ref="I38" si="12">IF(ISERROR(H38/D38),0,(H38/D38))</f>
        <v>0</v>
      </c>
      <c r="J38" s="23">
        <f t="shared" ref="J38" si="13">G38/$G$46</f>
        <v>5.8410483780972555E-3</v>
      </c>
      <c r="K38" s="108">
        <f t="shared" ref="K38" si="14">G38/$G$51</f>
        <v>5.9499883088331446E-3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6.2207638004784611E-4</v>
      </c>
      <c r="K39" s="108">
        <f t="shared" si="11"/>
        <v>6.3367857084786836E-4</v>
      </c>
    </row>
    <row r="40" spans="1:11" s="1" customFormat="1" x14ac:dyDescent="0.2">
      <c r="A40" s="110" t="s">
        <v>45</v>
      </c>
      <c r="B40" s="74"/>
      <c r="C40" s="35"/>
      <c r="D40" s="35">
        <f>SUM(D36:D39)</f>
        <v>14.761199999999999</v>
      </c>
      <c r="E40" s="73"/>
      <c r="F40" s="35"/>
      <c r="G40" s="35">
        <f>SUM(G36:G39)</f>
        <v>14.761199999999999</v>
      </c>
      <c r="H40" s="35">
        <f t="shared" si="1"/>
        <v>0</v>
      </c>
      <c r="I40" s="36">
        <f t="shared" si="2"/>
        <v>0</v>
      </c>
      <c r="J40" s="36">
        <f t="shared" si="10"/>
        <v>3.6730375444649063E-2</v>
      </c>
      <c r="K40" s="111">
        <f t="shared" si="11"/>
        <v>3.7415424479998217E-2</v>
      </c>
    </row>
    <row r="41" spans="1:11" s="1" customFormat="1" ht="13.5" thickBot="1" x14ac:dyDescent="0.25">
      <c r="A41" s="112" t="s">
        <v>46</v>
      </c>
      <c r="B41" s="113">
        <f>B4</f>
        <v>2000</v>
      </c>
      <c r="C41" s="114">
        <v>7.0000000000000001E-3</v>
      </c>
      <c r="D41" s="115">
        <f>B41*C41</f>
        <v>14</v>
      </c>
      <c r="E41" s="116">
        <f t="shared" si="6"/>
        <v>2000</v>
      </c>
      <c r="F41" s="114">
        <f>C41</f>
        <v>7.0000000000000001E-3</v>
      </c>
      <c r="G41" s="115">
        <f>E41*F41</f>
        <v>14</v>
      </c>
      <c r="H41" s="115">
        <f t="shared" si="1"/>
        <v>0</v>
      </c>
      <c r="I41" s="117">
        <f t="shared" si="2"/>
        <v>0</v>
      </c>
      <c r="J41" s="117">
        <f t="shared" si="10"/>
        <v>3.4836277282679386E-2</v>
      </c>
      <c r="K41" s="118">
        <f t="shared" si="11"/>
        <v>3.5485999967480628E-2</v>
      </c>
    </row>
    <row r="42" spans="1:11" s="1" customFormat="1" x14ac:dyDescent="0.2">
      <c r="A42" s="37" t="s">
        <v>101</v>
      </c>
      <c r="B42" s="38"/>
      <c r="C42" s="39"/>
      <c r="D42" s="39">
        <f>SUM(D14,D25,D26,D27,D33,D40,D41)</f>
        <v>380.15277199999997</v>
      </c>
      <c r="E42" s="38"/>
      <c r="F42" s="39"/>
      <c r="G42" s="39">
        <f>SUM(G14,G25,G26,G27,G33,G40,G41)</f>
        <v>382.742772</v>
      </c>
      <c r="H42" s="39">
        <f t="shared" si="1"/>
        <v>2.5900000000000318</v>
      </c>
      <c r="I42" s="40">
        <f>IF(ISERROR(H42/D42),0,(H42/D42))</f>
        <v>6.8130504122696023E-3</v>
      </c>
      <c r="J42" s="40">
        <f t="shared" si="10"/>
        <v>0.95238095238095244</v>
      </c>
      <c r="K42" s="41"/>
    </row>
    <row r="43" spans="1:11" x14ac:dyDescent="0.2">
      <c r="A43" s="154" t="s">
        <v>102</v>
      </c>
      <c r="B43" s="43"/>
      <c r="C43" s="26">
        <v>0.13</v>
      </c>
      <c r="D43" s="26">
        <f>D42*C43</f>
        <v>49.419860360000001</v>
      </c>
      <c r="E43" s="26"/>
      <c r="F43" s="26">
        <f>C43</f>
        <v>0.13</v>
      </c>
      <c r="G43" s="26">
        <f>G42*F43</f>
        <v>49.756560360000002</v>
      </c>
      <c r="H43" s="26">
        <f t="shared" si="1"/>
        <v>0.33670000000000044</v>
      </c>
      <c r="I43" s="44">
        <f t="shared" si="2"/>
        <v>6.8130504122695269E-3</v>
      </c>
      <c r="J43" s="44">
        <f t="shared" si="10"/>
        <v>0.12380952380952383</v>
      </c>
      <c r="K43" s="45"/>
    </row>
    <row r="44" spans="1:11" s="1" customFormat="1" x14ac:dyDescent="0.2">
      <c r="A44" s="46" t="s">
        <v>103</v>
      </c>
      <c r="B44" s="24"/>
      <c r="C44" s="25"/>
      <c r="D44" s="25">
        <f>SUM(D42:D43)</f>
        <v>429.57263235999994</v>
      </c>
      <c r="E44" s="25"/>
      <c r="F44" s="25"/>
      <c r="G44" s="25">
        <f>SUM(G42:G43)</f>
        <v>432.49933235999998</v>
      </c>
      <c r="H44" s="25">
        <f t="shared" si="1"/>
        <v>2.9267000000000394</v>
      </c>
      <c r="I44" s="27">
        <f t="shared" si="2"/>
        <v>6.8130504122696101E-3</v>
      </c>
      <c r="J44" s="27">
        <f t="shared" si="10"/>
        <v>1.0761904761904764</v>
      </c>
      <c r="K44" s="47"/>
    </row>
    <row r="45" spans="1:11" x14ac:dyDescent="0.2">
      <c r="A45" s="42" t="s">
        <v>104</v>
      </c>
      <c r="B45" s="43"/>
      <c r="C45" s="26">
        <v>-0.08</v>
      </c>
      <c r="D45" s="26">
        <f>D42*C45</f>
        <v>-30.412221759999998</v>
      </c>
      <c r="E45" s="26"/>
      <c r="F45" s="26">
        <f>C45</f>
        <v>-0.08</v>
      </c>
      <c r="G45" s="26">
        <f>G42*F45</f>
        <v>-30.619421760000002</v>
      </c>
      <c r="H45" s="26">
        <f t="shared" si="1"/>
        <v>-0.20720000000000383</v>
      </c>
      <c r="I45" s="44">
        <f t="shared" si="2"/>
        <v>6.813050412269644E-3</v>
      </c>
      <c r="J45" s="44">
        <f t="shared" si="10"/>
        <v>-7.6190476190476197E-2</v>
      </c>
      <c r="K45" s="45"/>
    </row>
    <row r="46" spans="1:11" s="1" customFormat="1" ht="13.5" thickBot="1" x14ac:dyDescent="0.25">
      <c r="A46" s="48" t="s">
        <v>105</v>
      </c>
      <c r="B46" s="49"/>
      <c r="C46" s="50"/>
      <c r="D46" s="50">
        <f>SUM(D44:D45)</f>
        <v>399.16041059999992</v>
      </c>
      <c r="E46" s="50"/>
      <c r="F46" s="50"/>
      <c r="G46" s="50">
        <f>SUM(G44:G45)</f>
        <v>401.87991059999996</v>
      </c>
      <c r="H46" s="50">
        <f t="shared" si="1"/>
        <v>2.7195000000000391</v>
      </c>
      <c r="I46" s="51">
        <f t="shared" si="2"/>
        <v>6.8130504122696171E-3</v>
      </c>
      <c r="J46" s="51">
        <f t="shared" si="10"/>
        <v>1</v>
      </c>
      <c r="K46" s="52"/>
    </row>
    <row r="47" spans="1:11" x14ac:dyDescent="0.2">
      <c r="A47" s="53" t="s">
        <v>106</v>
      </c>
      <c r="B47" s="54"/>
      <c r="C47" s="55"/>
      <c r="D47" s="55">
        <f>SUM(D18,D25,D26,D28,D33,D40,D41)</f>
        <v>373.14503199999996</v>
      </c>
      <c r="E47" s="55"/>
      <c r="F47" s="55"/>
      <c r="G47" s="55">
        <f>SUM(G18,G25,G26,G28,G33,G40,G41)</f>
        <v>375.73503199999999</v>
      </c>
      <c r="H47" s="55">
        <f>G47-D47</f>
        <v>2.5900000000000318</v>
      </c>
      <c r="I47" s="56">
        <f>IF(ISERROR(H47/D47),0,(H47/D47))</f>
        <v>6.9410008921143348E-3</v>
      </c>
      <c r="J47" s="56"/>
      <c r="K47" s="57">
        <f>G47/$G$51</f>
        <v>0.95238095238095233</v>
      </c>
    </row>
    <row r="48" spans="1:11" x14ac:dyDescent="0.2">
      <c r="A48" s="58" t="s">
        <v>102</v>
      </c>
      <c r="B48" s="59"/>
      <c r="C48" s="31">
        <v>0.13</v>
      </c>
      <c r="D48" s="31">
        <f>D47*C48</f>
        <v>48.508854159999999</v>
      </c>
      <c r="E48" s="31"/>
      <c r="F48" s="31">
        <f>C48</f>
        <v>0.13</v>
      </c>
      <c r="G48" s="31">
        <f>G47*F48</f>
        <v>48.845554159999999</v>
      </c>
      <c r="H48" s="31">
        <f>G48-D48</f>
        <v>0.33670000000000044</v>
      </c>
      <c r="I48" s="32">
        <f>IF(ISERROR(H48/D48),0,(H48/D48))</f>
        <v>6.9410008921142585E-3</v>
      </c>
      <c r="J48" s="32"/>
      <c r="K48" s="60">
        <f>G48/$G$51</f>
        <v>0.12380952380952381</v>
      </c>
    </row>
    <row r="49" spans="1:11" x14ac:dyDescent="0.2">
      <c r="A49" s="150" t="s">
        <v>107</v>
      </c>
      <c r="B49" s="29"/>
      <c r="C49" s="30"/>
      <c r="D49" s="30">
        <f>SUM(D47:D48)</f>
        <v>421.65388615999996</v>
      </c>
      <c r="E49" s="30"/>
      <c r="F49" s="30"/>
      <c r="G49" s="30">
        <f>SUM(G47:G48)</f>
        <v>424.58058616</v>
      </c>
      <c r="H49" s="30">
        <f>G49-D49</f>
        <v>2.9267000000000394</v>
      </c>
      <c r="I49" s="33">
        <f>IF(ISERROR(H49/D49),0,(H49/D49))</f>
        <v>6.9410008921143435E-3</v>
      </c>
      <c r="J49" s="33"/>
      <c r="K49" s="62">
        <f>G49/$G$51</f>
        <v>1.0761904761904761</v>
      </c>
    </row>
    <row r="50" spans="1:11" x14ac:dyDescent="0.2">
      <c r="A50" s="58" t="s">
        <v>104</v>
      </c>
      <c r="B50" s="59"/>
      <c r="C50" s="31">
        <v>-0.08</v>
      </c>
      <c r="D50" s="31">
        <f>D47*C50</f>
        <v>-29.851602559999996</v>
      </c>
      <c r="E50" s="31"/>
      <c r="F50" s="31">
        <f>C50</f>
        <v>-0.08</v>
      </c>
      <c r="G50" s="31">
        <f>G47*F50</f>
        <v>-30.05880256</v>
      </c>
      <c r="H50" s="31">
        <f>G50-D50</f>
        <v>-0.20720000000000383</v>
      </c>
      <c r="I50" s="32">
        <f>IF(ISERROR(H50/D50),0,(H50/D50))</f>
        <v>6.9410008921143782E-3</v>
      </c>
      <c r="J50" s="32"/>
      <c r="K50" s="60">
        <f>G50/$G$51</f>
        <v>-7.6190476190476197E-2</v>
      </c>
    </row>
    <row r="51" spans="1:11" ht="13.5" thickBot="1" x14ac:dyDescent="0.25">
      <c r="A51" s="63" t="s">
        <v>116</v>
      </c>
      <c r="B51" s="64"/>
      <c r="C51" s="65"/>
      <c r="D51" s="65">
        <f>SUM(D49:D50)</f>
        <v>391.80228359999995</v>
      </c>
      <c r="E51" s="65"/>
      <c r="F51" s="65"/>
      <c r="G51" s="65">
        <f>SUM(G49:G50)</f>
        <v>394.52178359999999</v>
      </c>
      <c r="H51" s="65">
        <f>G51-D51</f>
        <v>2.7195000000000391</v>
      </c>
      <c r="I51" s="66">
        <f>IF(ISERROR(H51/D51),0,(H51/D51))</f>
        <v>6.9410008921143495E-3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9"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1" tint="0.499984740745262"/>
    <pageSetUpPr fitToPage="1"/>
  </sheetPr>
  <dimension ref="A1:K68"/>
  <sheetViews>
    <sheetView tabSelected="1" view="pageBreakPreview"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119</v>
      </c>
      <c r="B1" s="188"/>
      <c r="C1" s="188"/>
      <c r="D1" s="188"/>
      <c r="E1" s="188"/>
      <c r="F1" s="188"/>
      <c r="G1" s="188"/>
      <c r="H1" s="188"/>
      <c r="I1" s="188"/>
      <c r="J1" s="188"/>
      <c r="K1" s="189"/>
    </row>
    <row r="3" spans="1:11" x14ac:dyDescent="0.2">
      <c r="A3" s="13" t="s">
        <v>13</v>
      </c>
      <c r="B3" s="13" t="s">
        <v>6</v>
      </c>
    </row>
    <row r="4" spans="1:11" x14ac:dyDescent="0.2">
      <c r="A4" s="15" t="s">
        <v>62</v>
      </c>
      <c r="B4" s="168">
        <f>VLOOKUP(B3,'Data for Bill Impacts'!A19:D32,3,FALSE)</f>
        <v>2759</v>
      </c>
    </row>
    <row r="5" spans="1:11" x14ac:dyDescent="0.2">
      <c r="A5" s="15" t="s">
        <v>16</v>
      </c>
      <c r="B5" s="168">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68">
        <f>B4*B6</f>
        <v>2943.8530000000001</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0.14062108091111591</v>
      </c>
      <c r="K12" s="106"/>
    </row>
    <row r="13" spans="1:11" x14ac:dyDescent="0.2">
      <c r="A13" s="107" t="s">
        <v>32</v>
      </c>
      <c r="B13" s="73">
        <f>IF(B4&gt;B7,(B4)-B7,0)</f>
        <v>2009</v>
      </c>
      <c r="C13" s="21">
        <v>0.121</v>
      </c>
      <c r="D13" s="22">
        <f>B13*C13</f>
        <v>243.089</v>
      </c>
      <c r="E13" s="73">
        <f t="shared" ref="E13" si="0">B13</f>
        <v>2009</v>
      </c>
      <c r="F13" s="21">
        <f>C13</f>
        <v>0.121</v>
      </c>
      <c r="G13" s="22">
        <f>E13*F13</f>
        <v>243.089</v>
      </c>
      <c r="H13" s="22">
        <f t="shared" ref="H13:H46" si="1">G13-D13</f>
        <v>0</v>
      </c>
      <c r="I13" s="23">
        <f t="shared" ref="I13:I46" si="2">IF(ISERROR(H13/D13),0,(H13/D13))</f>
        <v>0</v>
      </c>
      <c r="J13" s="23">
        <f>G13/$G$46</f>
        <v>0.44250405097219753</v>
      </c>
      <c r="K13" s="108"/>
    </row>
    <row r="14" spans="1:11" s="1" customFormat="1" x14ac:dyDescent="0.2">
      <c r="A14" s="46" t="s">
        <v>33</v>
      </c>
      <c r="B14" s="24"/>
      <c r="C14" s="25"/>
      <c r="D14" s="25">
        <f>SUM(D12:D13)</f>
        <v>320.339</v>
      </c>
      <c r="E14" s="76"/>
      <c r="F14" s="25"/>
      <c r="G14" s="25">
        <f>SUM(G12:G13)</f>
        <v>320.339</v>
      </c>
      <c r="H14" s="25">
        <f t="shared" si="1"/>
        <v>0</v>
      </c>
      <c r="I14" s="27">
        <f t="shared" si="2"/>
        <v>0</v>
      </c>
      <c r="J14" s="27">
        <f>G14/$G$46</f>
        <v>0.5831251318833135</v>
      </c>
      <c r="K14" s="108"/>
    </row>
    <row r="15" spans="1:11" s="1" customFormat="1" x14ac:dyDescent="0.2">
      <c r="A15" s="109" t="s">
        <v>34</v>
      </c>
      <c r="B15" s="75">
        <f>B4*0.65</f>
        <v>1793.3500000000001</v>
      </c>
      <c r="C15" s="28">
        <v>8.6999999999999994E-2</v>
      </c>
      <c r="D15" s="22">
        <f>B15*C15</f>
        <v>156.02144999999999</v>
      </c>
      <c r="E15" s="73">
        <f t="shared" ref="E15:F17" si="3">B15</f>
        <v>1793.3500000000001</v>
      </c>
      <c r="F15" s="28">
        <f t="shared" si="3"/>
        <v>8.6999999999999994E-2</v>
      </c>
      <c r="G15" s="22">
        <f>E15*F15</f>
        <v>156.02144999999999</v>
      </c>
      <c r="H15" s="22">
        <f t="shared" si="1"/>
        <v>0</v>
      </c>
      <c r="I15" s="23">
        <f t="shared" si="2"/>
        <v>0</v>
      </c>
      <c r="J15" s="23"/>
      <c r="K15" s="108">
        <f t="shared" ref="K15:K26" si="4">G15/$G$51</f>
        <v>0.29227423395708019</v>
      </c>
    </row>
    <row r="16" spans="1:11" s="1" customFormat="1" x14ac:dyDescent="0.2">
      <c r="A16" s="109" t="s">
        <v>35</v>
      </c>
      <c r="B16" s="75">
        <f>B4*0.17</f>
        <v>469.03000000000003</v>
      </c>
      <c r="C16" s="28">
        <v>0.13200000000000001</v>
      </c>
      <c r="D16" s="22">
        <f>B16*C16</f>
        <v>61.911960000000008</v>
      </c>
      <c r="E16" s="73">
        <f t="shared" si="3"/>
        <v>469.03000000000003</v>
      </c>
      <c r="F16" s="28">
        <f t="shared" si="3"/>
        <v>0.13200000000000001</v>
      </c>
      <c r="G16" s="22">
        <f>E16*F16</f>
        <v>61.911960000000008</v>
      </c>
      <c r="H16" s="22">
        <f t="shared" si="1"/>
        <v>0</v>
      </c>
      <c r="I16" s="23">
        <f t="shared" si="2"/>
        <v>0</v>
      </c>
      <c r="J16" s="23"/>
      <c r="K16" s="108">
        <f t="shared" si="4"/>
        <v>0.11597937771877773</v>
      </c>
    </row>
    <row r="17" spans="1:11" s="1" customFormat="1" x14ac:dyDescent="0.2">
      <c r="A17" s="109" t="s">
        <v>36</v>
      </c>
      <c r="B17" s="75">
        <f>B4*0.18</f>
        <v>496.62</v>
      </c>
      <c r="C17" s="28">
        <v>0.18</v>
      </c>
      <c r="D17" s="22">
        <f>B17*C17</f>
        <v>89.391599999999997</v>
      </c>
      <c r="E17" s="73">
        <f t="shared" si="3"/>
        <v>496.62</v>
      </c>
      <c r="F17" s="28">
        <f t="shared" si="3"/>
        <v>0.18</v>
      </c>
      <c r="G17" s="22">
        <f>E17*F17</f>
        <v>89.391599999999997</v>
      </c>
      <c r="H17" s="22">
        <f t="shared" si="1"/>
        <v>0</v>
      </c>
      <c r="I17" s="23">
        <f t="shared" si="2"/>
        <v>0</v>
      </c>
      <c r="J17" s="23"/>
      <c r="K17" s="108">
        <f t="shared" si="4"/>
        <v>0.16745685552978601</v>
      </c>
    </row>
    <row r="18" spans="1:11" s="1" customFormat="1" x14ac:dyDescent="0.2">
      <c r="A18" s="61" t="s">
        <v>37</v>
      </c>
      <c r="B18" s="29"/>
      <c r="C18" s="30"/>
      <c r="D18" s="30">
        <f>SUM(D15:D17)</f>
        <v>307.32500999999996</v>
      </c>
      <c r="E18" s="77"/>
      <c r="F18" s="30"/>
      <c r="G18" s="30">
        <f>SUM(G15:G17)</f>
        <v>307.32500999999996</v>
      </c>
      <c r="H18" s="31">
        <f t="shared" si="1"/>
        <v>0</v>
      </c>
      <c r="I18" s="32">
        <f t="shared" si="2"/>
        <v>0</v>
      </c>
      <c r="J18" s="33">
        <f t="shared" ref="J18:J23" si="5">G18/$G$46</f>
        <v>0.55943527633941104</v>
      </c>
      <c r="K18" s="62">
        <f t="shared" si="4"/>
        <v>0.57571046720564389</v>
      </c>
    </row>
    <row r="19" spans="1:11" x14ac:dyDescent="0.2">
      <c r="A19" s="107" t="s">
        <v>38</v>
      </c>
      <c r="B19" s="73">
        <v>1</v>
      </c>
      <c r="C19" s="78">
        <f>VLOOKUP($B$3,'Data for Bill Impacts'!$A$3:$Y$15,7,0)</f>
        <v>24.52</v>
      </c>
      <c r="D19" s="22">
        <f>B19*C19</f>
        <v>24.52</v>
      </c>
      <c r="E19" s="73">
        <f t="shared" ref="E19:E41" si="6">B19</f>
        <v>1</v>
      </c>
      <c r="F19" s="78">
        <f>VLOOKUP($B$3,'Data for Bill Impacts'!$A$3:$Y$15,17,0)</f>
        <v>25.11</v>
      </c>
      <c r="G19" s="22">
        <f>E19*F19</f>
        <v>25.11</v>
      </c>
      <c r="H19" s="22">
        <f t="shared" si="1"/>
        <v>0.58999999999999986</v>
      </c>
      <c r="I19" s="23">
        <f t="shared" si="2"/>
        <v>2.4061990212071772E-2</v>
      </c>
      <c r="J19" s="23">
        <f t="shared" si="5"/>
        <v>4.5708677562176322E-2</v>
      </c>
      <c r="K19" s="108">
        <f t="shared" si="4"/>
        <v>4.7038442564546631E-2</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110</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1.8203376169723746E-5</v>
      </c>
      <c r="K22" s="108">
        <f t="shared" si="4"/>
        <v>1.8732952036856484E-5</v>
      </c>
    </row>
    <row r="23" spans="1:11" x14ac:dyDescent="0.2">
      <c r="A23" s="107" t="s">
        <v>39</v>
      </c>
      <c r="B23" s="73">
        <f>IF($B$9="kWh",$B$4,$B$5)</f>
        <v>2759</v>
      </c>
      <c r="C23" s="78">
        <f>VLOOKUP($B$3,'Data for Bill Impacts'!$A$3:$Y$15,10,0)</f>
        <v>2.9000000000000001E-2</v>
      </c>
      <c r="D23" s="22">
        <f>B23*C23</f>
        <v>80.01100000000001</v>
      </c>
      <c r="E23" s="73">
        <f t="shared" si="6"/>
        <v>2759</v>
      </c>
      <c r="F23" s="78">
        <f>VLOOKUP($B$3,'Data for Bill Impacts'!$A$3:$Y$15,19,0)</f>
        <v>0.03</v>
      </c>
      <c r="G23" s="22">
        <f>E23*F23</f>
        <v>82.77</v>
      </c>
      <c r="H23" s="22">
        <f t="shared" si="1"/>
        <v>2.7589999999999861</v>
      </c>
      <c r="I23" s="23">
        <f t="shared" si="2"/>
        <v>3.4482758620689474E-2</v>
      </c>
      <c r="J23" s="23">
        <f t="shared" si="5"/>
        <v>0.15066934455680342</v>
      </c>
      <c r="K23" s="108">
        <f t="shared" si="4"/>
        <v>0.1550526440090611</v>
      </c>
    </row>
    <row r="24" spans="1:11" x14ac:dyDescent="0.2">
      <c r="A24" s="107" t="s">
        <v>121</v>
      </c>
      <c r="B24" s="73">
        <f>IF($B$9="kWh",$B$4,$B$5)</f>
        <v>2759</v>
      </c>
      <c r="C24" s="126">
        <f>VLOOKUP($B$3,'Data for Bill Impacts'!$A$3:$Y$15,14,0)</f>
        <v>2.0000000000000001E-4</v>
      </c>
      <c r="D24" s="22">
        <f>B24*C24</f>
        <v>0.55180000000000007</v>
      </c>
      <c r="E24" s="73">
        <f t="shared" si="6"/>
        <v>2759</v>
      </c>
      <c r="F24" s="126">
        <f>VLOOKUP($B$3,'Data for Bill Impacts'!$A$3:$Y$15,23,0)</f>
        <v>2.0000000000000001E-4</v>
      </c>
      <c r="G24" s="22">
        <f>E24*F24</f>
        <v>0.55180000000000007</v>
      </c>
      <c r="H24" s="22">
        <f t="shared" si="1"/>
        <v>0</v>
      </c>
      <c r="I24" s="23">
        <f>IF(ISERROR(H24/D24),0,(H24/D24))</f>
        <v>0</v>
      </c>
      <c r="J24" s="23">
        <f t="shared" ref="J24" si="9">G24/$G$46</f>
        <v>1.0044622970453564E-3</v>
      </c>
      <c r="K24" s="108">
        <f t="shared" si="4"/>
        <v>1.0336842933937409E-3</v>
      </c>
    </row>
    <row r="25" spans="1:11" s="1" customFormat="1" x14ac:dyDescent="0.2">
      <c r="A25" s="110" t="s">
        <v>72</v>
      </c>
      <c r="B25" s="74"/>
      <c r="C25" s="35"/>
      <c r="D25" s="35">
        <f>SUM(D19:D24)</f>
        <v>105.09280000000001</v>
      </c>
      <c r="E25" s="73"/>
      <c r="F25" s="35"/>
      <c r="G25" s="35">
        <f>SUM(G19:G24)</f>
        <v>108.4418</v>
      </c>
      <c r="H25" s="35">
        <f t="shared" si="1"/>
        <v>3.3489999999999895</v>
      </c>
      <c r="I25" s="36">
        <f t="shared" si="2"/>
        <v>3.1867073672030712E-2</v>
      </c>
      <c r="J25" s="36">
        <f>G25/$G$46</f>
        <v>0.19740068779219483</v>
      </c>
      <c r="K25" s="111">
        <f t="shared" si="4"/>
        <v>0.20314350381903834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1.4380667174081758E-3</v>
      </c>
      <c r="K26" s="108">
        <f t="shared" si="4"/>
        <v>1.4799032109116623E-3</v>
      </c>
    </row>
    <row r="27" spans="1:11" s="1" customFormat="1" x14ac:dyDescent="0.2">
      <c r="A27" s="119" t="s">
        <v>75</v>
      </c>
      <c r="B27" s="120">
        <f>B8-B4</f>
        <v>184.85300000000007</v>
      </c>
      <c r="C27" s="121">
        <f>IF(B4&gt;B7,C13,C12)</f>
        <v>0.121</v>
      </c>
      <c r="D27" s="22">
        <f>B27*C27</f>
        <v>22.367213000000007</v>
      </c>
      <c r="E27" s="73">
        <f>B27</f>
        <v>184.85300000000007</v>
      </c>
      <c r="F27" s="121">
        <f>C27</f>
        <v>0.121</v>
      </c>
      <c r="G27" s="22">
        <f>E27*F27</f>
        <v>22.367213000000007</v>
      </c>
      <c r="H27" s="22">
        <f t="shared" si="1"/>
        <v>0</v>
      </c>
      <c r="I27" s="23">
        <f>IF(ISERROR(H27/D27),0,(H27/D27))</f>
        <v>0</v>
      </c>
      <c r="J27" s="23">
        <f t="shared" ref="J27:J46" si="10">G27/$G$46</f>
        <v>4.0715879210733524E-2</v>
      </c>
      <c r="K27" s="108">
        <f t="shared" ref="K27:K41" si="11">G27/$G$51</f>
        <v>4.1900392832715294E-2</v>
      </c>
    </row>
    <row r="28" spans="1:11" s="1" customFormat="1" x14ac:dyDescent="0.2">
      <c r="A28" s="119" t="s">
        <v>74</v>
      </c>
      <c r="B28" s="120">
        <f>B8-B4</f>
        <v>184.85300000000007</v>
      </c>
      <c r="C28" s="121">
        <f>0.65*C15+0.17*C16+0.18*C17</f>
        <v>0.11139</v>
      </c>
      <c r="D28" s="22">
        <f>B28*C28</f>
        <v>20.590775670000006</v>
      </c>
      <c r="E28" s="73">
        <f>B28</f>
        <v>184.85300000000007</v>
      </c>
      <c r="F28" s="121">
        <f>C28</f>
        <v>0.11139</v>
      </c>
      <c r="G28" s="22">
        <f>E28*F28</f>
        <v>20.590775670000006</v>
      </c>
      <c r="H28" s="22">
        <f t="shared" si="1"/>
        <v>0</v>
      </c>
      <c r="I28" s="23">
        <f>IF(ISERROR(H28/D28),0,(H28/D28))</f>
        <v>0</v>
      </c>
      <c r="J28" s="23">
        <f t="shared" si="10"/>
        <v>3.7482163514740562E-2</v>
      </c>
      <c r="K28" s="108">
        <f t="shared" si="11"/>
        <v>3.8572601302778155E-2</v>
      </c>
    </row>
    <row r="29" spans="1:11" s="1" customFormat="1" x14ac:dyDescent="0.2">
      <c r="A29" s="110" t="s">
        <v>78</v>
      </c>
      <c r="B29" s="74"/>
      <c r="C29" s="35"/>
      <c r="D29" s="35">
        <f>SUM(D25,D26:D27)</f>
        <v>128.25001300000002</v>
      </c>
      <c r="E29" s="73"/>
      <c r="F29" s="35"/>
      <c r="G29" s="35">
        <f>SUM(G25,G26:G27)</f>
        <v>131.59901300000001</v>
      </c>
      <c r="H29" s="35">
        <f t="shared" si="1"/>
        <v>3.3489999999999895</v>
      </c>
      <c r="I29" s="36">
        <f>IF(ISERROR(H29/D29),0,(H29/D29))</f>
        <v>2.6113057781912186E-2</v>
      </c>
      <c r="J29" s="36">
        <f t="shared" si="10"/>
        <v>0.23955463372033656</v>
      </c>
      <c r="K29" s="111">
        <f t="shared" si="11"/>
        <v>0.24652379986266532</v>
      </c>
    </row>
    <row r="30" spans="1:11" s="1" customFormat="1" x14ac:dyDescent="0.2">
      <c r="A30" s="110" t="s">
        <v>77</v>
      </c>
      <c r="B30" s="74"/>
      <c r="C30" s="35"/>
      <c r="D30" s="35">
        <f>SUM(D25,D26,D28)</f>
        <v>126.47357567000003</v>
      </c>
      <c r="E30" s="73"/>
      <c r="F30" s="35"/>
      <c r="G30" s="35">
        <f>SUM(G25,G26,G28)</f>
        <v>129.82257567000002</v>
      </c>
      <c r="H30" s="35">
        <f t="shared" si="1"/>
        <v>3.3489999999999895</v>
      </c>
      <c r="I30" s="36">
        <f>IF(ISERROR(H30/D30),0,(H30/D30))</f>
        <v>2.6479839620715206E-2</v>
      </c>
      <c r="J30" s="36">
        <f t="shared" si="10"/>
        <v>0.2363209180243436</v>
      </c>
      <c r="K30" s="111">
        <f t="shared" si="11"/>
        <v>0.2431960083327282</v>
      </c>
    </row>
    <row r="31" spans="1:11" x14ac:dyDescent="0.2">
      <c r="A31" s="107" t="s">
        <v>40</v>
      </c>
      <c r="B31" s="73">
        <f>B8</f>
        <v>2943.8530000000001</v>
      </c>
      <c r="C31" s="126">
        <f>VLOOKUP($B$3,'Data for Bill Impacts'!$A$3:$Y$15,15,0)</f>
        <v>6.1060000000000003E-3</v>
      </c>
      <c r="D31" s="22">
        <f>B31*C31</f>
        <v>17.975166418000001</v>
      </c>
      <c r="E31" s="73">
        <f t="shared" si="6"/>
        <v>2943.8530000000001</v>
      </c>
      <c r="F31" s="126">
        <f>VLOOKUP($B$3,'Data for Bill Impacts'!$A$3:$Y$15,24,0)</f>
        <v>6.1060000000000003E-3</v>
      </c>
      <c r="G31" s="22">
        <f>E31*F31</f>
        <v>17.975166418000001</v>
      </c>
      <c r="H31" s="22">
        <f t="shared" si="1"/>
        <v>0</v>
      </c>
      <c r="I31" s="23">
        <f t="shared" si="2"/>
        <v>0</v>
      </c>
      <c r="J31" s="23">
        <f t="shared" si="10"/>
        <v>3.2720871602023971E-2</v>
      </c>
      <c r="K31" s="108">
        <f t="shared" si="11"/>
        <v>3.3672793036290741E-2</v>
      </c>
    </row>
    <row r="32" spans="1:11" x14ac:dyDescent="0.2">
      <c r="A32" s="107" t="s">
        <v>41</v>
      </c>
      <c r="B32" s="73">
        <f>B8</f>
        <v>2943.8530000000001</v>
      </c>
      <c r="C32" s="126">
        <f>VLOOKUP($B$3,'Data for Bill Impacts'!$A$3:$Y$15,16,0)</f>
        <v>4.6519999999999999E-3</v>
      </c>
      <c r="D32" s="22">
        <f>B32*C32</f>
        <v>13.694804156</v>
      </c>
      <c r="E32" s="73">
        <f t="shared" si="6"/>
        <v>2943.8530000000001</v>
      </c>
      <c r="F32" s="126">
        <f>VLOOKUP($B$3,'Data for Bill Impacts'!$A$3:$Y$15,25,0)</f>
        <v>4.6519999999999999E-3</v>
      </c>
      <c r="G32" s="22">
        <f>E32*F32</f>
        <v>13.694804156</v>
      </c>
      <c r="H32" s="22">
        <f t="shared" si="1"/>
        <v>0</v>
      </c>
      <c r="I32" s="23">
        <f t="shared" si="2"/>
        <v>0</v>
      </c>
      <c r="J32" s="23">
        <f t="shared" si="10"/>
        <v>2.492916716223641E-2</v>
      </c>
      <c r="K32" s="108">
        <f t="shared" si="11"/>
        <v>2.5654410940849085E-2</v>
      </c>
    </row>
    <row r="33" spans="1:11" s="1" customFormat="1" x14ac:dyDescent="0.2">
      <c r="A33" s="110" t="s">
        <v>76</v>
      </c>
      <c r="B33" s="74"/>
      <c r="C33" s="35"/>
      <c r="D33" s="35">
        <f>SUM(D31:D32)</f>
        <v>31.669970574000001</v>
      </c>
      <c r="E33" s="73"/>
      <c r="F33" s="35"/>
      <c r="G33" s="35">
        <f>SUM(G31:G32)</f>
        <v>31.669970574000001</v>
      </c>
      <c r="H33" s="35">
        <f t="shared" si="1"/>
        <v>0</v>
      </c>
      <c r="I33" s="36">
        <f t="shared" si="2"/>
        <v>0</v>
      </c>
      <c r="J33" s="36">
        <f t="shared" si="10"/>
        <v>5.7650038764260385E-2</v>
      </c>
      <c r="K33" s="111">
        <f t="shared" si="11"/>
        <v>5.9327203977139822E-2</v>
      </c>
    </row>
    <row r="34" spans="1:11" s="1" customFormat="1" ht="13.5" customHeight="1" x14ac:dyDescent="0.2">
      <c r="A34" s="110" t="s">
        <v>91</v>
      </c>
      <c r="B34" s="74"/>
      <c r="C34" s="35"/>
      <c r="D34" s="35">
        <f>D29+D33</f>
        <v>159.91998357400001</v>
      </c>
      <c r="E34" s="73"/>
      <c r="F34" s="35"/>
      <c r="G34" s="35">
        <f>G29+G33</f>
        <v>163.268983574</v>
      </c>
      <c r="H34" s="35">
        <f t="shared" si="1"/>
        <v>3.3489999999999895</v>
      </c>
      <c r="I34" s="36">
        <f t="shared" si="2"/>
        <v>2.0941723011435289E-2</v>
      </c>
      <c r="J34" s="36">
        <f t="shared" si="10"/>
        <v>0.29720467248459692</v>
      </c>
      <c r="K34" s="111">
        <f t="shared" si="11"/>
        <v>0.30585100383980512</v>
      </c>
    </row>
    <row r="35" spans="1:11" s="1" customFormat="1" ht="13.5" customHeight="1" x14ac:dyDescent="0.2">
      <c r="A35" s="110" t="s">
        <v>92</v>
      </c>
      <c r="B35" s="74"/>
      <c r="C35" s="35"/>
      <c r="D35" s="35">
        <f>D30+D33</f>
        <v>158.14354624400002</v>
      </c>
      <c r="E35" s="73"/>
      <c r="F35" s="35"/>
      <c r="G35" s="35">
        <f>G30+G33</f>
        <v>161.49254624400001</v>
      </c>
      <c r="H35" s="35">
        <f t="shared" si="1"/>
        <v>3.3489999999999895</v>
      </c>
      <c r="I35" s="36">
        <f t="shared" si="2"/>
        <v>2.1176962826120076E-2</v>
      </c>
      <c r="J35" s="36">
        <f t="shared" si="10"/>
        <v>0.29397095678860397</v>
      </c>
      <c r="K35" s="111">
        <f t="shared" si="11"/>
        <v>0.30252321230986801</v>
      </c>
    </row>
    <row r="36" spans="1:11" x14ac:dyDescent="0.2">
      <c r="A36" s="107" t="s">
        <v>42</v>
      </c>
      <c r="B36" s="73">
        <f>B8</f>
        <v>2943.8530000000001</v>
      </c>
      <c r="C36" s="34">
        <v>3.5999999999999999E-3</v>
      </c>
      <c r="D36" s="22">
        <f>B36*C36</f>
        <v>10.597870800000001</v>
      </c>
      <c r="E36" s="73">
        <f t="shared" si="6"/>
        <v>2943.8530000000001</v>
      </c>
      <c r="F36" s="34">
        <v>3.5999999999999999E-3</v>
      </c>
      <c r="G36" s="22">
        <f>E36*F36</f>
        <v>10.597870800000001</v>
      </c>
      <c r="H36" s="22">
        <f t="shared" si="1"/>
        <v>0</v>
      </c>
      <c r="I36" s="23">
        <f t="shared" si="2"/>
        <v>0</v>
      </c>
      <c r="J36" s="23">
        <f t="shared" si="10"/>
        <v>1.9291702877053112E-2</v>
      </c>
      <c r="K36" s="108">
        <f t="shared" si="11"/>
        <v>1.9852940538920189E-2</v>
      </c>
    </row>
    <row r="37" spans="1:11" x14ac:dyDescent="0.2">
      <c r="A37" s="107" t="s">
        <v>43</v>
      </c>
      <c r="B37" s="73">
        <f>B8</f>
        <v>2943.8530000000001</v>
      </c>
      <c r="C37" s="34">
        <v>2.0999999999999999E-3</v>
      </c>
      <c r="D37" s="22">
        <f>B37*C37</f>
        <v>6.1820912999999997</v>
      </c>
      <c r="E37" s="73">
        <f t="shared" si="6"/>
        <v>2943.8530000000001</v>
      </c>
      <c r="F37" s="34">
        <v>2.0999999999999999E-3</v>
      </c>
      <c r="G37" s="22">
        <f>E37*F37</f>
        <v>6.1820912999999997</v>
      </c>
      <c r="H37" s="22">
        <f>G37-D37</f>
        <v>0</v>
      </c>
      <c r="I37" s="23">
        <f t="shared" si="2"/>
        <v>0</v>
      </c>
      <c r="J37" s="23">
        <f t="shared" si="10"/>
        <v>1.1253493344947648E-2</v>
      </c>
      <c r="K37" s="108">
        <f t="shared" si="11"/>
        <v>1.1580881981036774E-2</v>
      </c>
    </row>
    <row r="38" spans="1:11" x14ac:dyDescent="0.2">
      <c r="A38" s="107" t="s">
        <v>96</v>
      </c>
      <c r="B38" s="73">
        <f>B8</f>
        <v>2943.8530000000001</v>
      </c>
      <c r="C38" s="34">
        <v>1.1000000000000001E-3</v>
      </c>
      <c r="D38" s="22">
        <f>B38*C38</f>
        <v>3.2382383000000003</v>
      </c>
      <c r="E38" s="73">
        <f t="shared" si="6"/>
        <v>2943.8530000000001</v>
      </c>
      <c r="F38" s="34">
        <v>1.1000000000000001E-3</v>
      </c>
      <c r="G38" s="22">
        <f>E38*F38</f>
        <v>3.2382383000000003</v>
      </c>
      <c r="H38" s="22">
        <f>G38-D38</f>
        <v>0</v>
      </c>
      <c r="I38" s="23">
        <f t="shared" si="2"/>
        <v>0</v>
      </c>
      <c r="J38" s="23">
        <f t="shared" si="10"/>
        <v>5.8946869902106735E-3</v>
      </c>
      <c r="K38" s="108">
        <f t="shared" si="11"/>
        <v>6.0661762757811682E-3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4.5508440424309361E-4</v>
      </c>
      <c r="K39" s="108">
        <f t="shared" si="11"/>
        <v>4.6832380092141213E-4</v>
      </c>
    </row>
    <row r="40" spans="1:11" s="1" customFormat="1" x14ac:dyDescent="0.2">
      <c r="A40" s="110" t="s">
        <v>45</v>
      </c>
      <c r="B40" s="74"/>
      <c r="C40" s="35"/>
      <c r="D40" s="35">
        <f>SUM(D36:D39)</f>
        <v>20.268200399999998</v>
      </c>
      <c r="E40" s="73"/>
      <c r="F40" s="35"/>
      <c r="G40" s="35">
        <f>SUM(G36:G39)</f>
        <v>20.268200399999998</v>
      </c>
      <c r="H40" s="35">
        <f t="shared" si="1"/>
        <v>0</v>
      </c>
      <c r="I40" s="36">
        <f t="shared" si="2"/>
        <v>0</v>
      </c>
      <c r="J40" s="36">
        <f t="shared" si="10"/>
        <v>3.689496761645452E-2</v>
      </c>
      <c r="K40" s="111">
        <f t="shared" si="11"/>
        <v>3.796832259665954E-2</v>
      </c>
    </row>
    <row r="41" spans="1:11" s="1" customFormat="1" ht="13.5" thickBot="1" x14ac:dyDescent="0.25">
      <c r="A41" s="112" t="s">
        <v>46</v>
      </c>
      <c r="B41" s="113">
        <f>B4</f>
        <v>2759</v>
      </c>
      <c r="C41" s="114">
        <v>7.0000000000000001E-3</v>
      </c>
      <c r="D41" s="115">
        <f>B41*C41</f>
        <v>19.312999999999999</v>
      </c>
      <c r="E41" s="116">
        <f t="shared" si="6"/>
        <v>2759</v>
      </c>
      <c r="F41" s="114">
        <f>C41</f>
        <v>7.0000000000000001E-3</v>
      </c>
      <c r="G41" s="115">
        <f>E41*F41</f>
        <v>19.312999999999999</v>
      </c>
      <c r="H41" s="115">
        <f t="shared" si="1"/>
        <v>0</v>
      </c>
      <c r="I41" s="117">
        <f t="shared" si="2"/>
        <v>0</v>
      </c>
      <c r="J41" s="117">
        <f t="shared" si="10"/>
        <v>3.5156180396587466E-2</v>
      </c>
      <c r="K41" s="118">
        <f t="shared" si="11"/>
        <v>3.6178950268780929E-2</v>
      </c>
    </row>
    <row r="42" spans="1:11" s="1" customFormat="1" x14ac:dyDescent="0.2">
      <c r="A42" s="37" t="s">
        <v>101</v>
      </c>
      <c r="B42" s="38"/>
      <c r="C42" s="39"/>
      <c r="D42" s="39">
        <f>SUM(D14,D25,D26,D27,D33,D40,D41)</f>
        <v>519.84018397400007</v>
      </c>
      <c r="E42" s="38"/>
      <c r="F42" s="39"/>
      <c r="G42" s="39">
        <f>SUM(G14,G25,G26,G27,G33,G40,G41)</f>
        <v>523.189183974</v>
      </c>
      <c r="H42" s="39">
        <f t="shared" si="1"/>
        <v>3.3489999999999327</v>
      </c>
      <c r="I42" s="40">
        <f>IF(ISERROR(H42/D42),0,(H42/D42))</f>
        <v>6.4423646021320924E-3</v>
      </c>
      <c r="J42" s="40">
        <f t="shared" si="10"/>
        <v>0.95238095238095233</v>
      </c>
      <c r="K42" s="41"/>
    </row>
    <row r="43" spans="1:11" x14ac:dyDescent="0.2">
      <c r="A43" s="154" t="s">
        <v>102</v>
      </c>
      <c r="B43" s="43"/>
      <c r="C43" s="26">
        <v>0.13</v>
      </c>
      <c r="D43" s="26">
        <f>D42*C43</f>
        <v>67.579223916620009</v>
      </c>
      <c r="E43" s="26"/>
      <c r="F43" s="26">
        <f>C43</f>
        <v>0.13</v>
      </c>
      <c r="G43" s="26">
        <f>G42*F43</f>
        <v>68.014593916620001</v>
      </c>
      <c r="H43" s="26">
        <f t="shared" si="1"/>
        <v>0.43536999999999182</v>
      </c>
      <c r="I43" s="44">
        <f t="shared" si="2"/>
        <v>6.442364602132101E-3</v>
      </c>
      <c r="J43" s="44">
        <f t="shared" si="10"/>
        <v>0.12380952380952381</v>
      </c>
      <c r="K43" s="45"/>
    </row>
    <row r="44" spans="1:11" s="1" customFormat="1" x14ac:dyDescent="0.2">
      <c r="A44" s="46" t="s">
        <v>103</v>
      </c>
      <c r="B44" s="24"/>
      <c r="C44" s="25"/>
      <c r="D44" s="25">
        <f>SUM(D42:D43)</f>
        <v>587.41940789062005</v>
      </c>
      <c r="E44" s="25"/>
      <c r="F44" s="25"/>
      <c r="G44" s="25">
        <f>SUM(G42:G43)</f>
        <v>591.20377789062002</v>
      </c>
      <c r="H44" s="25">
        <f t="shared" si="1"/>
        <v>3.7843699999999671</v>
      </c>
      <c r="I44" s="27">
        <f t="shared" si="2"/>
        <v>6.4423646021321661E-3</v>
      </c>
      <c r="J44" s="27">
        <f t="shared" si="10"/>
        <v>1.0761904761904761</v>
      </c>
      <c r="K44" s="47"/>
    </row>
    <row r="45" spans="1:11" x14ac:dyDescent="0.2">
      <c r="A45" s="42" t="s">
        <v>104</v>
      </c>
      <c r="B45" s="43"/>
      <c r="C45" s="26">
        <v>-0.08</v>
      </c>
      <c r="D45" s="26">
        <f>D42*C45</f>
        <v>-41.587214717920006</v>
      </c>
      <c r="E45" s="26"/>
      <c r="F45" s="26">
        <f>C45</f>
        <v>-0.08</v>
      </c>
      <c r="G45" s="26">
        <f>G42*F45</f>
        <v>-41.855134717920002</v>
      </c>
      <c r="H45" s="26">
        <f t="shared" si="1"/>
        <v>-0.26791999999999661</v>
      </c>
      <c r="I45" s="44">
        <f t="shared" si="2"/>
        <v>6.4423646021321401E-3</v>
      </c>
      <c r="J45" s="44">
        <f t="shared" si="10"/>
        <v>-7.6190476190476197E-2</v>
      </c>
      <c r="K45" s="45"/>
    </row>
    <row r="46" spans="1:11" s="1" customFormat="1" ht="13.5" thickBot="1" x14ac:dyDescent="0.25">
      <c r="A46" s="48" t="s">
        <v>105</v>
      </c>
      <c r="B46" s="49"/>
      <c r="C46" s="50"/>
      <c r="D46" s="50">
        <f>SUM(D44:D45)</f>
        <v>545.83219317270004</v>
      </c>
      <c r="E46" s="50"/>
      <c r="F46" s="50"/>
      <c r="G46" s="50">
        <f>SUM(G44:G45)</f>
        <v>549.34864317270001</v>
      </c>
      <c r="H46" s="50">
        <f t="shared" si="1"/>
        <v>3.5164499999999634</v>
      </c>
      <c r="I46" s="51">
        <f t="shared" si="2"/>
        <v>6.4423646021321557E-3</v>
      </c>
      <c r="J46" s="51">
        <f t="shared" si="10"/>
        <v>1</v>
      </c>
      <c r="K46" s="52"/>
    </row>
    <row r="47" spans="1:11" x14ac:dyDescent="0.2">
      <c r="A47" s="53" t="s">
        <v>106</v>
      </c>
      <c r="B47" s="54"/>
      <c r="C47" s="55"/>
      <c r="D47" s="55">
        <f>SUM(D18,D25,D26,D28,D33,D40,D41)</f>
        <v>505.04975664400001</v>
      </c>
      <c r="E47" s="55"/>
      <c r="F47" s="55"/>
      <c r="G47" s="55">
        <f>SUM(G18,G25,G26,G28,G33,G40,G41)</f>
        <v>508.398756644</v>
      </c>
      <c r="H47" s="55">
        <f>G47-D47</f>
        <v>3.3489999999999895</v>
      </c>
      <c r="I47" s="56">
        <f>IF(ISERROR(H47/D47),0,(H47/D47))</f>
        <v>6.6310298261575765E-3</v>
      </c>
      <c r="J47" s="56"/>
      <c r="K47" s="57">
        <f>G47/$G$51</f>
        <v>0.95238095238095244</v>
      </c>
    </row>
    <row r="48" spans="1:11" x14ac:dyDescent="0.2">
      <c r="A48" s="58" t="s">
        <v>102</v>
      </c>
      <c r="B48" s="59"/>
      <c r="C48" s="31">
        <v>0.13</v>
      </c>
      <c r="D48" s="31">
        <f>D47*C48</f>
        <v>65.656468363720009</v>
      </c>
      <c r="E48" s="31"/>
      <c r="F48" s="31">
        <f>C48</f>
        <v>0.13</v>
      </c>
      <c r="G48" s="31">
        <f>G47*F48</f>
        <v>66.091838363720001</v>
      </c>
      <c r="H48" s="31">
        <f>G48-D48</f>
        <v>0.43536999999999182</v>
      </c>
      <c r="I48" s="32">
        <f>IF(ISERROR(H48/D48),0,(H48/D48))</f>
        <v>6.6310298261574715E-3</v>
      </c>
      <c r="J48" s="32"/>
      <c r="K48" s="60">
        <f>G48/$G$51</f>
        <v>0.12380952380952381</v>
      </c>
    </row>
    <row r="49" spans="1:11" x14ac:dyDescent="0.2">
      <c r="A49" s="150" t="s">
        <v>107</v>
      </c>
      <c r="B49" s="29"/>
      <c r="C49" s="30"/>
      <c r="D49" s="30">
        <f>SUM(D47:D48)</f>
        <v>570.70622500772004</v>
      </c>
      <c r="E49" s="30"/>
      <c r="F49" s="30"/>
      <c r="G49" s="30">
        <f>SUM(G47:G48)</f>
        <v>574.49059500772</v>
      </c>
      <c r="H49" s="30">
        <f>G49-D49</f>
        <v>3.7843699999999671</v>
      </c>
      <c r="I49" s="33">
        <f>IF(ISERROR(H49/D49),0,(H49/D49))</f>
        <v>6.6310298261575392E-3</v>
      </c>
      <c r="J49" s="33"/>
      <c r="K49" s="62">
        <f>G49/$G$51</f>
        <v>1.0761904761904761</v>
      </c>
    </row>
    <row r="50" spans="1:11" x14ac:dyDescent="0.2">
      <c r="A50" s="58" t="s">
        <v>104</v>
      </c>
      <c r="B50" s="59"/>
      <c r="C50" s="31">
        <v>-0.08</v>
      </c>
      <c r="D50" s="31">
        <f>D47*C50</f>
        <v>-40.403980531519998</v>
      </c>
      <c r="E50" s="31"/>
      <c r="F50" s="31">
        <f>C50</f>
        <v>-0.08</v>
      </c>
      <c r="G50" s="31">
        <f>G47*F50</f>
        <v>-40.671900531520002</v>
      </c>
      <c r="H50" s="31">
        <f>G50-D50</f>
        <v>-0.26792000000000371</v>
      </c>
      <c r="I50" s="32">
        <f>IF(ISERROR(H50/D50),0,(H50/D50))</f>
        <v>6.6310298261576892E-3</v>
      </c>
      <c r="J50" s="32"/>
      <c r="K50" s="60">
        <f>G50/$G$51</f>
        <v>-7.6190476190476197E-2</v>
      </c>
    </row>
    <row r="51" spans="1:11" ht="13.5" thickBot="1" x14ac:dyDescent="0.25">
      <c r="A51" s="63" t="s">
        <v>116</v>
      </c>
      <c r="B51" s="64"/>
      <c r="C51" s="65"/>
      <c r="D51" s="65">
        <f>SUM(D49:D50)</f>
        <v>530.30224447620003</v>
      </c>
      <c r="E51" s="65"/>
      <c r="F51" s="65"/>
      <c r="G51" s="65">
        <f>SUM(G49:G50)</f>
        <v>533.81869447619999</v>
      </c>
      <c r="H51" s="65">
        <f>G51-D51</f>
        <v>3.5164499999999634</v>
      </c>
      <c r="I51" s="66">
        <f>IF(ISERROR(H51/D51),0,(H51/D51))</f>
        <v>6.6310298261575279E-3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tabColor theme="1" tint="0.499984740745262"/>
    <pageSetUpPr fitToPage="1"/>
  </sheetPr>
  <dimension ref="A1:K68"/>
  <sheetViews>
    <sheetView tabSelected="1" view="pageBreakPreview"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120</v>
      </c>
      <c r="B1" s="188"/>
      <c r="C1" s="188"/>
      <c r="D1" s="188"/>
      <c r="E1" s="188"/>
      <c r="F1" s="188"/>
      <c r="G1" s="188"/>
      <c r="H1" s="188"/>
      <c r="I1" s="188"/>
      <c r="J1" s="188"/>
      <c r="K1" s="189"/>
    </row>
    <row r="3" spans="1:11" x14ac:dyDescent="0.2">
      <c r="A3" s="13" t="s">
        <v>13</v>
      </c>
      <c r="B3" s="13" t="s">
        <v>6</v>
      </c>
    </row>
    <row r="4" spans="1:11" x14ac:dyDescent="0.2">
      <c r="A4" s="15" t="s">
        <v>62</v>
      </c>
      <c r="B4" s="15">
        <v>15000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16005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2.6385946793912596E-2</v>
      </c>
      <c r="K12" s="106"/>
    </row>
    <row r="13" spans="1:11" x14ac:dyDescent="0.2">
      <c r="A13" s="107" t="s">
        <v>32</v>
      </c>
      <c r="B13" s="73">
        <f>IF(B4&gt;B7,(B4)-B7,0)</f>
        <v>14250</v>
      </c>
      <c r="C13" s="21">
        <v>0.121</v>
      </c>
      <c r="D13" s="22">
        <f>B13*C13</f>
        <v>1724.25</v>
      </c>
      <c r="E13" s="73">
        <f t="shared" ref="E13" si="0">B13</f>
        <v>14250</v>
      </c>
      <c r="F13" s="21">
        <f>C13</f>
        <v>0.121</v>
      </c>
      <c r="G13" s="22">
        <f>E13*F13</f>
        <v>1724.25</v>
      </c>
      <c r="H13" s="22">
        <f t="shared" ref="H13:H46" si="1">G13-D13</f>
        <v>0</v>
      </c>
      <c r="I13" s="23">
        <f t="shared" ref="I13:I46" si="2">IF(ISERROR(H13/D13),0,(H13/D13))</f>
        <v>0</v>
      </c>
      <c r="J13" s="23">
        <f>G13/$G$46</f>
        <v>0.58894457940975786</v>
      </c>
      <c r="K13" s="108"/>
    </row>
    <row r="14" spans="1:11" s="1" customFormat="1" x14ac:dyDescent="0.2">
      <c r="A14" s="46" t="s">
        <v>33</v>
      </c>
      <c r="B14" s="24"/>
      <c r="C14" s="25"/>
      <c r="D14" s="25">
        <f>SUM(D12:D13)</f>
        <v>1801.5</v>
      </c>
      <c r="E14" s="76"/>
      <c r="F14" s="25"/>
      <c r="G14" s="25">
        <f>SUM(G12:G13)</f>
        <v>1801.5</v>
      </c>
      <c r="H14" s="25">
        <f t="shared" si="1"/>
        <v>0</v>
      </c>
      <c r="I14" s="27">
        <f t="shared" si="2"/>
        <v>0</v>
      </c>
      <c r="J14" s="27">
        <f>G14/$G$46</f>
        <v>0.61533052620367046</v>
      </c>
      <c r="K14" s="108"/>
    </row>
    <row r="15" spans="1:11" s="1" customFormat="1" x14ac:dyDescent="0.2">
      <c r="A15" s="109" t="s">
        <v>34</v>
      </c>
      <c r="B15" s="75">
        <f>B4*0.65</f>
        <v>9750</v>
      </c>
      <c r="C15" s="28">
        <v>8.6999999999999994E-2</v>
      </c>
      <c r="D15" s="22">
        <f>B15*C15</f>
        <v>848.24999999999989</v>
      </c>
      <c r="E15" s="73">
        <f t="shared" ref="E15:F17" si="3">B15</f>
        <v>9750</v>
      </c>
      <c r="F15" s="28">
        <f t="shared" si="3"/>
        <v>8.6999999999999994E-2</v>
      </c>
      <c r="G15" s="22">
        <f>E15*F15</f>
        <v>848.24999999999989</v>
      </c>
      <c r="H15" s="22">
        <f t="shared" si="1"/>
        <v>0</v>
      </c>
      <c r="I15" s="23">
        <f t="shared" si="2"/>
        <v>0</v>
      </c>
      <c r="J15" s="23"/>
      <c r="K15" s="108">
        <f t="shared" ref="K15:K26" si="4">G15/$G$51</f>
        <v>0.30508514330745823</v>
      </c>
    </row>
    <row r="16" spans="1:11" s="1" customFormat="1" x14ac:dyDescent="0.2">
      <c r="A16" s="109" t="s">
        <v>35</v>
      </c>
      <c r="B16" s="75">
        <f>B4*0.17</f>
        <v>2550</v>
      </c>
      <c r="C16" s="28">
        <v>0.13200000000000001</v>
      </c>
      <c r="D16" s="22">
        <f>B16*C16</f>
        <v>336.6</v>
      </c>
      <c r="E16" s="73">
        <f t="shared" si="3"/>
        <v>2550</v>
      </c>
      <c r="F16" s="28">
        <f t="shared" si="3"/>
        <v>0.13200000000000001</v>
      </c>
      <c r="G16" s="22">
        <f>E16*F16</f>
        <v>336.6</v>
      </c>
      <c r="H16" s="22">
        <f t="shared" si="1"/>
        <v>0</v>
      </c>
      <c r="I16" s="23">
        <f t="shared" si="2"/>
        <v>0</v>
      </c>
      <c r="J16" s="23"/>
      <c r="K16" s="108">
        <f t="shared" si="4"/>
        <v>0.12106296402863598</v>
      </c>
    </row>
    <row r="17" spans="1:11" s="1" customFormat="1" x14ac:dyDescent="0.2">
      <c r="A17" s="109" t="s">
        <v>36</v>
      </c>
      <c r="B17" s="75">
        <f>B4*0.18</f>
        <v>2700</v>
      </c>
      <c r="C17" s="28">
        <v>0.18</v>
      </c>
      <c r="D17" s="22">
        <f>B17*C17</f>
        <v>486</v>
      </c>
      <c r="E17" s="73">
        <f t="shared" si="3"/>
        <v>2700</v>
      </c>
      <c r="F17" s="28">
        <f t="shared" si="3"/>
        <v>0.18</v>
      </c>
      <c r="G17" s="22">
        <f>E17*F17</f>
        <v>486</v>
      </c>
      <c r="H17" s="22">
        <f t="shared" si="1"/>
        <v>0</v>
      </c>
      <c r="I17" s="23">
        <f t="shared" si="2"/>
        <v>0</v>
      </c>
      <c r="J17" s="23"/>
      <c r="K17" s="108">
        <f t="shared" si="4"/>
        <v>0.17479679298252251</v>
      </c>
    </row>
    <row r="18" spans="1:11" s="1" customFormat="1" x14ac:dyDescent="0.2">
      <c r="A18" s="61" t="s">
        <v>37</v>
      </c>
      <c r="B18" s="29"/>
      <c r="C18" s="30"/>
      <c r="D18" s="30">
        <f>SUM(D15:D17)</f>
        <v>1670.85</v>
      </c>
      <c r="E18" s="77"/>
      <c r="F18" s="30"/>
      <c r="G18" s="30">
        <f>SUM(G15:G17)</f>
        <v>1670.85</v>
      </c>
      <c r="H18" s="31">
        <f t="shared" si="1"/>
        <v>0</v>
      </c>
      <c r="I18" s="32">
        <f t="shared" si="2"/>
        <v>0</v>
      </c>
      <c r="J18" s="33">
        <f t="shared" ref="J18:J23" si="5">G18/$G$46</f>
        <v>0.57070497347066484</v>
      </c>
      <c r="K18" s="62">
        <f t="shared" si="4"/>
        <v>0.6009449003186168</v>
      </c>
    </row>
    <row r="19" spans="1:11" x14ac:dyDescent="0.2">
      <c r="A19" s="107" t="s">
        <v>38</v>
      </c>
      <c r="B19" s="73">
        <v>1</v>
      </c>
      <c r="C19" s="78">
        <f>VLOOKUP($B$3,'Data for Bill Impacts'!$A$3:$Y$15,7,0)</f>
        <v>24.52</v>
      </c>
      <c r="D19" s="22">
        <f>B19*C19</f>
        <v>24.52</v>
      </c>
      <c r="E19" s="73">
        <f t="shared" ref="E19:E41" si="6">B19</f>
        <v>1</v>
      </c>
      <c r="F19" s="78">
        <f>VLOOKUP($B$3,'Data for Bill Impacts'!$A$3:$Y$15,17,0)</f>
        <v>25.11</v>
      </c>
      <c r="G19" s="22">
        <f>E19*F19</f>
        <v>25.11</v>
      </c>
      <c r="H19" s="22">
        <f t="shared" si="1"/>
        <v>0.58999999999999986</v>
      </c>
      <c r="I19" s="23">
        <f t="shared" si="2"/>
        <v>2.4061990212071772E-2</v>
      </c>
      <c r="J19" s="23">
        <f t="shared" si="5"/>
        <v>8.5767135792251814E-3</v>
      </c>
      <c r="K19" s="108">
        <f t="shared" si="4"/>
        <v>9.0311676374303304E-3</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110</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3.4156565429013069E-6</v>
      </c>
      <c r="K22" s="108">
        <f t="shared" si="4"/>
        <v>3.5966418309161016E-6</v>
      </c>
    </row>
    <row r="23" spans="1:11" x14ac:dyDescent="0.2">
      <c r="A23" s="107" t="s">
        <v>39</v>
      </c>
      <c r="B23" s="73">
        <f>IF($B$9="kWh",$B$4,$B$5)</f>
        <v>15000</v>
      </c>
      <c r="C23" s="78">
        <f>VLOOKUP($B$3,'Data for Bill Impacts'!$A$3:$Y$15,10,0)</f>
        <v>2.9000000000000001E-2</v>
      </c>
      <c r="D23" s="22">
        <f>B23*C23</f>
        <v>435</v>
      </c>
      <c r="E23" s="73">
        <f t="shared" si="6"/>
        <v>15000</v>
      </c>
      <c r="F23" s="78">
        <f>VLOOKUP($B$3,'Data for Bill Impacts'!$A$3:$Y$15,19,0)</f>
        <v>0.03</v>
      </c>
      <c r="G23" s="22">
        <f>E23*F23</f>
        <v>450</v>
      </c>
      <c r="H23" s="22">
        <f t="shared" si="1"/>
        <v>15</v>
      </c>
      <c r="I23" s="23">
        <f t="shared" si="2"/>
        <v>3.4482758620689655E-2</v>
      </c>
      <c r="J23" s="23">
        <f t="shared" si="5"/>
        <v>0.15370454443055881</v>
      </c>
      <c r="K23" s="108">
        <f t="shared" si="4"/>
        <v>0.16184888239122455</v>
      </c>
    </row>
    <row r="24" spans="1:11" x14ac:dyDescent="0.2">
      <c r="A24" s="107" t="s">
        <v>121</v>
      </c>
      <c r="B24" s="73">
        <f>IF($B$9="kWh",$B$4,$B$5)</f>
        <v>15000</v>
      </c>
      <c r="C24" s="126">
        <f>VLOOKUP($B$3,'Data for Bill Impacts'!$A$3:$Y$15,14,0)</f>
        <v>2.0000000000000001E-4</v>
      </c>
      <c r="D24" s="22">
        <f>B24*C24</f>
        <v>3</v>
      </c>
      <c r="E24" s="73">
        <f t="shared" si="6"/>
        <v>15000</v>
      </c>
      <c r="F24" s="126">
        <f>VLOOKUP($B$3,'Data for Bill Impacts'!$A$3:$Y$15,23,0)</f>
        <v>2.0000000000000001E-4</v>
      </c>
      <c r="G24" s="22">
        <f>E24*F24</f>
        <v>3</v>
      </c>
      <c r="H24" s="22">
        <f t="shared" si="1"/>
        <v>0</v>
      </c>
      <c r="I24" s="23">
        <f>IF(ISERROR(H24/D24),0,(H24/D24))</f>
        <v>0</v>
      </c>
      <c r="J24" s="23">
        <f t="shared" ref="J24" si="9">G24/$G$46</f>
        <v>1.024696962870392E-3</v>
      </c>
      <c r="K24" s="108">
        <f t="shared" si="4"/>
        <v>1.0789925492748305E-3</v>
      </c>
    </row>
    <row r="25" spans="1:11" s="1" customFormat="1" x14ac:dyDescent="0.2">
      <c r="A25" s="110" t="s">
        <v>72</v>
      </c>
      <c r="B25" s="74"/>
      <c r="C25" s="35"/>
      <c r="D25" s="35">
        <f>SUM(D19:D24)</f>
        <v>462.53</v>
      </c>
      <c r="E25" s="73"/>
      <c r="F25" s="35"/>
      <c r="G25" s="35">
        <f>SUM(G19:G24)</f>
        <v>478.12</v>
      </c>
      <c r="H25" s="35">
        <f t="shared" si="1"/>
        <v>15.590000000000032</v>
      </c>
      <c r="I25" s="36">
        <f t="shared" si="2"/>
        <v>3.3705921778046898E-2</v>
      </c>
      <c r="J25" s="36">
        <f>G25/$G$46</f>
        <v>0.16330937062919729</v>
      </c>
      <c r="K25" s="111">
        <f t="shared" si="4"/>
        <v>0.17196263921976063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2.6983686688920324E-4</v>
      </c>
      <c r="K26" s="108">
        <f t="shared" si="4"/>
        <v>2.8413470464237203E-4</v>
      </c>
    </row>
    <row r="27" spans="1:11" s="1" customFormat="1" x14ac:dyDescent="0.2">
      <c r="A27" s="119" t="s">
        <v>75</v>
      </c>
      <c r="B27" s="120">
        <f>B8-B4</f>
        <v>1005</v>
      </c>
      <c r="C27" s="121">
        <f>IF(B4&gt;B7,C13,C12)</f>
        <v>0.121</v>
      </c>
      <c r="D27" s="22">
        <f>B27*C27</f>
        <v>121.60499999999999</v>
      </c>
      <c r="E27" s="73">
        <f>B27</f>
        <v>1005</v>
      </c>
      <c r="F27" s="121">
        <f>C27</f>
        <v>0.121</v>
      </c>
      <c r="G27" s="22">
        <f>E27*F27</f>
        <v>121.60499999999999</v>
      </c>
      <c r="H27" s="22">
        <f t="shared" si="1"/>
        <v>0</v>
      </c>
      <c r="I27" s="23">
        <f>IF(ISERROR(H27/D27),0,(H27/D27))</f>
        <v>0</v>
      </c>
      <c r="J27" s="23">
        <f t="shared" ref="J27:J46" si="10">G27/$G$46</f>
        <v>4.1536091389951339E-2</v>
      </c>
      <c r="K27" s="108">
        <f t="shared" ref="K27:K41" si="11">G27/$G$51</f>
        <v>4.3736962984855243E-2</v>
      </c>
    </row>
    <row r="28" spans="1:11" s="1" customFormat="1" x14ac:dyDescent="0.2">
      <c r="A28" s="119" t="s">
        <v>74</v>
      </c>
      <c r="B28" s="120">
        <f>B8-B4</f>
        <v>1005</v>
      </c>
      <c r="C28" s="121">
        <f>0.65*C15+0.17*C16+0.18*C17</f>
        <v>0.11139</v>
      </c>
      <c r="D28" s="22">
        <f>B28*C28</f>
        <v>111.94695</v>
      </c>
      <c r="E28" s="73">
        <f>B28</f>
        <v>1005</v>
      </c>
      <c r="F28" s="121">
        <f>C28</f>
        <v>0.11139</v>
      </c>
      <c r="G28" s="22">
        <f>E28*F28</f>
        <v>111.94695</v>
      </c>
      <c r="H28" s="22">
        <f t="shared" si="1"/>
        <v>0</v>
      </c>
      <c r="I28" s="23">
        <f>IF(ISERROR(H28/D28),0,(H28/D28))</f>
        <v>0</v>
      </c>
      <c r="J28" s="23">
        <f t="shared" si="10"/>
        <v>3.8237233222534542E-2</v>
      </c>
      <c r="K28" s="108">
        <f t="shared" si="11"/>
        <v>4.0263308321347328E-2</v>
      </c>
    </row>
    <row r="29" spans="1:11" s="1" customFormat="1" x14ac:dyDescent="0.2">
      <c r="A29" s="110" t="s">
        <v>78</v>
      </c>
      <c r="B29" s="74"/>
      <c r="C29" s="35"/>
      <c r="D29" s="35">
        <f>SUM(D25,D26:D27)</f>
        <v>584.92499999999995</v>
      </c>
      <c r="E29" s="73"/>
      <c r="F29" s="35"/>
      <c r="G29" s="35">
        <f>SUM(G25,G26:G27)</f>
        <v>600.51499999999999</v>
      </c>
      <c r="H29" s="35">
        <f t="shared" si="1"/>
        <v>15.590000000000032</v>
      </c>
      <c r="I29" s="36">
        <f>IF(ISERROR(H29/D29),0,(H29/D29))</f>
        <v>2.6652989699534186E-2</v>
      </c>
      <c r="J29" s="36">
        <f t="shared" si="10"/>
        <v>0.20511529888603783</v>
      </c>
      <c r="K29" s="111">
        <f t="shared" si="11"/>
        <v>0.21598373690925826</v>
      </c>
    </row>
    <row r="30" spans="1:11" s="1" customFormat="1" x14ac:dyDescent="0.2">
      <c r="A30" s="110" t="s">
        <v>77</v>
      </c>
      <c r="B30" s="74"/>
      <c r="C30" s="35"/>
      <c r="D30" s="35">
        <f>SUM(D25,D26,D28)</f>
        <v>575.26694999999995</v>
      </c>
      <c r="E30" s="73"/>
      <c r="F30" s="35"/>
      <c r="G30" s="35">
        <f>SUM(G25,G26,G28)</f>
        <v>590.85694999999998</v>
      </c>
      <c r="H30" s="35">
        <f t="shared" si="1"/>
        <v>15.590000000000032</v>
      </c>
      <c r="I30" s="36">
        <f>IF(ISERROR(H30/D30),0,(H30/D30))</f>
        <v>2.7100461794302685E-2</v>
      </c>
      <c r="J30" s="36">
        <f t="shared" si="10"/>
        <v>0.20181644071862104</v>
      </c>
      <c r="K30" s="111">
        <f t="shared" si="11"/>
        <v>0.21251008224575033</v>
      </c>
    </row>
    <row r="31" spans="1:11" x14ac:dyDescent="0.2">
      <c r="A31" s="107" t="s">
        <v>40</v>
      </c>
      <c r="B31" s="73">
        <f>B8</f>
        <v>16005</v>
      </c>
      <c r="C31" s="126">
        <f>VLOOKUP($B$3,'Data for Bill Impacts'!$A$3:$Y$15,15,0)</f>
        <v>6.1060000000000003E-3</v>
      </c>
      <c r="D31" s="22">
        <f>B31*C31</f>
        <v>97.726530000000011</v>
      </c>
      <c r="E31" s="73">
        <f t="shared" si="6"/>
        <v>16005</v>
      </c>
      <c r="F31" s="126">
        <f>VLOOKUP($B$3,'Data for Bill Impacts'!$A$3:$Y$15,24,0)</f>
        <v>6.1060000000000003E-3</v>
      </c>
      <c r="G31" s="22">
        <f>E31*F31</f>
        <v>97.726530000000011</v>
      </c>
      <c r="H31" s="22">
        <f t="shared" si="1"/>
        <v>0</v>
      </c>
      <c r="I31" s="23">
        <f t="shared" si="2"/>
        <v>0</v>
      </c>
      <c r="J31" s="23">
        <f t="shared" si="10"/>
        <v>3.338002616095409E-2</v>
      </c>
      <c r="K31" s="108">
        <f t="shared" si="11"/>
        <v>3.5148732578827738E-2</v>
      </c>
    </row>
    <row r="32" spans="1:11" x14ac:dyDescent="0.2">
      <c r="A32" s="107" t="s">
        <v>41</v>
      </c>
      <c r="B32" s="73">
        <f>B8</f>
        <v>16005</v>
      </c>
      <c r="C32" s="126">
        <f>VLOOKUP($B$3,'Data for Bill Impacts'!$A$3:$Y$15,16,0)</f>
        <v>4.6519999999999999E-3</v>
      </c>
      <c r="D32" s="22">
        <f>B32*C32</f>
        <v>74.455259999999996</v>
      </c>
      <c r="E32" s="73">
        <f t="shared" si="6"/>
        <v>16005</v>
      </c>
      <c r="F32" s="126">
        <f>VLOOKUP($B$3,'Data for Bill Impacts'!$A$3:$Y$15,25,0)</f>
        <v>4.6519999999999999E-3</v>
      </c>
      <c r="G32" s="22">
        <f>E32*F32</f>
        <v>74.455259999999996</v>
      </c>
      <c r="H32" s="22">
        <f t="shared" si="1"/>
        <v>0</v>
      </c>
      <c r="I32" s="23">
        <f t="shared" si="2"/>
        <v>0</v>
      </c>
      <c r="J32" s="23">
        <f t="shared" si="10"/>
        <v>2.5431359597241795E-2</v>
      </c>
      <c r="K32" s="108">
        <f t="shared" si="11"/>
        <v>2.6778890264773435E-2</v>
      </c>
    </row>
    <row r="33" spans="1:11" s="1" customFormat="1" x14ac:dyDescent="0.2">
      <c r="A33" s="110" t="s">
        <v>76</v>
      </c>
      <c r="B33" s="74"/>
      <c r="C33" s="35"/>
      <c r="D33" s="35">
        <f>SUM(D31:D32)</f>
        <v>172.18179000000001</v>
      </c>
      <c r="E33" s="73"/>
      <c r="F33" s="35"/>
      <c r="G33" s="35">
        <f>SUM(G31:G32)</f>
        <v>172.18179000000001</v>
      </c>
      <c r="H33" s="35">
        <f t="shared" si="1"/>
        <v>0</v>
      </c>
      <c r="I33" s="36">
        <f t="shared" si="2"/>
        <v>0</v>
      </c>
      <c r="J33" s="36">
        <f t="shared" si="10"/>
        <v>5.8811385758195882E-2</v>
      </c>
      <c r="K33" s="111">
        <f t="shared" si="11"/>
        <v>6.192762284360117E-2</v>
      </c>
    </row>
    <row r="34" spans="1:11" s="1" customFormat="1" ht="13.5" customHeight="1" x14ac:dyDescent="0.2">
      <c r="A34" s="110" t="s">
        <v>91</v>
      </c>
      <c r="B34" s="74"/>
      <c r="C34" s="35"/>
      <c r="D34" s="35">
        <f>D29+D33</f>
        <v>757.10678999999993</v>
      </c>
      <c r="E34" s="73"/>
      <c r="F34" s="35"/>
      <c r="G34" s="35">
        <f>G29+G33</f>
        <v>772.69678999999996</v>
      </c>
      <c r="H34" s="35">
        <f t="shared" si="1"/>
        <v>15.590000000000032</v>
      </c>
      <c r="I34" s="36">
        <f t="shared" si="2"/>
        <v>2.0591546933557463E-2</v>
      </c>
      <c r="J34" s="36">
        <f t="shared" si="10"/>
        <v>0.26392668464423369</v>
      </c>
      <c r="K34" s="111">
        <f t="shared" si="11"/>
        <v>0.27791135975285941</v>
      </c>
    </row>
    <row r="35" spans="1:11" s="1" customFormat="1" ht="13.5" customHeight="1" x14ac:dyDescent="0.2">
      <c r="A35" s="110" t="s">
        <v>92</v>
      </c>
      <c r="B35" s="74"/>
      <c r="C35" s="35"/>
      <c r="D35" s="35">
        <f>D30+D33</f>
        <v>747.44873999999993</v>
      </c>
      <c r="E35" s="73"/>
      <c r="F35" s="35"/>
      <c r="G35" s="35">
        <f>G30+G33</f>
        <v>763.03873999999996</v>
      </c>
      <c r="H35" s="35">
        <f t="shared" si="1"/>
        <v>15.590000000000032</v>
      </c>
      <c r="I35" s="36">
        <f t="shared" si="2"/>
        <v>2.085761760732921E-2</v>
      </c>
      <c r="J35" s="36">
        <f t="shared" si="10"/>
        <v>0.26062782647681687</v>
      </c>
      <c r="K35" s="111">
        <f t="shared" si="11"/>
        <v>0.2744377050893515</v>
      </c>
    </row>
    <row r="36" spans="1:11" x14ac:dyDescent="0.2">
      <c r="A36" s="107" t="s">
        <v>42</v>
      </c>
      <c r="B36" s="73">
        <f>B8</f>
        <v>16005</v>
      </c>
      <c r="C36" s="34">
        <v>3.5999999999999999E-3</v>
      </c>
      <c r="D36" s="22">
        <f>B36*C36</f>
        <v>57.617999999999995</v>
      </c>
      <c r="E36" s="73">
        <f t="shared" si="6"/>
        <v>16005</v>
      </c>
      <c r="F36" s="34">
        <v>3.5999999999999999E-3</v>
      </c>
      <c r="G36" s="22">
        <f>E36*F36</f>
        <v>57.617999999999995</v>
      </c>
      <c r="H36" s="22">
        <f t="shared" si="1"/>
        <v>0</v>
      </c>
      <c r="I36" s="23">
        <f t="shared" si="2"/>
        <v>0</v>
      </c>
      <c r="J36" s="23">
        <f t="shared" si="10"/>
        <v>1.9680329868888749E-2</v>
      </c>
      <c r="K36" s="108">
        <f t="shared" si="11"/>
        <v>2.0723130901372389E-2</v>
      </c>
    </row>
    <row r="37" spans="1:11" x14ac:dyDescent="0.2">
      <c r="A37" s="107" t="s">
        <v>43</v>
      </c>
      <c r="B37" s="73">
        <f>B8</f>
        <v>16005</v>
      </c>
      <c r="C37" s="34">
        <v>2.0999999999999999E-3</v>
      </c>
      <c r="D37" s="22">
        <f>B37*C37</f>
        <v>33.610499999999995</v>
      </c>
      <c r="E37" s="73">
        <f t="shared" si="6"/>
        <v>16005</v>
      </c>
      <c r="F37" s="34">
        <v>2.0999999999999999E-3</v>
      </c>
      <c r="G37" s="22">
        <f>E37*F37</f>
        <v>33.610499999999995</v>
      </c>
      <c r="H37" s="22">
        <f>G37-D37</f>
        <v>0</v>
      </c>
      <c r="I37" s="23">
        <f t="shared" si="2"/>
        <v>0</v>
      </c>
      <c r="J37" s="23">
        <f t="shared" si="10"/>
        <v>1.1480192423518436E-2</v>
      </c>
      <c r="K37" s="108">
        <f t="shared" si="11"/>
        <v>1.208849302580056E-2</v>
      </c>
    </row>
    <row r="38" spans="1:11" x14ac:dyDescent="0.2">
      <c r="A38" s="107" t="s">
        <v>96</v>
      </c>
      <c r="B38" s="73">
        <f>B8</f>
        <v>16005</v>
      </c>
      <c r="C38" s="34">
        <v>1.1000000000000001E-3</v>
      </c>
      <c r="D38" s="22">
        <f>B38*C38</f>
        <v>17.605500000000003</v>
      </c>
      <c r="E38" s="73">
        <f t="shared" si="6"/>
        <v>16005</v>
      </c>
      <c r="F38" s="34">
        <v>1.1000000000000001E-3</v>
      </c>
      <c r="G38" s="22">
        <f>E38*F38</f>
        <v>17.605500000000003</v>
      </c>
      <c r="H38" s="22">
        <f>G38-D38</f>
        <v>0</v>
      </c>
      <c r="I38" s="23">
        <f t="shared" ref="I38" si="12">IF(ISERROR(H38/D38),0,(H38/D38))</f>
        <v>0</v>
      </c>
      <c r="J38" s="23">
        <f t="shared" ref="J38" si="13">G38/$G$46</f>
        <v>6.0134341266048965E-3</v>
      </c>
      <c r="K38" s="108">
        <f t="shared" ref="K38" si="14">G38/$G$51</f>
        <v>6.3320677754193436E-3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8.5391413572532675E-5</v>
      </c>
      <c r="K39" s="108">
        <f t="shared" si="11"/>
        <v>8.9916045772902529E-5</v>
      </c>
    </row>
    <row r="40" spans="1:11" s="1" customFormat="1" x14ac:dyDescent="0.2">
      <c r="A40" s="110" t="s">
        <v>45</v>
      </c>
      <c r="B40" s="74"/>
      <c r="C40" s="35"/>
      <c r="D40" s="35">
        <f>SUM(D36:D39)</f>
        <v>109.084</v>
      </c>
      <c r="E40" s="73"/>
      <c r="F40" s="35"/>
      <c r="G40" s="35">
        <f>SUM(G36:G39)</f>
        <v>109.084</v>
      </c>
      <c r="H40" s="35">
        <f t="shared" si="1"/>
        <v>0</v>
      </c>
      <c r="I40" s="36">
        <f t="shared" si="2"/>
        <v>0</v>
      </c>
      <c r="J40" s="36">
        <f t="shared" si="10"/>
        <v>3.7259347832584618E-2</v>
      </c>
      <c r="K40" s="111">
        <f t="shared" si="11"/>
        <v>3.92336077483652E-2</v>
      </c>
    </row>
    <row r="41" spans="1:11" s="1" customFormat="1" ht="13.5" thickBot="1" x14ac:dyDescent="0.25">
      <c r="A41" s="112" t="s">
        <v>46</v>
      </c>
      <c r="B41" s="113">
        <f>B4</f>
        <v>15000</v>
      </c>
      <c r="C41" s="114">
        <v>7.0000000000000001E-3</v>
      </c>
      <c r="D41" s="115">
        <f>B41*C41</f>
        <v>105</v>
      </c>
      <c r="E41" s="116">
        <f t="shared" si="6"/>
        <v>15000</v>
      </c>
      <c r="F41" s="114">
        <f>C41</f>
        <v>7.0000000000000001E-3</v>
      </c>
      <c r="G41" s="115">
        <f>E41*F41</f>
        <v>105</v>
      </c>
      <c r="H41" s="115">
        <f t="shared" si="1"/>
        <v>0</v>
      </c>
      <c r="I41" s="117">
        <f t="shared" si="2"/>
        <v>0</v>
      </c>
      <c r="J41" s="117">
        <f t="shared" si="10"/>
        <v>3.5864393700463723E-2</v>
      </c>
      <c r="K41" s="118">
        <f t="shared" si="11"/>
        <v>3.7764739224619065E-2</v>
      </c>
    </row>
    <row r="42" spans="1:11" s="1" customFormat="1" x14ac:dyDescent="0.2">
      <c r="A42" s="37" t="s">
        <v>101</v>
      </c>
      <c r="B42" s="38"/>
      <c r="C42" s="39"/>
      <c r="D42" s="39">
        <f>SUM(D14,D25,D26,D27,D33,D40,D41)</f>
        <v>2772.6907899999997</v>
      </c>
      <c r="E42" s="38"/>
      <c r="F42" s="39"/>
      <c r="G42" s="39">
        <f>SUM(G14,G25,G26,G27,G33,G40,G41)</f>
        <v>2788.2807899999998</v>
      </c>
      <c r="H42" s="39">
        <f t="shared" si="1"/>
        <v>15.590000000000146</v>
      </c>
      <c r="I42" s="40">
        <f>IF(ISERROR(H42/D42),0,(H42/D42))</f>
        <v>5.6226969326068077E-3</v>
      </c>
      <c r="J42" s="40">
        <f t="shared" si="10"/>
        <v>0.95238095238095244</v>
      </c>
      <c r="K42" s="41"/>
    </row>
    <row r="43" spans="1:11" x14ac:dyDescent="0.2">
      <c r="A43" s="154" t="s">
        <v>102</v>
      </c>
      <c r="B43" s="43"/>
      <c r="C43" s="26">
        <v>0.13</v>
      </c>
      <c r="D43" s="26">
        <f>D42*C43</f>
        <v>360.44980269999996</v>
      </c>
      <c r="E43" s="26"/>
      <c r="F43" s="26">
        <f>C43</f>
        <v>0.13</v>
      </c>
      <c r="G43" s="26">
        <f>G42*F43</f>
        <v>362.47650269999997</v>
      </c>
      <c r="H43" s="26">
        <f t="shared" si="1"/>
        <v>2.0267000000000053</v>
      </c>
      <c r="I43" s="44">
        <f t="shared" si="2"/>
        <v>5.6226969326067704E-3</v>
      </c>
      <c r="J43" s="44">
        <f t="shared" si="10"/>
        <v>0.12380952380952381</v>
      </c>
      <c r="K43" s="45"/>
    </row>
    <row r="44" spans="1:11" s="1" customFormat="1" x14ac:dyDescent="0.2">
      <c r="A44" s="46" t="s">
        <v>103</v>
      </c>
      <c r="B44" s="24"/>
      <c r="C44" s="25"/>
      <c r="D44" s="25">
        <f>SUM(D42:D43)</f>
        <v>3133.1405926999996</v>
      </c>
      <c r="E44" s="25"/>
      <c r="F44" s="25"/>
      <c r="G44" s="25">
        <f>SUM(G42:G43)</f>
        <v>3150.7572926999997</v>
      </c>
      <c r="H44" s="25">
        <f t="shared" si="1"/>
        <v>17.616700000000037</v>
      </c>
      <c r="I44" s="27">
        <f t="shared" si="2"/>
        <v>5.6226969326067678E-3</v>
      </c>
      <c r="J44" s="27">
        <f t="shared" si="10"/>
        <v>1.0761904761904761</v>
      </c>
      <c r="K44" s="47"/>
    </row>
    <row r="45" spans="1:11" x14ac:dyDescent="0.2">
      <c r="A45" s="42" t="s">
        <v>104</v>
      </c>
      <c r="B45" s="43"/>
      <c r="C45" s="26">
        <v>-0.08</v>
      </c>
      <c r="D45" s="26">
        <f>D42*C45</f>
        <v>-221.81526319999998</v>
      </c>
      <c r="E45" s="26"/>
      <c r="F45" s="26">
        <f>C45</f>
        <v>-0.08</v>
      </c>
      <c r="G45" s="26">
        <f>G42*F45</f>
        <v>-223.0624632</v>
      </c>
      <c r="H45" s="26">
        <f t="shared" si="1"/>
        <v>-1.2472000000000207</v>
      </c>
      <c r="I45" s="44">
        <f t="shared" si="2"/>
        <v>5.6226969326068493E-3</v>
      </c>
      <c r="J45" s="44">
        <f t="shared" si="10"/>
        <v>-7.6190476190476197E-2</v>
      </c>
      <c r="K45" s="45"/>
    </row>
    <row r="46" spans="1:11" s="1" customFormat="1" ht="13.5" thickBot="1" x14ac:dyDescent="0.25">
      <c r="A46" s="48" t="s">
        <v>105</v>
      </c>
      <c r="B46" s="49"/>
      <c r="C46" s="50"/>
      <c r="D46" s="50">
        <f>SUM(D44:D45)</f>
        <v>2911.3253294999995</v>
      </c>
      <c r="E46" s="50"/>
      <c r="F46" s="50"/>
      <c r="G46" s="50">
        <f>SUM(G44:G45)</f>
        <v>2927.6948294999997</v>
      </c>
      <c r="H46" s="50">
        <f t="shared" si="1"/>
        <v>16.369500000000244</v>
      </c>
      <c r="I46" s="51">
        <f t="shared" si="2"/>
        <v>5.6226969326068398E-3</v>
      </c>
      <c r="J46" s="51">
        <f t="shared" si="10"/>
        <v>1</v>
      </c>
      <c r="K46" s="52"/>
    </row>
    <row r="47" spans="1:11" x14ac:dyDescent="0.2">
      <c r="A47" s="53" t="s">
        <v>106</v>
      </c>
      <c r="B47" s="54"/>
      <c r="C47" s="55"/>
      <c r="D47" s="55">
        <f>SUM(D18,D25,D26,D28,D33,D40,D41)</f>
        <v>2632.38274</v>
      </c>
      <c r="E47" s="55"/>
      <c r="F47" s="55"/>
      <c r="G47" s="55">
        <f>SUM(G18,G25,G26,G28,G33,G40,G41)</f>
        <v>2647.9727399999997</v>
      </c>
      <c r="H47" s="55">
        <f>G47-D47</f>
        <v>15.589999999999691</v>
      </c>
      <c r="I47" s="56">
        <f>IF(ISERROR(H47/D47),0,(H47/D47))</f>
        <v>5.9223910577683283E-3</v>
      </c>
      <c r="J47" s="56"/>
      <c r="K47" s="57">
        <f>G47/$G$51</f>
        <v>0.95238095238095244</v>
      </c>
    </row>
    <row r="48" spans="1:11" x14ac:dyDescent="0.2">
      <c r="A48" s="58" t="s">
        <v>102</v>
      </c>
      <c r="B48" s="59"/>
      <c r="C48" s="31">
        <v>0.13</v>
      </c>
      <c r="D48" s="31">
        <f>D47*C48</f>
        <v>342.20975620000002</v>
      </c>
      <c r="E48" s="31"/>
      <c r="F48" s="31">
        <f>C48</f>
        <v>0.13</v>
      </c>
      <c r="G48" s="31">
        <f>G47*F48</f>
        <v>344.23645619999996</v>
      </c>
      <c r="H48" s="31">
        <f>G48-D48</f>
        <v>2.0266999999999484</v>
      </c>
      <c r="I48" s="32">
        <f>IF(ISERROR(H48/D48),0,(H48/D48))</f>
        <v>5.9223910577682953E-3</v>
      </c>
      <c r="J48" s="32"/>
      <c r="K48" s="60">
        <f>G48/$G$51</f>
        <v>0.12380952380952381</v>
      </c>
    </row>
    <row r="49" spans="1:11" x14ac:dyDescent="0.2">
      <c r="A49" s="150" t="s">
        <v>107</v>
      </c>
      <c r="B49" s="29"/>
      <c r="C49" s="30"/>
      <c r="D49" s="30">
        <f>SUM(D47:D48)</f>
        <v>2974.5924961999999</v>
      </c>
      <c r="E49" s="30"/>
      <c r="F49" s="30"/>
      <c r="G49" s="30">
        <f>SUM(G47:G48)</f>
        <v>2992.2091961999995</v>
      </c>
      <c r="H49" s="30">
        <f>G49-D49</f>
        <v>17.616699999999582</v>
      </c>
      <c r="I49" s="33">
        <f>IF(ISERROR(H49/D49),0,(H49/D49))</f>
        <v>5.9223910577683057E-3</v>
      </c>
      <c r="J49" s="33"/>
      <c r="K49" s="62">
        <f>G49/$G$51</f>
        <v>1.0761904761904761</v>
      </c>
    </row>
    <row r="50" spans="1:11" x14ac:dyDescent="0.2">
      <c r="A50" s="58" t="s">
        <v>104</v>
      </c>
      <c r="B50" s="59"/>
      <c r="C50" s="31">
        <v>-0.08</v>
      </c>
      <c r="D50" s="31">
        <f>D47*C50</f>
        <v>-210.59061919999999</v>
      </c>
      <c r="E50" s="31"/>
      <c r="F50" s="31">
        <f>C50</f>
        <v>-0.08</v>
      </c>
      <c r="G50" s="31">
        <f>G47*F50</f>
        <v>-211.83781919999998</v>
      </c>
      <c r="H50" s="31">
        <f>G50-D50</f>
        <v>-1.2471999999999923</v>
      </c>
      <c r="I50" s="32">
        <f>IF(ISERROR(H50/D50),0,(H50/D50))</f>
        <v>5.9223910577684098E-3</v>
      </c>
      <c r="J50" s="32"/>
      <c r="K50" s="60">
        <f>G50/$G$51</f>
        <v>-7.6190476190476197E-2</v>
      </c>
    </row>
    <row r="51" spans="1:11" ht="13.5" thickBot="1" x14ac:dyDescent="0.25">
      <c r="A51" s="63" t="s">
        <v>116</v>
      </c>
      <c r="B51" s="64"/>
      <c r="C51" s="65"/>
      <c r="D51" s="65">
        <f>SUM(D49:D50)</f>
        <v>2764.0018769999997</v>
      </c>
      <c r="E51" s="65"/>
      <c r="F51" s="65"/>
      <c r="G51" s="65">
        <f>SUM(G49:G50)</f>
        <v>2780.3713769999995</v>
      </c>
      <c r="H51" s="65">
        <f>G51-D51</f>
        <v>16.369499999999789</v>
      </c>
      <c r="I51" s="66">
        <f>IF(ISERROR(H51/D51),0,(H51/D51))</f>
        <v>5.9223910577683699E-3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9" fitToHeight="0" orientation="landscape" r:id="rId1"/>
  <headerFooter>
    <oddHeader>&amp;RFiled: 2017-03-31
EB-2017-0049
Exhibit H1-4-1
Attachment 3
Page &amp;P of &amp;N</oddHead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1" tint="0.499984740745262"/>
    <pageSetUpPr fitToPage="1"/>
  </sheetPr>
  <dimension ref="A1:K68"/>
  <sheetViews>
    <sheetView tabSelected="1" view="pageBreakPreview" topLeftCell="A16"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117</v>
      </c>
      <c r="B1" s="188"/>
      <c r="C1" s="188"/>
      <c r="D1" s="188"/>
      <c r="E1" s="188"/>
      <c r="F1" s="188"/>
      <c r="G1" s="188"/>
      <c r="H1" s="188"/>
      <c r="I1" s="188"/>
      <c r="J1" s="188"/>
      <c r="K1" s="189"/>
    </row>
    <row r="3" spans="1:11" x14ac:dyDescent="0.2">
      <c r="A3" s="13" t="s">
        <v>13</v>
      </c>
      <c r="B3" s="13" t="s">
        <v>4</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1096</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0.30621355027139135</v>
      </c>
      <c r="K12" s="106"/>
    </row>
    <row r="13" spans="1:11" x14ac:dyDescent="0.2">
      <c r="A13" s="107" t="s">
        <v>32</v>
      </c>
      <c r="B13" s="73">
        <f>IF(B4&gt;B7,(B4)-B7,0)</f>
        <v>250</v>
      </c>
      <c r="C13" s="21">
        <v>0.121</v>
      </c>
      <c r="D13" s="22">
        <f>B13*C13</f>
        <v>30.25</v>
      </c>
      <c r="E13" s="73">
        <f t="shared" ref="E13" si="0">B13</f>
        <v>250</v>
      </c>
      <c r="F13" s="21">
        <f>C13</f>
        <v>0.121</v>
      </c>
      <c r="G13" s="22">
        <f>E13*F13</f>
        <v>30.25</v>
      </c>
      <c r="H13" s="22">
        <f t="shared" ref="H13:H46" si="1">G13-D13</f>
        <v>0</v>
      </c>
      <c r="I13" s="23">
        <f t="shared" ref="I13:I46" si="2">IF(ISERROR(H13/D13),0,(H13/D13))</f>
        <v>0</v>
      </c>
      <c r="J13" s="23">
        <f>G13/$G$46</f>
        <v>0.11990886596387816</v>
      </c>
      <c r="K13" s="108"/>
    </row>
    <row r="14" spans="1:11" s="1" customFormat="1" x14ac:dyDescent="0.2">
      <c r="A14" s="46" t="s">
        <v>33</v>
      </c>
      <c r="B14" s="24"/>
      <c r="C14" s="25"/>
      <c r="D14" s="25">
        <f>SUM(D12:D13)</f>
        <v>107.5</v>
      </c>
      <c r="E14" s="76"/>
      <c r="F14" s="25"/>
      <c r="G14" s="25">
        <f>SUM(G12:G13)</f>
        <v>107.5</v>
      </c>
      <c r="H14" s="25">
        <f t="shared" si="1"/>
        <v>0</v>
      </c>
      <c r="I14" s="27">
        <f t="shared" si="2"/>
        <v>0</v>
      </c>
      <c r="J14" s="27">
        <f>G14/$G$46</f>
        <v>0.42612241623526953</v>
      </c>
      <c r="K14" s="108"/>
    </row>
    <row r="15" spans="1:11" s="1" customFormat="1" x14ac:dyDescent="0.2">
      <c r="A15" s="109" t="s">
        <v>34</v>
      </c>
      <c r="B15" s="75">
        <f>B4*0.65</f>
        <v>650</v>
      </c>
      <c r="C15" s="28">
        <v>8.6999999999999994E-2</v>
      </c>
      <c r="D15" s="22">
        <f>B15*C15</f>
        <v>56.55</v>
      </c>
      <c r="E15" s="73">
        <f t="shared" ref="E15:F17" si="3">B15</f>
        <v>650</v>
      </c>
      <c r="F15" s="28">
        <f t="shared" si="3"/>
        <v>8.6999999999999994E-2</v>
      </c>
      <c r="G15" s="22">
        <f>E15*F15</f>
        <v>56.55</v>
      </c>
      <c r="H15" s="22">
        <f t="shared" si="1"/>
        <v>0</v>
      </c>
      <c r="I15" s="23">
        <f t="shared" si="2"/>
        <v>0</v>
      </c>
      <c r="J15" s="23"/>
      <c r="K15" s="108">
        <f t="shared" ref="K15:K26" si="4">G15/$G$51</f>
        <v>0.22142541649815431</v>
      </c>
    </row>
    <row r="16" spans="1:11" s="1" customFormat="1" x14ac:dyDescent="0.2">
      <c r="A16" s="109" t="s">
        <v>35</v>
      </c>
      <c r="B16" s="75">
        <f>B4*0.17</f>
        <v>170</v>
      </c>
      <c r="C16" s="28">
        <v>0.13200000000000001</v>
      </c>
      <c r="D16" s="22">
        <f>B16*C16</f>
        <v>22.44</v>
      </c>
      <c r="E16" s="73">
        <f t="shared" si="3"/>
        <v>170</v>
      </c>
      <c r="F16" s="28">
        <f t="shared" si="3"/>
        <v>0.13200000000000001</v>
      </c>
      <c r="G16" s="22">
        <f>E16*F16</f>
        <v>22.44</v>
      </c>
      <c r="H16" s="22">
        <f t="shared" si="1"/>
        <v>0</v>
      </c>
      <c r="I16" s="23">
        <f t="shared" si="2"/>
        <v>0</v>
      </c>
      <c r="J16" s="23"/>
      <c r="K16" s="108">
        <f t="shared" si="4"/>
        <v>8.7865364212530203E-2</v>
      </c>
    </row>
    <row r="17" spans="1:11" s="1" customFormat="1" x14ac:dyDescent="0.2">
      <c r="A17" s="109" t="s">
        <v>36</v>
      </c>
      <c r="B17" s="75">
        <f>B4*0.18</f>
        <v>180</v>
      </c>
      <c r="C17" s="28">
        <v>0.18</v>
      </c>
      <c r="D17" s="22">
        <f>B17*C17</f>
        <v>32.4</v>
      </c>
      <c r="E17" s="73">
        <f t="shared" si="3"/>
        <v>180</v>
      </c>
      <c r="F17" s="28">
        <f t="shared" si="3"/>
        <v>0.18</v>
      </c>
      <c r="G17" s="22">
        <f>E17*F17</f>
        <v>32.4</v>
      </c>
      <c r="H17" s="22">
        <f t="shared" si="1"/>
        <v>0</v>
      </c>
      <c r="I17" s="23">
        <f t="shared" si="2"/>
        <v>0</v>
      </c>
      <c r="J17" s="23"/>
      <c r="K17" s="108">
        <f t="shared" si="4"/>
        <v>0.12686442961167463</v>
      </c>
    </row>
    <row r="18" spans="1:11" s="1" customFormat="1" x14ac:dyDescent="0.2">
      <c r="A18" s="61" t="s">
        <v>37</v>
      </c>
      <c r="B18" s="29"/>
      <c r="C18" s="30"/>
      <c r="D18" s="30">
        <f>SUM(D15:D17)</f>
        <v>111.38999999999999</v>
      </c>
      <c r="E18" s="77"/>
      <c r="F18" s="30"/>
      <c r="G18" s="30">
        <f>SUM(G15:G17)</f>
        <v>111.38999999999999</v>
      </c>
      <c r="H18" s="31">
        <f t="shared" si="1"/>
        <v>0</v>
      </c>
      <c r="I18" s="32">
        <f t="shared" si="2"/>
        <v>0</v>
      </c>
      <c r="J18" s="33">
        <f t="shared" ref="J18:J23" si="5">G18/$G$46</f>
        <v>0.44154210180880621</v>
      </c>
      <c r="K18" s="62">
        <f t="shared" si="4"/>
        <v>0.4361552103223591</v>
      </c>
    </row>
    <row r="19" spans="1:11" x14ac:dyDescent="0.2">
      <c r="A19" s="107" t="s">
        <v>38</v>
      </c>
      <c r="B19" s="73">
        <v>1</v>
      </c>
      <c r="C19" s="122">
        <f>VLOOKUP($B$3,'Data for Bill Impacts'!$A$3:$Y$15,7,0)</f>
        <v>30.26</v>
      </c>
      <c r="D19" s="22">
        <f>B19*C19</f>
        <v>30.26</v>
      </c>
      <c r="E19" s="73">
        <f t="shared" ref="E19:E41" si="6">B19</f>
        <v>1</v>
      </c>
      <c r="F19" s="78">
        <f>VLOOKUP($B$3,'Data for Bill Impacts'!$A$3:$Y$15,17,0)</f>
        <v>30.91</v>
      </c>
      <c r="G19" s="22">
        <f>E19*F19</f>
        <v>30.91</v>
      </c>
      <c r="H19" s="22">
        <f t="shared" si="1"/>
        <v>0.64999999999999858</v>
      </c>
      <c r="I19" s="23">
        <f t="shared" si="2"/>
        <v>2.1480502313284817E-2</v>
      </c>
      <c r="J19" s="23">
        <f t="shared" si="5"/>
        <v>0.12252505940309005</v>
      </c>
      <c r="K19" s="108">
        <f t="shared" si="4"/>
        <v>0.12103023207706366</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110</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1000</v>
      </c>
      <c r="C23" s="78">
        <f>VLOOKUP($B$3,'Data for Bill Impacts'!$A$3:$Y$15,10,0)</f>
        <v>6.1400000000000003E-2</v>
      </c>
      <c r="D23" s="22">
        <f>B23*C23</f>
        <v>61.400000000000006</v>
      </c>
      <c r="E23" s="73">
        <f t="shared" si="6"/>
        <v>1000</v>
      </c>
      <c r="F23" s="78">
        <f>VLOOKUP($B$3,'Data for Bill Impacts'!$A$3:$Y$15,19,0)</f>
        <v>6.3399999999999998E-2</v>
      </c>
      <c r="G23" s="22">
        <f>E23*F23</f>
        <v>63.4</v>
      </c>
      <c r="H23" s="22">
        <f t="shared" si="1"/>
        <v>1.9999999999999929</v>
      </c>
      <c r="I23" s="23">
        <f t="shared" si="2"/>
        <v>3.2573289902280013E-2</v>
      </c>
      <c r="J23" s="23">
        <f t="shared" si="5"/>
        <v>0.25131312734247524</v>
      </c>
      <c r="K23" s="108">
        <f t="shared" si="4"/>
        <v>0.24824706288210405</v>
      </c>
    </row>
    <row r="24" spans="1:11" x14ac:dyDescent="0.2">
      <c r="A24" s="107" t="s">
        <v>121</v>
      </c>
      <c r="B24" s="73">
        <f>IF($B$9="kWh",$B$4,$B$5)</f>
        <v>1000</v>
      </c>
      <c r="C24" s="126">
        <f>VLOOKUP($B$3,'Data for Bill Impacts'!$A$3:$Y$15,14,0)</f>
        <v>2.0000000000000001E-4</v>
      </c>
      <c r="D24" s="22">
        <f>B24*C24</f>
        <v>0.2</v>
      </c>
      <c r="E24" s="73">
        <f t="shared" si="6"/>
        <v>1000</v>
      </c>
      <c r="F24" s="126">
        <f>VLOOKUP($B$3,'Data for Bill Impacts'!$A$3:$Y$15,23,0)</f>
        <v>2.0000000000000001E-4</v>
      </c>
      <c r="G24" s="22">
        <f>E24*F24</f>
        <v>0.2</v>
      </c>
      <c r="H24" s="22">
        <f t="shared" si="1"/>
        <v>0</v>
      </c>
      <c r="I24" s="23">
        <f>IF(ISERROR(H24/D24),0,(H24/D24))</f>
        <v>0</v>
      </c>
      <c r="J24" s="23">
        <f t="shared" ref="J24" si="9">G24/$G$46</f>
        <v>7.9278589067026894E-4</v>
      </c>
      <c r="K24" s="108">
        <f t="shared" si="4"/>
        <v>7.831137630350286E-4</v>
      </c>
    </row>
    <row r="25" spans="1:11" s="1" customFormat="1" x14ac:dyDescent="0.2">
      <c r="A25" s="110" t="s">
        <v>72</v>
      </c>
      <c r="B25" s="74"/>
      <c r="C25" s="35"/>
      <c r="D25" s="35">
        <f>SUM(D19:D24)</f>
        <v>91.860000000000014</v>
      </c>
      <c r="E25" s="73"/>
      <c r="F25" s="35"/>
      <c r="G25" s="35">
        <f>SUM(G19:G24)</f>
        <v>94.51</v>
      </c>
      <c r="H25" s="35">
        <f t="shared" si="1"/>
        <v>2.6499999999999915</v>
      </c>
      <c r="I25" s="36">
        <f t="shared" si="2"/>
        <v>2.884824733289779E-2</v>
      </c>
      <c r="J25" s="36">
        <f>G25/$G$46</f>
        <v>0.37463097263623557</v>
      </c>
      <c r="K25" s="111">
        <f t="shared" si="4"/>
        <v>0.37006040872220275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3.1315042681475621E-3</v>
      </c>
      <c r="K26" s="108">
        <f t="shared" si="4"/>
        <v>3.0932993639883628E-3</v>
      </c>
    </row>
    <row r="27" spans="1:11" s="1" customFormat="1" x14ac:dyDescent="0.2">
      <c r="A27" s="119" t="s">
        <v>75</v>
      </c>
      <c r="B27" s="120">
        <f>B8-B4</f>
        <v>96</v>
      </c>
      <c r="C27" s="121">
        <f>IF(B4&gt;B7,C13,C12)</f>
        <v>0.121</v>
      </c>
      <c r="D27" s="22">
        <f>B27*C27</f>
        <v>11.616</v>
      </c>
      <c r="E27" s="73">
        <f>B27</f>
        <v>96</v>
      </c>
      <c r="F27" s="121">
        <f>C27</f>
        <v>0.121</v>
      </c>
      <c r="G27" s="22">
        <f>E27*F27</f>
        <v>11.616</v>
      </c>
      <c r="H27" s="22">
        <f t="shared" si="1"/>
        <v>0</v>
      </c>
      <c r="I27" s="23">
        <f>IF(ISERROR(H27/D27),0,(H27/D27))</f>
        <v>0</v>
      </c>
      <c r="J27" s="23">
        <f t="shared" ref="J27:J46" si="10">G27/$G$46</f>
        <v>4.6045004530129212E-2</v>
      </c>
      <c r="K27" s="108">
        <f t="shared" ref="K27:K41" si="11">G27/$G$51</f>
        <v>4.5483247357074458E-2</v>
      </c>
    </row>
    <row r="28" spans="1:11" s="1" customFormat="1" x14ac:dyDescent="0.2">
      <c r="A28" s="119" t="s">
        <v>74</v>
      </c>
      <c r="B28" s="120">
        <f>B8-B4</f>
        <v>96</v>
      </c>
      <c r="C28" s="121">
        <f>0.65*C15+0.17*C16+0.18*C17</f>
        <v>0.11139</v>
      </c>
      <c r="D28" s="22">
        <f>B28*C28</f>
        <v>10.693440000000001</v>
      </c>
      <c r="E28" s="73">
        <f>B28</f>
        <v>96</v>
      </c>
      <c r="F28" s="121">
        <f>C28</f>
        <v>0.11139</v>
      </c>
      <c r="G28" s="22">
        <f>E28*F28</f>
        <v>10.693440000000001</v>
      </c>
      <c r="H28" s="22">
        <f t="shared" si="1"/>
        <v>0</v>
      </c>
      <c r="I28" s="23">
        <f>IF(ISERROR(H28/D28),0,(H28/D28))</f>
        <v>0</v>
      </c>
      <c r="J28" s="23">
        <f t="shared" si="10"/>
        <v>4.2388041773645399E-2</v>
      </c>
      <c r="K28" s="108">
        <f t="shared" si="11"/>
        <v>4.1870900190946476E-2</v>
      </c>
    </row>
    <row r="29" spans="1:11" s="1" customFormat="1" x14ac:dyDescent="0.2">
      <c r="A29" s="110" t="s">
        <v>78</v>
      </c>
      <c r="B29" s="74"/>
      <c r="C29" s="35"/>
      <c r="D29" s="35">
        <f>SUM(D25,D26:D27)</f>
        <v>104.26600000000002</v>
      </c>
      <c r="E29" s="73"/>
      <c r="F29" s="35"/>
      <c r="G29" s="35">
        <f>SUM(G25,G26:G27)</f>
        <v>106.91600000000001</v>
      </c>
      <c r="H29" s="35">
        <f t="shared" si="1"/>
        <v>2.6499999999999915</v>
      </c>
      <c r="I29" s="36">
        <f>IF(ISERROR(H29/D29),0,(H29/D29))</f>
        <v>2.5415763527899708E-2</v>
      </c>
      <c r="J29" s="36">
        <f t="shared" si="10"/>
        <v>0.42380748143451236</v>
      </c>
      <c r="K29" s="111">
        <f t="shared" si="11"/>
        <v>0.41863695544326557</v>
      </c>
    </row>
    <row r="30" spans="1:11" s="1" customFormat="1" x14ac:dyDescent="0.2">
      <c r="A30" s="110" t="s">
        <v>77</v>
      </c>
      <c r="B30" s="74"/>
      <c r="C30" s="35"/>
      <c r="D30" s="35">
        <f>SUM(D25,D26,D28)</f>
        <v>103.34344000000002</v>
      </c>
      <c r="E30" s="73"/>
      <c r="F30" s="35"/>
      <c r="G30" s="35">
        <f>SUM(G25,G26,G28)</f>
        <v>105.99344000000001</v>
      </c>
      <c r="H30" s="35">
        <f t="shared" si="1"/>
        <v>2.6499999999999915</v>
      </c>
      <c r="I30" s="36">
        <f>IF(ISERROR(H30/D30),0,(H30/D30))</f>
        <v>2.5642653273395884E-2</v>
      </c>
      <c r="J30" s="36">
        <f t="shared" si="10"/>
        <v>0.42015051867802855</v>
      </c>
      <c r="K30" s="111">
        <f t="shared" si="11"/>
        <v>0.41502460827713761</v>
      </c>
    </row>
    <row r="31" spans="1:11" x14ac:dyDescent="0.2">
      <c r="A31" s="107" t="s">
        <v>40</v>
      </c>
      <c r="B31" s="73">
        <f>B8</f>
        <v>1096</v>
      </c>
      <c r="C31" s="126">
        <f>VLOOKUP($B$3,'Data for Bill Impacts'!$A$3:$Y$15,15,0)</f>
        <v>5.6930000000000001E-3</v>
      </c>
      <c r="D31" s="22">
        <f>B31*C31</f>
        <v>6.239528</v>
      </c>
      <c r="E31" s="73">
        <f t="shared" si="6"/>
        <v>1096</v>
      </c>
      <c r="F31" s="126">
        <f>VLOOKUP($B$3,'Data for Bill Impacts'!$A$3:$Y$15,24,0)</f>
        <v>5.6930000000000001E-3</v>
      </c>
      <c r="G31" s="22">
        <f>E31*F31</f>
        <v>6.239528</v>
      </c>
      <c r="H31" s="22">
        <f t="shared" si="1"/>
        <v>0</v>
      </c>
      <c r="I31" s="23">
        <f t="shared" si="2"/>
        <v>0</v>
      </c>
      <c r="J31" s="23">
        <f t="shared" si="10"/>
        <v>2.4733048814210404E-2</v>
      </c>
      <c r="K31" s="108">
        <f t="shared" si="11"/>
        <v>2.4431301258212128E-2</v>
      </c>
    </row>
    <row r="32" spans="1:11" x14ac:dyDescent="0.2">
      <c r="A32" s="107" t="s">
        <v>41</v>
      </c>
      <c r="B32" s="73">
        <f>B8</f>
        <v>1096</v>
      </c>
      <c r="C32" s="126">
        <f>VLOOKUP($B$3,'Data for Bill Impacts'!$A$3:$Y$15,16,0)</f>
        <v>4.4740000000000005E-3</v>
      </c>
      <c r="D32" s="22">
        <f>B32*C32</f>
        <v>4.9035040000000008</v>
      </c>
      <c r="E32" s="73">
        <f t="shared" si="6"/>
        <v>1096</v>
      </c>
      <c r="F32" s="126">
        <f>VLOOKUP($B$3,'Data for Bill Impacts'!$A$3:$Y$15,25,0)</f>
        <v>4.4740000000000005E-3</v>
      </c>
      <c r="G32" s="22">
        <f>E32*F32</f>
        <v>4.9035040000000008</v>
      </c>
      <c r="H32" s="22">
        <f t="shared" si="1"/>
        <v>0</v>
      </c>
      <c r="I32" s="23">
        <f t="shared" si="2"/>
        <v>0</v>
      </c>
      <c r="J32" s="23">
        <f t="shared" si="10"/>
        <v>1.9437143930226133E-2</v>
      </c>
      <c r="K32" s="108">
        <f t="shared" si="11"/>
        <v>1.9200007347486576E-2</v>
      </c>
    </row>
    <row r="33" spans="1:11" s="1" customFormat="1" x14ac:dyDescent="0.2">
      <c r="A33" s="110" t="s">
        <v>76</v>
      </c>
      <c r="B33" s="74"/>
      <c r="C33" s="35"/>
      <c r="D33" s="35">
        <f>SUM(D31:D32)</f>
        <v>11.143032000000002</v>
      </c>
      <c r="E33" s="73"/>
      <c r="F33" s="35"/>
      <c r="G33" s="35">
        <f>SUM(G31:G32)</f>
        <v>11.143032000000002</v>
      </c>
      <c r="H33" s="35">
        <f t="shared" si="1"/>
        <v>0</v>
      </c>
      <c r="I33" s="36">
        <f t="shared" si="2"/>
        <v>0</v>
      </c>
      <c r="J33" s="36">
        <f t="shared" si="10"/>
        <v>4.4170192744436544E-2</v>
      </c>
      <c r="K33" s="111">
        <f t="shared" si="11"/>
        <v>4.3631308605698707E-2</v>
      </c>
    </row>
    <row r="34" spans="1:11" s="1" customFormat="1" x14ac:dyDescent="0.2">
      <c r="A34" s="110" t="s">
        <v>91</v>
      </c>
      <c r="B34" s="74"/>
      <c r="C34" s="35"/>
      <c r="D34" s="35">
        <f>D29+D33</f>
        <v>115.40903200000002</v>
      </c>
      <c r="E34" s="73"/>
      <c r="F34" s="35"/>
      <c r="G34" s="35">
        <f>G29+G33</f>
        <v>118.05903200000002</v>
      </c>
      <c r="H34" s="35">
        <f t="shared" si="1"/>
        <v>2.6499999999999915</v>
      </c>
      <c r="I34" s="36">
        <f t="shared" si="2"/>
        <v>2.2961807703230634E-2</v>
      </c>
      <c r="J34" s="36">
        <f t="shared" si="10"/>
        <v>0.46797767417894892</v>
      </c>
      <c r="K34" s="111">
        <f t="shared" si="11"/>
        <v>0.46226826404896432</v>
      </c>
    </row>
    <row r="35" spans="1:11" s="1" customFormat="1" x14ac:dyDescent="0.2">
      <c r="A35" s="110" t="s">
        <v>92</v>
      </c>
      <c r="B35" s="74"/>
      <c r="C35" s="35"/>
      <c r="D35" s="35">
        <f>D30+D33</f>
        <v>114.48647200000002</v>
      </c>
      <c r="E35" s="73"/>
      <c r="F35" s="35"/>
      <c r="G35" s="35">
        <f>G30+G33</f>
        <v>117.13647200000001</v>
      </c>
      <c r="H35" s="35">
        <f t="shared" si="1"/>
        <v>2.6499999999999915</v>
      </c>
      <c r="I35" s="36">
        <f t="shared" si="2"/>
        <v>2.3146839567210972E-2</v>
      </c>
      <c r="J35" s="36">
        <f t="shared" si="10"/>
        <v>0.46432071142246512</v>
      </c>
      <c r="K35" s="111">
        <f t="shared" si="11"/>
        <v>0.4586559168828363</v>
      </c>
    </row>
    <row r="36" spans="1:11" x14ac:dyDescent="0.2">
      <c r="A36" s="107" t="s">
        <v>42</v>
      </c>
      <c r="B36" s="73">
        <f>B8</f>
        <v>1096</v>
      </c>
      <c r="C36" s="34">
        <v>3.5999999999999999E-3</v>
      </c>
      <c r="D36" s="22">
        <f>B36*C36</f>
        <v>3.9455999999999998</v>
      </c>
      <c r="E36" s="73">
        <f t="shared" si="6"/>
        <v>1096</v>
      </c>
      <c r="F36" s="34">
        <v>3.5999999999999999E-3</v>
      </c>
      <c r="G36" s="22">
        <f>E36*F36</f>
        <v>3.9455999999999998</v>
      </c>
      <c r="H36" s="22">
        <f t="shared" si="1"/>
        <v>0</v>
      </c>
      <c r="I36" s="23">
        <f t="shared" si="2"/>
        <v>0</v>
      </c>
      <c r="J36" s="23">
        <f t="shared" si="10"/>
        <v>1.5640080051143063E-2</v>
      </c>
      <c r="K36" s="108">
        <f t="shared" si="11"/>
        <v>1.5449268317155042E-2</v>
      </c>
    </row>
    <row r="37" spans="1:11" x14ac:dyDescent="0.2">
      <c r="A37" s="107" t="s">
        <v>43</v>
      </c>
      <c r="B37" s="73">
        <f>B8</f>
        <v>1096</v>
      </c>
      <c r="C37" s="34">
        <v>2.0999999999999999E-3</v>
      </c>
      <c r="D37" s="22">
        <f>B37*C37</f>
        <v>2.3015999999999996</v>
      </c>
      <c r="E37" s="73">
        <f t="shared" si="6"/>
        <v>1096</v>
      </c>
      <c r="F37" s="34">
        <v>2.0999999999999999E-3</v>
      </c>
      <c r="G37" s="22">
        <f>E37*F37</f>
        <v>2.3015999999999996</v>
      </c>
      <c r="H37" s="22">
        <f>G37-D37</f>
        <v>0</v>
      </c>
      <c r="I37" s="23">
        <f t="shared" si="2"/>
        <v>0</v>
      </c>
      <c r="J37" s="23">
        <f t="shared" si="10"/>
        <v>9.1233800298334521E-3</v>
      </c>
      <c r="K37" s="108">
        <f t="shared" si="11"/>
        <v>9.0120731850071075E-3</v>
      </c>
    </row>
    <row r="38" spans="1:11" x14ac:dyDescent="0.2">
      <c r="A38" s="107" t="s">
        <v>96</v>
      </c>
      <c r="B38" s="73">
        <f>B8</f>
        <v>1096</v>
      </c>
      <c r="C38" s="34">
        <v>1.1000000000000001E-3</v>
      </c>
      <c r="D38" s="22">
        <f>B38*C38</f>
        <v>1.2056</v>
      </c>
      <c r="E38" s="73">
        <f t="shared" si="6"/>
        <v>1096</v>
      </c>
      <c r="F38" s="34">
        <v>1.1000000000000001E-3</v>
      </c>
      <c r="G38" s="22">
        <f>E38*F38</f>
        <v>1.2056</v>
      </c>
      <c r="H38" s="22">
        <f>G38-D38</f>
        <v>0</v>
      </c>
      <c r="I38" s="23">
        <f t="shared" ref="I38" si="12">IF(ISERROR(H38/D38),0,(H38/D38))</f>
        <v>0</v>
      </c>
      <c r="J38" s="23">
        <f t="shared" ref="J38" si="13">G38/$G$46</f>
        <v>4.7789133489603806E-3</v>
      </c>
      <c r="K38" s="108">
        <f t="shared" ref="K38" si="14">G38/$G$51</f>
        <v>4.7206097635751516E-3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9.9098236333783601E-4</v>
      </c>
      <c r="K39" s="108">
        <f t="shared" si="11"/>
        <v>9.7889220379378575E-4</v>
      </c>
    </row>
    <row r="40" spans="1:11" s="1" customFormat="1" x14ac:dyDescent="0.2">
      <c r="A40" s="110" t="s">
        <v>45</v>
      </c>
      <c r="B40" s="74"/>
      <c r="C40" s="35"/>
      <c r="D40" s="35">
        <f>SUM(D36:D39)</f>
        <v>7.7027999999999999</v>
      </c>
      <c r="E40" s="73"/>
      <c r="F40" s="35"/>
      <c r="G40" s="35">
        <f>SUM(G36:G39)</f>
        <v>7.7027999999999999</v>
      </c>
      <c r="H40" s="35">
        <f t="shared" si="1"/>
        <v>0</v>
      </c>
      <c r="I40" s="36">
        <f t="shared" si="2"/>
        <v>0</v>
      </c>
      <c r="J40" s="36">
        <f t="shared" si="10"/>
        <v>3.0533355793274736E-2</v>
      </c>
      <c r="K40" s="111">
        <f t="shared" si="11"/>
        <v>3.0160843469531087E-2</v>
      </c>
    </row>
    <row r="41" spans="1:11" s="1" customFormat="1" ht="13.5" thickBot="1" x14ac:dyDescent="0.25">
      <c r="A41" s="112" t="s">
        <v>46</v>
      </c>
      <c r="B41" s="113">
        <f>B4</f>
        <v>1000</v>
      </c>
      <c r="C41" s="114">
        <v>7.0000000000000001E-3</v>
      </c>
      <c r="D41" s="115">
        <f>B41*C41</f>
        <v>7</v>
      </c>
      <c r="E41" s="116">
        <f t="shared" si="6"/>
        <v>1000</v>
      </c>
      <c r="F41" s="114">
        <f>C41</f>
        <v>7.0000000000000001E-3</v>
      </c>
      <c r="G41" s="115">
        <f>E41*F41</f>
        <v>7</v>
      </c>
      <c r="H41" s="115">
        <f t="shared" si="1"/>
        <v>0</v>
      </c>
      <c r="I41" s="117">
        <f t="shared" si="2"/>
        <v>0</v>
      </c>
      <c r="J41" s="117">
        <f t="shared" si="10"/>
        <v>2.7747506173459408E-2</v>
      </c>
      <c r="K41" s="118">
        <f t="shared" si="11"/>
        <v>2.7408981706225997E-2</v>
      </c>
    </row>
    <row r="42" spans="1:11" s="1" customFormat="1" x14ac:dyDescent="0.2">
      <c r="A42" s="37" t="s">
        <v>101</v>
      </c>
      <c r="B42" s="38"/>
      <c r="C42" s="39"/>
      <c r="D42" s="39">
        <f>SUM(D14,D25,D26,D27,D33,D40,D41)</f>
        <v>237.61183200000002</v>
      </c>
      <c r="E42" s="38"/>
      <c r="F42" s="39"/>
      <c r="G42" s="39">
        <f>SUM(G14,G25,G26,G27,G33,G40,G41)</f>
        <v>240.261832</v>
      </c>
      <c r="H42" s="39">
        <f t="shared" si="1"/>
        <v>2.6499999999999773</v>
      </c>
      <c r="I42" s="40">
        <f>IF(ISERROR(H42/D42),0,(H42/D42))</f>
        <v>1.1152643274094098E-2</v>
      </c>
      <c r="J42" s="40">
        <f t="shared" si="10"/>
        <v>0.95238095238095255</v>
      </c>
      <c r="K42" s="41"/>
    </row>
    <row r="43" spans="1:11" x14ac:dyDescent="0.2">
      <c r="A43" s="154" t="s">
        <v>102</v>
      </c>
      <c r="B43" s="43"/>
      <c r="C43" s="26">
        <v>0.13</v>
      </c>
      <c r="D43" s="26">
        <f>D42*C43</f>
        <v>30.889538160000004</v>
      </c>
      <c r="E43" s="26"/>
      <c r="F43" s="26">
        <f>C43</f>
        <v>0.13</v>
      </c>
      <c r="G43" s="26">
        <f>G42*F43</f>
        <v>31.234038160000001</v>
      </c>
      <c r="H43" s="26">
        <f t="shared" si="1"/>
        <v>0.34449999999999648</v>
      </c>
      <c r="I43" s="44">
        <f t="shared" si="2"/>
        <v>1.1152643274094079E-2</v>
      </c>
      <c r="J43" s="44">
        <f t="shared" si="10"/>
        <v>0.12380952380952383</v>
      </c>
      <c r="K43" s="45"/>
    </row>
    <row r="44" spans="1:11" s="1" customFormat="1" x14ac:dyDescent="0.2">
      <c r="A44" s="46" t="s">
        <v>103</v>
      </c>
      <c r="B44" s="24"/>
      <c r="C44" s="25"/>
      <c r="D44" s="25">
        <f>SUM(D42:D43)</f>
        <v>268.50137016000002</v>
      </c>
      <c r="E44" s="25"/>
      <c r="F44" s="25"/>
      <c r="G44" s="25">
        <f>SUM(G42:G43)</f>
        <v>271.49587015999998</v>
      </c>
      <c r="H44" s="25">
        <f t="shared" si="1"/>
        <v>2.9944999999999595</v>
      </c>
      <c r="I44" s="27">
        <f t="shared" si="2"/>
        <v>1.1152643274094045E-2</v>
      </c>
      <c r="J44" s="27">
        <f t="shared" si="10"/>
        <v>1.0761904761904764</v>
      </c>
      <c r="K44" s="47"/>
    </row>
    <row r="45" spans="1:11" x14ac:dyDescent="0.2">
      <c r="A45" s="42" t="s">
        <v>104</v>
      </c>
      <c r="B45" s="43"/>
      <c r="C45" s="26">
        <v>-0.08</v>
      </c>
      <c r="D45" s="26">
        <f>D42*C45</f>
        <v>-19.008946560000002</v>
      </c>
      <c r="E45" s="26"/>
      <c r="F45" s="26">
        <f>C45</f>
        <v>-0.08</v>
      </c>
      <c r="G45" s="26">
        <f>G42*F45</f>
        <v>-19.220946560000002</v>
      </c>
      <c r="H45" s="26">
        <f t="shared" si="1"/>
        <v>-0.21199999999999974</v>
      </c>
      <c r="I45" s="44">
        <f t="shared" si="2"/>
        <v>1.1152643274094182E-2</v>
      </c>
      <c r="J45" s="44">
        <f t="shared" si="10"/>
        <v>-7.6190476190476211E-2</v>
      </c>
      <c r="K45" s="45"/>
    </row>
    <row r="46" spans="1:11" s="1" customFormat="1" ht="13.5" thickBot="1" x14ac:dyDescent="0.25">
      <c r="A46" s="48" t="s">
        <v>105</v>
      </c>
      <c r="B46" s="49"/>
      <c r="C46" s="50"/>
      <c r="D46" s="50">
        <f>SUM(D44:D45)</f>
        <v>249.49242360000002</v>
      </c>
      <c r="E46" s="50"/>
      <c r="F46" s="50"/>
      <c r="G46" s="50">
        <f>SUM(G44:G45)</f>
        <v>252.27492359999997</v>
      </c>
      <c r="H46" s="50">
        <f t="shared" si="1"/>
        <v>2.782499999999942</v>
      </c>
      <c r="I46" s="51">
        <f t="shared" si="2"/>
        <v>1.1152643274093963E-2</v>
      </c>
      <c r="J46" s="51">
        <f t="shared" si="10"/>
        <v>1</v>
      </c>
      <c r="K46" s="52"/>
    </row>
    <row r="47" spans="1:11" x14ac:dyDescent="0.2">
      <c r="A47" s="53" t="s">
        <v>106</v>
      </c>
      <c r="B47" s="54"/>
      <c r="C47" s="55"/>
      <c r="D47" s="55">
        <f>SUM(D18,D25,D26,D28,D33,D40,D41)</f>
        <v>240.579272</v>
      </c>
      <c r="E47" s="55"/>
      <c r="F47" s="55"/>
      <c r="G47" s="55">
        <f>SUM(G18,G25,G26,G28,G33,G40,G41)</f>
        <v>243.22927199999998</v>
      </c>
      <c r="H47" s="55">
        <f>G47-D47</f>
        <v>2.6499999999999773</v>
      </c>
      <c r="I47" s="56">
        <f>IF(ISERROR(H47/D47),0,(H47/D47))</f>
        <v>1.1015080301681092E-2</v>
      </c>
      <c r="J47" s="56"/>
      <c r="K47" s="57">
        <f>G47/$G$51</f>
        <v>0.95238095238095244</v>
      </c>
    </row>
    <row r="48" spans="1:11" x14ac:dyDescent="0.2">
      <c r="A48" s="155" t="s">
        <v>102</v>
      </c>
      <c r="B48" s="59"/>
      <c r="C48" s="31">
        <v>0.13</v>
      </c>
      <c r="D48" s="31">
        <f>D47*C48</f>
        <v>31.275305360000001</v>
      </c>
      <c r="E48" s="31"/>
      <c r="F48" s="31">
        <f>C48</f>
        <v>0.13</v>
      </c>
      <c r="G48" s="31">
        <f>G47*F48</f>
        <v>31.619805359999997</v>
      </c>
      <c r="H48" s="31">
        <f>G48-D48</f>
        <v>0.34449999999999648</v>
      </c>
      <c r="I48" s="32">
        <f>IF(ISERROR(H48/D48),0,(H48/D48))</f>
        <v>1.1015080301681072E-2</v>
      </c>
      <c r="J48" s="32"/>
      <c r="K48" s="60">
        <f>G48/$G$51</f>
        <v>0.12380952380952381</v>
      </c>
    </row>
    <row r="49" spans="1:11" x14ac:dyDescent="0.2">
      <c r="A49" s="150" t="s">
        <v>107</v>
      </c>
      <c r="B49" s="29"/>
      <c r="C49" s="30"/>
      <c r="D49" s="30">
        <f>SUM(D47:D48)</f>
        <v>271.85457736000001</v>
      </c>
      <c r="E49" s="30"/>
      <c r="F49" s="30"/>
      <c r="G49" s="30">
        <f>SUM(G47:G48)</f>
        <v>274.84907735999997</v>
      </c>
      <c r="H49" s="30">
        <f>G49-D49</f>
        <v>2.9944999999999595</v>
      </c>
      <c r="I49" s="33">
        <f>IF(ISERROR(H49/D49),0,(H49/D49))</f>
        <v>1.1015080301681036E-2</v>
      </c>
      <c r="J49" s="33"/>
      <c r="K49" s="62">
        <f>G49/$G$51</f>
        <v>1.0761904761904761</v>
      </c>
    </row>
    <row r="50" spans="1:11" x14ac:dyDescent="0.2">
      <c r="A50" s="58" t="s">
        <v>104</v>
      </c>
      <c r="B50" s="59"/>
      <c r="C50" s="31">
        <v>-0.08</v>
      </c>
      <c r="D50" s="31">
        <f>D47*C50</f>
        <v>-19.24634176</v>
      </c>
      <c r="E50" s="31"/>
      <c r="F50" s="31">
        <f>C50</f>
        <v>-0.08</v>
      </c>
      <c r="G50" s="31">
        <f>G47*F50</f>
        <v>-19.45834176</v>
      </c>
      <c r="H50" s="31">
        <f>G50-D50</f>
        <v>-0.21199999999999974</v>
      </c>
      <c r="I50" s="32">
        <f>IF(ISERROR(H50/D50),0,(H50/D50))</f>
        <v>1.1015080301681173E-2</v>
      </c>
      <c r="J50" s="32"/>
      <c r="K50" s="60">
        <f>G50/$G$51</f>
        <v>-7.6190476190476197E-2</v>
      </c>
    </row>
    <row r="51" spans="1:11" ht="13.5" thickBot="1" x14ac:dyDescent="0.25">
      <c r="A51" s="63" t="s">
        <v>116</v>
      </c>
      <c r="B51" s="64"/>
      <c r="C51" s="65"/>
      <c r="D51" s="65">
        <f>SUM(D49:D50)</f>
        <v>252.6082356</v>
      </c>
      <c r="E51" s="65"/>
      <c r="F51" s="65"/>
      <c r="G51" s="65">
        <f>SUM(G49:G50)</f>
        <v>255.39073559999997</v>
      </c>
      <c r="H51" s="65">
        <f>G51-D51</f>
        <v>2.7824999999999704</v>
      </c>
      <c r="I51" s="66">
        <f>IF(ISERROR(H51/D51),0,(H51/D51))</f>
        <v>1.1015080301681069E-2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9"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1" tint="0.499984740745262"/>
    <pageSetUpPr fitToPage="1"/>
  </sheetPr>
  <dimension ref="A1:K68"/>
  <sheetViews>
    <sheetView tabSelected="1" view="pageBreakPreview"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118</v>
      </c>
      <c r="B1" s="188"/>
      <c r="C1" s="188"/>
      <c r="D1" s="188"/>
      <c r="E1" s="188"/>
      <c r="F1" s="188"/>
      <c r="G1" s="188"/>
      <c r="H1" s="188"/>
      <c r="I1" s="188"/>
      <c r="J1" s="188"/>
      <c r="K1" s="189"/>
    </row>
    <row r="3" spans="1:11" x14ac:dyDescent="0.2">
      <c r="A3" s="13" t="s">
        <v>13</v>
      </c>
      <c r="B3" s="13" t="s">
        <v>4</v>
      </c>
    </row>
    <row r="4" spans="1:11" x14ac:dyDescent="0.2">
      <c r="A4" s="15" t="s">
        <v>62</v>
      </c>
      <c r="B4" s="15">
        <v>2000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2192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0.1592201293935431</v>
      </c>
      <c r="K12" s="106"/>
    </row>
    <row r="13" spans="1:11" x14ac:dyDescent="0.2">
      <c r="A13" s="107" t="s">
        <v>32</v>
      </c>
      <c r="B13" s="73">
        <f>IF(B4&gt;B7,(B4)-B7,0)</f>
        <v>1250</v>
      </c>
      <c r="C13" s="21">
        <v>0.121</v>
      </c>
      <c r="D13" s="22">
        <f>B13*C13</f>
        <v>151.25</v>
      </c>
      <c r="E13" s="73">
        <f t="shared" ref="E13" si="0">B13</f>
        <v>1250</v>
      </c>
      <c r="F13" s="21">
        <f>C13</f>
        <v>0.121</v>
      </c>
      <c r="G13" s="22">
        <f>E13*F13</f>
        <v>151.25</v>
      </c>
      <c r="H13" s="22">
        <f t="shared" ref="H13:H46" si="1">G13-D13</f>
        <v>0</v>
      </c>
      <c r="I13" s="23">
        <f t="shared" ref="I13:I46" si="2">IF(ISERROR(H13/D13),0,(H13/D13))</f>
        <v>0</v>
      </c>
      <c r="J13" s="23">
        <f>G13/$G$46</f>
        <v>0.31174167729156499</v>
      </c>
      <c r="K13" s="108"/>
    </row>
    <row r="14" spans="1:11" s="1" customFormat="1" x14ac:dyDescent="0.2">
      <c r="A14" s="46" t="s">
        <v>33</v>
      </c>
      <c r="B14" s="24"/>
      <c r="C14" s="25"/>
      <c r="D14" s="25">
        <f>SUM(D12:D13)</f>
        <v>228.5</v>
      </c>
      <c r="E14" s="76"/>
      <c r="F14" s="25"/>
      <c r="G14" s="25">
        <f>SUM(G12:G13)</f>
        <v>228.5</v>
      </c>
      <c r="H14" s="25">
        <f t="shared" si="1"/>
        <v>0</v>
      </c>
      <c r="I14" s="27">
        <f t="shared" si="2"/>
        <v>0</v>
      </c>
      <c r="J14" s="27">
        <f>G14/$G$46</f>
        <v>0.47096180668510806</v>
      </c>
      <c r="K14" s="108"/>
    </row>
    <row r="15" spans="1:11" s="1" customFormat="1" x14ac:dyDescent="0.2">
      <c r="A15" s="109" t="s">
        <v>34</v>
      </c>
      <c r="B15" s="75">
        <f>B4*0.65</f>
        <v>1300</v>
      </c>
      <c r="C15" s="28">
        <v>8.6999999999999994E-2</v>
      </c>
      <c r="D15" s="22">
        <f>B15*C15</f>
        <v>113.1</v>
      </c>
      <c r="E15" s="73">
        <f t="shared" ref="E15:F17" si="3">B15</f>
        <v>1300</v>
      </c>
      <c r="F15" s="28">
        <f t="shared" si="3"/>
        <v>8.6999999999999994E-2</v>
      </c>
      <c r="G15" s="22">
        <f>E15*F15</f>
        <v>113.1</v>
      </c>
      <c r="H15" s="22">
        <f t="shared" si="1"/>
        <v>0</v>
      </c>
      <c r="I15" s="23">
        <f t="shared" si="2"/>
        <v>0</v>
      </c>
      <c r="J15" s="23"/>
      <c r="K15" s="108">
        <f t="shared" ref="K15:K26" si="4">G15/$G$51</f>
        <v>0.23699067297244408</v>
      </c>
    </row>
    <row r="16" spans="1:11" s="1" customFormat="1" x14ac:dyDescent="0.2">
      <c r="A16" s="109" t="s">
        <v>35</v>
      </c>
      <c r="B16" s="75">
        <f>B4*0.17</f>
        <v>340</v>
      </c>
      <c r="C16" s="28">
        <v>0.13200000000000001</v>
      </c>
      <c r="D16" s="22">
        <f>B16*C16</f>
        <v>44.88</v>
      </c>
      <c r="E16" s="73">
        <f t="shared" si="3"/>
        <v>340</v>
      </c>
      <c r="F16" s="28">
        <f t="shared" si="3"/>
        <v>0.13200000000000001</v>
      </c>
      <c r="G16" s="22">
        <f>E16*F16</f>
        <v>44.88</v>
      </c>
      <c r="H16" s="22">
        <f t="shared" si="1"/>
        <v>0</v>
      </c>
      <c r="I16" s="23">
        <f t="shared" si="2"/>
        <v>0</v>
      </c>
      <c r="J16" s="23"/>
      <c r="K16" s="108">
        <f t="shared" si="4"/>
        <v>9.4041922219304075E-2</v>
      </c>
    </row>
    <row r="17" spans="1:11" s="1" customFormat="1" x14ac:dyDescent="0.2">
      <c r="A17" s="109" t="s">
        <v>36</v>
      </c>
      <c r="B17" s="75">
        <f>B4*0.18</f>
        <v>360</v>
      </c>
      <c r="C17" s="28">
        <v>0.18</v>
      </c>
      <c r="D17" s="22">
        <f>B17*C17</f>
        <v>64.8</v>
      </c>
      <c r="E17" s="73">
        <f t="shared" si="3"/>
        <v>360</v>
      </c>
      <c r="F17" s="28">
        <f t="shared" si="3"/>
        <v>0.18</v>
      </c>
      <c r="G17" s="22">
        <f>E17*F17</f>
        <v>64.8</v>
      </c>
      <c r="H17" s="22">
        <f t="shared" si="1"/>
        <v>0</v>
      </c>
      <c r="I17" s="23">
        <f t="shared" si="2"/>
        <v>0</v>
      </c>
      <c r="J17" s="23"/>
      <c r="K17" s="108">
        <f t="shared" si="4"/>
        <v>0.13578245454124116</v>
      </c>
    </row>
    <row r="18" spans="1:11" s="1" customFormat="1" x14ac:dyDescent="0.2">
      <c r="A18" s="61" t="s">
        <v>37</v>
      </c>
      <c r="B18" s="29"/>
      <c r="C18" s="30"/>
      <c r="D18" s="30">
        <f>SUM(D15:D17)</f>
        <v>222.77999999999997</v>
      </c>
      <c r="E18" s="77"/>
      <c r="F18" s="30"/>
      <c r="G18" s="30">
        <f>SUM(G15:G17)</f>
        <v>222.77999999999997</v>
      </c>
      <c r="H18" s="31">
        <f t="shared" si="1"/>
        <v>0</v>
      </c>
      <c r="I18" s="32">
        <f t="shared" si="2"/>
        <v>0</v>
      </c>
      <c r="J18" s="33">
        <f t="shared" ref="J18:J23" si="5">G18/$G$46</f>
        <v>0.45917230325299063</v>
      </c>
      <c r="K18" s="62">
        <f t="shared" si="4"/>
        <v>0.46681504973298932</v>
      </c>
    </row>
    <row r="19" spans="1:11" x14ac:dyDescent="0.2">
      <c r="A19" s="107" t="s">
        <v>38</v>
      </c>
      <c r="B19" s="73">
        <v>1</v>
      </c>
      <c r="C19" s="122">
        <f>VLOOKUP($B$3,'Data for Bill Impacts'!$A$3:$Y$15,7,0)</f>
        <v>30.26</v>
      </c>
      <c r="D19" s="22">
        <f>B19*C19</f>
        <v>30.26</v>
      </c>
      <c r="E19" s="73">
        <f t="shared" ref="E19:E41" si="6">B19</f>
        <v>1</v>
      </c>
      <c r="F19" s="78">
        <f>VLOOKUP($B$3,'Data for Bill Impacts'!$A$3:$Y$15,17,0)</f>
        <v>30.91</v>
      </c>
      <c r="G19" s="22">
        <f>E19*F19</f>
        <v>30.91</v>
      </c>
      <c r="H19" s="22">
        <f t="shared" si="1"/>
        <v>0.64999999999999858</v>
      </c>
      <c r="I19" s="23">
        <f t="shared" si="2"/>
        <v>2.1480502313284817E-2</v>
      </c>
      <c r="J19" s="23">
        <f t="shared" si="5"/>
        <v>6.370866277740346E-2</v>
      </c>
      <c r="K19" s="108">
        <f t="shared" si="4"/>
        <v>6.4769068979471683E-2</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110</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2000</v>
      </c>
      <c r="C23" s="78">
        <f>VLOOKUP($B$3,'Data for Bill Impacts'!$A$3:$Y$15,10,0)</f>
        <v>6.1400000000000003E-2</v>
      </c>
      <c r="D23" s="22">
        <f>B23*C23</f>
        <v>122.80000000000001</v>
      </c>
      <c r="E23" s="73">
        <f t="shared" si="6"/>
        <v>2000</v>
      </c>
      <c r="F23" s="78">
        <f>VLOOKUP($B$3,'Data for Bill Impacts'!$A$3:$Y$15,19,0)</f>
        <v>6.3399999999999998E-2</v>
      </c>
      <c r="G23" s="22">
        <f>E23*F23</f>
        <v>126.8</v>
      </c>
      <c r="H23" s="22">
        <f t="shared" si="1"/>
        <v>3.9999999999999858</v>
      </c>
      <c r="I23" s="23">
        <f t="shared" si="2"/>
        <v>3.2573289902280013E-2</v>
      </c>
      <c r="J23" s="23">
        <f t="shared" si="5"/>
        <v>0.26134773342525908</v>
      </c>
      <c r="K23" s="108">
        <f t="shared" si="4"/>
        <v>0.26569776598502132</v>
      </c>
    </row>
    <row r="24" spans="1:11" x14ac:dyDescent="0.2">
      <c r="A24" s="107" t="s">
        <v>121</v>
      </c>
      <c r="B24" s="73">
        <f>IF($B$9="kWh",$B$4,$B$5)</f>
        <v>2000</v>
      </c>
      <c r="C24" s="126">
        <f>VLOOKUP($B$3,'Data for Bill Impacts'!$A$3:$Y$15,14,0)</f>
        <v>2.0000000000000001E-4</v>
      </c>
      <c r="D24" s="22">
        <f>B24*C24</f>
        <v>0.4</v>
      </c>
      <c r="E24" s="73">
        <f t="shared" si="6"/>
        <v>2000</v>
      </c>
      <c r="F24" s="126">
        <f>VLOOKUP($B$3,'Data for Bill Impacts'!$A$3:$Y$15,23,0)</f>
        <v>2.0000000000000001E-4</v>
      </c>
      <c r="G24" s="22">
        <f>E24*F24</f>
        <v>0.4</v>
      </c>
      <c r="H24" s="22">
        <f t="shared" si="1"/>
        <v>0</v>
      </c>
      <c r="I24" s="23">
        <f>IF(ISERROR(H24/D24),0,(H24/D24))</f>
        <v>0</v>
      </c>
      <c r="J24" s="23">
        <f t="shared" ref="J24" si="9">G24/$G$46</f>
        <v>8.2444079944876691E-4</v>
      </c>
      <c r="K24" s="108">
        <f t="shared" si="4"/>
        <v>8.3816329963729127E-4</v>
      </c>
    </row>
    <row r="25" spans="1:11" s="1" customFormat="1" x14ac:dyDescent="0.2">
      <c r="A25" s="110" t="s">
        <v>72</v>
      </c>
      <c r="B25" s="74"/>
      <c r="C25" s="35"/>
      <c r="D25" s="35">
        <f>SUM(D19:D24)</f>
        <v>153.46</v>
      </c>
      <c r="E25" s="73"/>
      <c r="F25" s="35"/>
      <c r="G25" s="35">
        <f>SUM(G19:G24)</f>
        <v>158.11000000000001</v>
      </c>
      <c r="H25" s="35">
        <f t="shared" si="1"/>
        <v>4.6500000000000057</v>
      </c>
      <c r="I25" s="36">
        <f t="shared" si="2"/>
        <v>3.0301055649680733E-2</v>
      </c>
      <c r="J25" s="36">
        <f>G25/$G$46</f>
        <v>0.32588083700211135</v>
      </c>
      <c r="K25" s="111">
        <f t="shared" si="4"/>
        <v>0.33130499826413035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1.6282705789113145E-3</v>
      </c>
      <c r="K26" s="108">
        <f t="shared" si="4"/>
        <v>1.6553725167836502E-3</v>
      </c>
    </row>
    <row r="27" spans="1:11" s="1" customFormat="1" x14ac:dyDescent="0.2">
      <c r="A27" s="119" t="s">
        <v>75</v>
      </c>
      <c r="B27" s="120">
        <f>B8-B4</f>
        <v>192</v>
      </c>
      <c r="C27" s="121">
        <f>IF(B4&gt;B7,C13,C12)</f>
        <v>0.121</v>
      </c>
      <c r="D27" s="22">
        <f>B27*C27</f>
        <v>23.231999999999999</v>
      </c>
      <c r="E27" s="73">
        <f>B27</f>
        <v>192</v>
      </c>
      <c r="F27" s="121">
        <f>C27</f>
        <v>0.121</v>
      </c>
      <c r="G27" s="22">
        <f>E27*F27</f>
        <v>23.231999999999999</v>
      </c>
      <c r="H27" s="22">
        <f t="shared" si="1"/>
        <v>0</v>
      </c>
      <c r="I27" s="23">
        <f>IF(ISERROR(H27/D27),0,(H27/D27))</f>
        <v>0</v>
      </c>
      <c r="J27" s="23">
        <f t="shared" ref="J27:J46" si="10">G27/$G$46</f>
        <v>4.788352163198438E-2</v>
      </c>
      <c r="K27" s="108">
        <f t="shared" ref="K27:K41" si="11">G27/$G$51</f>
        <v>4.8680524442933873E-2</v>
      </c>
    </row>
    <row r="28" spans="1:11" s="1" customFormat="1" x14ac:dyDescent="0.2">
      <c r="A28" s="119" t="s">
        <v>74</v>
      </c>
      <c r="B28" s="120">
        <f>B8-B4</f>
        <v>192</v>
      </c>
      <c r="C28" s="121">
        <f>0.65*C15+0.17*C16+0.18*C17</f>
        <v>0.11139</v>
      </c>
      <c r="D28" s="22">
        <f>B28*C28</f>
        <v>21.386880000000001</v>
      </c>
      <c r="E28" s="73">
        <f>B28</f>
        <v>192</v>
      </c>
      <c r="F28" s="121">
        <f>C28</f>
        <v>0.11139</v>
      </c>
      <c r="G28" s="22">
        <f>E28*F28</f>
        <v>21.386880000000001</v>
      </c>
      <c r="H28" s="22">
        <f t="shared" si="1"/>
        <v>0</v>
      </c>
      <c r="I28" s="23">
        <f>IF(ISERROR(H28/D28),0,(H28/D28))</f>
        <v>0</v>
      </c>
      <c r="J28" s="23">
        <f t="shared" si="10"/>
        <v>4.4080541112287111E-2</v>
      </c>
      <c r="K28" s="108">
        <f t="shared" si="11"/>
        <v>4.4814244774366983E-2</v>
      </c>
    </row>
    <row r="29" spans="1:11" s="1" customFormat="1" x14ac:dyDescent="0.2">
      <c r="A29" s="110" t="s">
        <v>78</v>
      </c>
      <c r="B29" s="74"/>
      <c r="C29" s="35"/>
      <c r="D29" s="35">
        <f>SUM(D25,D26:D27)</f>
        <v>177.482</v>
      </c>
      <c r="E29" s="73"/>
      <c r="F29" s="35"/>
      <c r="G29" s="35">
        <f>SUM(G25,G26:G27)</f>
        <v>182.13200000000001</v>
      </c>
      <c r="H29" s="35">
        <f t="shared" si="1"/>
        <v>4.6500000000000057</v>
      </c>
      <c r="I29" s="36">
        <f>IF(ISERROR(H29/D29),0,(H29/D29))</f>
        <v>2.6199839983773034E-2</v>
      </c>
      <c r="J29" s="36">
        <f t="shared" si="10"/>
        <v>0.37539262921300703</v>
      </c>
      <c r="K29" s="111">
        <f t="shared" si="11"/>
        <v>0.38164089522384781</v>
      </c>
    </row>
    <row r="30" spans="1:11" s="1" customFormat="1" x14ac:dyDescent="0.2">
      <c r="A30" s="110" t="s">
        <v>77</v>
      </c>
      <c r="B30" s="74"/>
      <c r="C30" s="35"/>
      <c r="D30" s="35">
        <f>SUM(D25,D26,D28)</f>
        <v>175.63687999999999</v>
      </c>
      <c r="E30" s="73"/>
      <c r="F30" s="35"/>
      <c r="G30" s="35">
        <f>SUM(G25,G26,G28)</f>
        <v>180.28688</v>
      </c>
      <c r="H30" s="35">
        <f t="shared" si="1"/>
        <v>4.6500000000000057</v>
      </c>
      <c r="I30" s="36">
        <f>IF(ISERROR(H30/D30),0,(H30/D30))</f>
        <v>2.6475077443871731E-2</v>
      </c>
      <c r="J30" s="36">
        <f t="shared" si="10"/>
        <v>0.37158964869330974</v>
      </c>
      <c r="K30" s="111">
        <f t="shared" si="11"/>
        <v>0.37777461555528091</v>
      </c>
    </row>
    <row r="31" spans="1:11" x14ac:dyDescent="0.2">
      <c r="A31" s="107" t="s">
        <v>40</v>
      </c>
      <c r="B31" s="73">
        <f>B8</f>
        <v>2192</v>
      </c>
      <c r="C31" s="126">
        <f>VLOOKUP($B$3,'Data for Bill Impacts'!$A$3:$Y$15,15,0)</f>
        <v>5.6930000000000001E-3</v>
      </c>
      <c r="D31" s="22">
        <f>B31*C31</f>
        <v>12.479056</v>
      </c>
      <c r="E31" s="73">
        <f t="shared" si="6"/>
        <v>2192</v>
      </c>
      <c r="F31" s="126">
        <f>VLOOKUP($B$3,'Data for Bill Impacts'!$A$3:$Y$15,24,0)</f>
        <v>5.6930000000000001E-3</v>
      </c>
      <c r="G31" s="22">
        <f>E31*F31</f>
        <v>12.479056</v>
      </c>
      <c r="H31" s="22">
        <f t="shared" si="1"/>
        <v>0</v>
      </c>
      <c r="I31" s="23">
        <f t="shared" si="2"/>
        <v>0</v>
      </c>
      <c r="J31" s="23">
        <f t="shared" si="10"/>
        <v>2.5720607262514825E-2</v>
      </c>
      <c r="K31" s="108">
        <f t="shared" si="11"/>
        <v>2.6148716883296341E-2</v>
      </c>
    </row>
    <row r="32" spans="1:11" x14ac:dyDescent="0.2">
      <c r="A32" s="107" t="s">
        <v>41</v>
      </c>
      <c r="B32" s="73">
        <f>B8</f>
        <v>2192</v>
      </c>
      <c r="C32" s="126">
        <f>VLOOKUP($B$3,'Data for Bill Impacts'!$A$3:$Y$15,16,0)</f>
        <v>4.4740000000000005E-3</v>
      </c>
      <c r="D32" s="22">
        <f>B32*C32</f>
        <v>9.8070080000000015</v>
      </c>
      <c r="E32" s="73">
        <f t="shared" si="6"/>
        <v>2192</v>
      </c>
      <c r="F32" s="126">
        <f>VLOOKUP($B$3,'Data for Bill Impacts'!$A$3:$Y$15,25,0)</f>
        <v>4.4740000000000005E-3</v>
      </c>
      <c r="G32" s="22">
        <f>E32*F32</f>
        <v>9.8070080000000015</v>
      </c>
      <c r="H32" s="22">
        <f t="shared" si="1"/>
        <v>0</v>
      </c>
      <c r="I32" s="23">
        <f t="shared" si="2"/>
        <v>0</v>
      </c>
      <c r="J32" s="23">
        <f t="shared" si="10"/>
        <v>2.0213243789301134E-2</v>
      </c>
      <c r="K32" s="108">
        <f t="shared" si="11"/>
        <v>2.0549685462123282E-2</v>
      </c>
    </row>
    <row r="33" spans="1:11" s="1" customFormat="1" x14ac:dyDescent="0.2">
      <c r="A33" s="110" t="s">
        <v>76</v>
      </c>
      <c r="B33" s="74"/>
      <c r="C33" s="35"/>
      <c r="D33" s="35">
        <f>SUM(D31:D32)</f>
        <v>22.286064000000003</v>
      </c>
      <c r="E33" s="73"/>
      <c r="F33" s="35"/>
      <c r="G33" s="35">
        <f>SUM(G31:G32)</f>
        <v>22.286064000000003</v>
      </c>
      <c r="H33" s="35">
        <f t="shared" si="1"/>
        <v>0</v>
      </c>
      <c r="I33" s="36">
        <f t="shared" si="2"/>
        <v>0</v>
      </c>
      <c r="J33" s="36">
        <f t="shared" si="10"/>
        <v>4.5933851051815966E-2</v>
      </c>
      <c r="K33" s="111">
        <f t="shared" si="11"/>
        <v>4.669840234541963E-2</v>
      </c>
    </row>
    <row r="34" spans="1:11" s="1" customFormat="1" x14ac:dyDescent="0.2">
      <c r="A34" s="110" t="s">
        <v>91</v>
      </c>
      <c r="B34" s="74"/>
      <c r="C34" s="35"/>
      <c r="D34" s="35">
        <f>D29+D33</f>
        <v>199.76806400000001</v>
      </c>
      <c r="E34" s="73"/>
      <c r="F34" s="35"/>
      <c r="G34" s="35">
        <f>G29+G33</f>
        <v>204.41806400000002</v>
      </c>
      <c r="H34" s="35">
        <f t="shared" si="1"/>
        <v>4.6500000000000057</v>
      </c>
      <c r="I34" s="36">
        <f t="shared" si="2"/>
        <v>2.3276993864244516E-2</v>
      </c>
      <c r="J34" s="36">
        <f t="shared" si="10"/>
        <v>0.421326480264823</v>
      </c>
      <c r="K34" s="111">
        <f t="shared" si="11"/>
        <v>0.42833929756926747</v>
      </c>
    </row>
    <row r="35" spans="1:11" s="1" customFormat="1" x14ac:dyDescent="0.2">
      <c r="A35" s="110" t="s">
        <v>92</v>
      </c>
      <c r="B35" s="74"/>
      <c r="C35" s="35"/>
      <c r="D35" s="35">
        <f>D30+D33</f>
        <v>197.922944</v>
      </c>
      <c r="E35" s="73"/>
      <c r="F35" s="35"/>
      <c r="G35" s="35">
        <f>G30+G33</f>
        <v>202.57294400000001</v>
      </c>
      <c r="H35" s="35">
        <f t="shared" si="1"/>
        <v>4.6500000000000057</v>
      </c>
      <c r="I35" s="36">
        <f t="shared" si="2"/>
        <v>2.3493991681934591E-2</v>
      </c>
      <c r="J35" s="36">
        <f t="shared" si="10"/>
        <v>0.4175234997451257</v>
      </c>
      <c r="K35" s="111">
        <f t="shared" si="11"/>
        <v>0.42447301790070058</v>
      </c>
    </row>
    <row r="36" spans="1:11" x14ac:dyDescent="0.2">
      <c r="A36" s="107" t="s">
        <v>42</v>
      </c>
      <c r="B36" s="73">
        <f>B8</f>
        <v>2192</v>
      </c>
      <c r="C36" s="34">
        <v>3.5999999999999999E-3</v>
      </c>
      <c r="D36" s="22">
        <f>B36*C36</f>
        <v>7.8911999999999995</v>
      </c>
      <c r="E36" s="73">
        <f t="shared" si="6"/>
        <v>2192</v>
      </c>
      <c r="F36" s="34">
        <v>3.5999999999999999E-3</v>
      </c>
      <c r="G36" s="22">
        <f>E36*F36</f>
        <v>7.8911999999999995</v>
      </c>
      <c r="H36" s="22">
        <f t="shared" si="1"/>
        <v>0</v>
      </c>
      <c r="I36" s="23">
        <f t="shared" si="2"/>
        <v>0</v>
      </c>
      <c r="J36" s="23">
        <f t="shared" si="10"/>
        <v>1.626456809152527E-2</v>
      </c>
      <c r="K36" s="108">
        <f t="shared" si="11"/>
        <v>1.6535285575244481E-2</v>
      </c>
    </row>
    <row r="37" spans="1:11" x14ac:dyDescent="0.2">
      <c r="A37" s="107" t="s">
        <v>43</v>
      </c>
      <c r="B37" s="73">
        <f>B8</f>
        <v>2192</v>
      </c>
      <c r="C37" s="34">
        <v>2.0999999999999999E-3</v>
      </c>
      <c r="D37" s="22">
        <f>B37*C37</f>
        <v>4.6031999999999993</v>
      </c>
      <c r="E37" s="73">
        <f t="shared" si="6"/>
        <v>2192</v>
      </c>
      <c r="F37" s="34">
        <v>2.0999999999999999E-3</v>
      </c>
      <c r="G37" s="22">
        <f>E37*F37</f>
        <v>4.6031999999999993</v>
      </c>
      <c r="H37" s="22">
        <f>G37-D37</f>
        <v>0</v>
      </c>
      <c r="I37" s="23">
        <f t="shared" si="2"/>
        <v>0</v>
      </c>
      <c r="J37" s="23">
        <f t="shared" si="10"/>
        <v>9.4876647200564067E-3</v>
      </c>
      <c r="K37" s="108">
        <f t="shared" si="11"/>
        <v>9.645583252225946E-3</v>
      </c>
    </row>
    <row r="38" spans="1:11" x14ac:dyDescent="0.2">
      <c r="A38" s="107" t="s">
        <v>96</v>
      </c>
      <c r="B38" s="73">
        <f>B8</f>
        <v>2192</v>
      </c>
      <c r="C38" s="34">
        <v>1.1000000000000001E-3</v>
      </c>
      <c r="D38" s="22">
        <f>B38*C38</f>
        <v>2.4112</v>
      </c>
      <c r="E38" s="73">
        <f t="shared" si="6"/>
        <v>2192</v>
      </c>
      <c r="F38" s="34">
        <v>1.1000000000000001E-3</v>
      </c>
      <c r="G38" s="22">
        <f>E38*F38</f>
        <v>2.4112</v>
      </c>
      <c r="H38" s="22">
        <f>G38-D38</f>
        <v>0</v>
      </c>
      <c r="I38" s="23">
        <f t="shared" ref="I38" si="12">IF(ISERROR(H38/D38),0,(H38/D38))</f>
        <v>0</v>
      </c>
      <c r="J38" s="23">
        <f t="shared" ref="J38" si="13">G38/$G$46</f>
        <v>4.9697291390771664E-3</v>
      </c>
      <c r="K38" s="108">
        <f t="shared" ref="K38" si="14">G38/$G$51</f>
        <v>5.0524483702135917E-3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5.1527549965547925E-4</v>
      </c>
      <c r="K39" s="108">
        <f t="shared" si="11"/>
        <v>5.2385206227330706E-4</v>
      </c>
    </row>
    <row r="40" spans="1:11" s="1" customFormat="1" x14ac:dyDescent="0.2">
      <c r="A40" s="110" t="s">
        <v>45</v>
      </c>
      <c r="B40" s="74"/>
      <c r="C40" s="35"/>
      <c r="D40" s="35">
        <f>SUM(D36:D39)</f>
        <v>15.1556</v>
      </c>
      <c r="E40" s="73"/>
      <c r="F40" s="35"/>
      <c r="G40" s="35">
        <f>SUM(G36:G39)</f>
        <v>15.1556</v>
      </c>
      <c r="H40" s="35">
        <f t="shared" si="1"/>
        <v>0</v>
      </c>
      <c r="I40" s="36">
        <f t="shared" si="2"/>
        <v>0</v>
      </c>
      <c r="J40" s="36">
        <f t="shared" si="10"/>
        <v>3.1237237450314325E-2</v>
      </c>
      <c r="K40" s="111">
        <f t="shared" si="11"/>
        <v>3.1757169259957328E-2</v>
      </c>
    </row>
    <row r="41" spans="1:11" s="1" customFormat="1" ht="13.5" thickBot="1" x14ac:dyDescent="0.25">
      <c r="A41" s="112" t="s">
        <v>46</v>
      </c>
      <c r="B41" s="113">
        <f>B4</f>
        <v>2000</v>
      </c>
      <c r="C41" s="114">
        <v>7.0000000000000001E-3</v>
      </c>
      <c r="D41" s="115">
        <f>B41*C41</f>
        <v>14</v>
      </c>
      <c r="E41" s="116">
        <f t="shared" si="6"/>
        <v>2000</v>
      </c>
      <c r="F41" s="114">
        <f>C41</f>
        <v>7.0000000000000001E-3</v>
      </c>
      <c r="G41" s="115">
        <f>E41*F41</f>
        <v>14</v>
      </c>
      <c r="H41" s="115">
        <f t="shared" si="1"/>
        <v>0</v>
      </c>
      <c r="I41" s="117">
        <f t="shared" si="2"/>
        <v>0</v>
      </c>
      <c r="J41" s="117">
        <f t="shared" si="10"/>
        <v>2.8855427980706838E-2</v>
      </c>
      <c r="K41" s="118">
        <f t="shared" si="11"/>
        <v>2.9335715487305195E-2</v>
      </c>
    </row>
    <row r="42" spans="1:11" s="1" customFormat="1" x14ac:dyDescent="0.2">
      <c r="A42" s="37" t="s">
        <v>101</v>
      </c>
      <c r="B42" s="38"/>
      <c r="C42" s="39"/>
      <c r="D42" s="39">
        <f>SUM(D14,D25,D26,D27,D33,D40,D41)</f>
        <v>457.42366400000009</v>
      </c>
      <c r="E42" s="38"/>
      <c r="F42" s="39"/>
      <c r="G42" s="39">
        <f>SUM(G14,G25,G26,G27,G33,G40,G41)</f>
        <v>462.07366400000006</v>
      </c>
      <c r="H42" s="39">
        <f t="shared" si="1"/>
        <v>4.6499999999999773</v>
      </c>
      <c r="I42" s="40">
        <f>IF(ISERROR(H42/D42),0,(H42/D42))</f>
        <v>1.0165630608913965E-2</v>
      </c>
      <c r="J42" s="40">
        <f t="shared" si="10"/>
        <v>0.95238095238095233</v>
      </c>
      <c r="K42" s="41"/>
    </row>
    <row r="43" spans="1:11" x14ac:dyDescent="0.2">
      <c r="A43" s="154" t="s">
        <v>102</v>
      </c>
      <c r="B43" s="43"/>
      <c r="C43" s="26">
        <v>0.13</v>
      </c>
      <c r="D43" s="26">
        <f>D42*C43</f>
        <v>59.465076320000016</v>
      </c>
      <c r="E43" s="26"/>
      <c r="F43" s="26">
        <f>C43</f>
        <v>0.13</v>
      </c>
      <c r="G43" s="26">
        <f>G42*F43</f>
        <v>60.06957632000001</v>
      </c>
      <c r="H43" s="26">
        <f t="shared" si="1"/>
        <v>0.60449999999999449</v>
      </c>
      <c r="I43" s="44">
        <f t="shared" si="2"/>
        <v>1.0165630608913919E-2</v>
      </c>
      <c r="J43" s="44">
        <f t="shared" si="10"/>
        <v>0.1238095238095238</v>
      </c>
      <c r="K43" s="45"/>
    </row>
    <row r="44" spans="1:11" s="1" customFormat="1" x14ac:dyDescent="0.2">
      <c r="A44" s="46" t="s">
        <v>103</v>
      </c>
      <c r="B44" s="24"/>
      <c r="C44" s="25"/>
      <c r="D44" s="25">
        <f>SUM(D42:D43)</f>
        <v>516.88874032000012</v>
      </c>
      <c r="E44" s="25"/>
      <c r="F44" s="25"/>
      <c r="G44" s="25">
        <f>SUM(G42:G43)</f>
        <v>522.14324032000013</v>
      </c>
      <c r="H44" s="25">
        <f t="shared" si="1"/>
        <v>5.2545000000000073</v>
      </c>
      <c r="I44" s="27">
        <f t="shared" si="2"/>
        <v>1.0165630608914027E-2</v>
      </c>
      <c r="J44" s="27">
        <f t="shared" si="10"/>
        <v>1.0761904761904761</v>
      </c>
      <c r="K44" s="47"/>
    </row>
    <row r="45" spans="1:11" x14ac:dyDescent="0.2">
      <c r="A45" s="42" t="s">
        <v>104</v>
      </c>
      <c r="B45" s="43"/>
      <c r="C45" s="26">
        <v>-0.08</v>
      </c>
      <c r="D45" s="26">
        <f>D42*C45</f>
        <v>-36.593893120000011</v>
      </c>
      <c r="E45" s="26"/>
      <c r="F45" s="26">
        <f>C45</f>
        <v>-0.08</v>
      </c>
      <c r="G45" s="26">
        <f>G42*F45</f>
        <v>-36.965893120000004</v>
      </c>
      <c r="H45" s="26">
        <f t="shared" si="1"/>
        <v>-0.37199999999999278</v>
      </c>
      <c r="I45" s="44">
        <f t="shared" si="2"/>
        <v>1.0165630608913815E-2</v>
      </c>
      <c r="J45" s="44">
        <f t="shared" si="10"/>
        <v>-7.6190476190476183E-2</v>
      </c>
      <c r="K45" s="45"/>
    </row>
    <row r="46" spans="1:11" s="1" customFormat="1" ht="13.5" thickBot="1" x14ac:dyDescent="0.25">
      <c r="A46" s="48" t="s">
        <v>105</v>
      </c>
      <c r="B46" s="49"/>
      <c r="C46" s="50"/>
      <c r="D46" s="50">
        <f>SUM(D44:D45)</f>
        <v>480.29484720000011</v>
      </c>
      <c r="E46" s="50"/>
      <c r="F46" s="50"/>
      <c r="G46" s="50">
        <f>SUM(G44:G45)</f>
        <v>485.1773472000001</v>
      </c>
      <c r="H46" s="50">
        <f t="shared" si="1"/>
        <v>4.8824999999999932</v>
      </c>
      <c r="I46" s="51">
        <f t="shared" si="2"/>
        <v>1.0165630608913999E-2</v>
      </c>
      <c r="J46" s="51">
        <f t="shared" si="10"/>
        <v>1</v>
      </c>
      <c r="K46" s="52"/>
    </row>
    <row r="47" spans="1:11" x14ac:dyDescent="0.2">
      <c r="A47" s="53" t="s">
        <v>106</v>
      </c>
      <c r="B47" s="54"/>
      <c r="C47" s="55"/>
      <c r="D47" s="55">
        <f>SUM(D18,D25,D26,D28,D33,D40,D41)</f>
        <v>449.85854400000005</v>
      </c>
      <c r="E47" s="55"/>
      <c r="F47" s="55"/>
      <c r="G47" s="55">
        <f>SUM(G18,G25,G26,G28,G33,G40,G41)</f>
        <v>454.50854400000003</v>
      </c>
      <c r="H47" s="55">
        <f>G47-D47</f>
        <v>4.6499999999999773</v>
      </c>
      <c r="I47" s="56">
        <f>IF(ISERROR(H47/D47),0,(H47/D47))</f>
        <v>1.0336582603619453E-2</v>
      </c>
      <c r="J47" s="56"/>
      <c r="K47" s="57">
        <f>G47/$G$51</f>
        <v>0.95238095238095244</v>
      </c>
    </row>
    <row r="48" spans="1:11" x14ac:dyDescent="0.2">
      <c r="A48" s="58" t="s">
        <v>102</v>
      </c>
      <c r="B48" s="59"/>
      <c r="C48" s="31">
        <v>0.13</v>
      </c>
      <c r="D48" s="31">
        <f>D47*C48</f>
        <v>58.481610720000006</v>
      </c>
      <c r="E48" s="31"/>
      <c r="F48" s="31">
        <f>C48</f>
        <v>0.13</v>
      </c>
      <c r="G48" s="31">
        <f>G47*F48</f>
        <v>59.086110720000008</v>
      </c>
      <c r="H48" s="31">
        <f>G48-D48</f>
        <v>0.60450000000000159</v>
      </c>
      <c r="I48" s="32">
        <f>IF(ISERROR(H48/D48),0,(H48/D48))</f>
        <v>1.0336582603619532E-2</v>
      </c>
      <c r="J48" s="32"/>
      <c r="K48" s="60">
        <f>G48/$G$51</f>
        <v>0.12380952380952383</v>
      </c>
    </row>
    <row r="49" spans="1:11" x14ac:dyDescent="0.2">
      <c r="A49" s="150" t="s">
        <v>107</v>
      </c>
      <c r="B49" s="29"/>
      <c r="C49" s="30"/>
      <c r="D49" s="30">
        <f>SUM(D47:D48)</f>
        <v>508.34015472000004</v>
      </c>
      <c r="E49" s="30"/>
      <c r="F49" s="30"/>
      <c r="G49" s="30">
        <f>SUM(G47:G48)</f>
        <v>513.59465471999999</v>
      </c>
      <c r="H49" s="30">
        <f>G49-D49</f>
        <v>5.2544999999999504</v>
      </c>
      <c r="I49" s="33">
        <f>IF(ISERROR(H49/D49),0,(H49/D49))</f>
        <v>1.0336582603619407E-2</v>
      </c>
      <c r="J49" s="33"/>
      <c r="K49" s="62">
        <f>G49/$G$51</f>
        <v>1.0761904761904761</v>
      </c>
    </row>
    <row r="50" spans="1:11" x14ac:dyDescent="0.2">
      <c r="A50" s="58" t="s">
        <v>104</v>
      </c>
      <c r="B50" s="59"/>
      <c r="C50" s="31">
        <v>-0.08</v>
      </c>
      <c r="D50" s="31">
        <f>D47*C50</f>
        <v>-35.988683520000002</v>
      </c>
      <c r="E50" s="31"/>
      <c r="F50" s="31">
        <f>C50</f>
        <v>-0.08</v>
      </c>
      <c r="G50" s="31">
        <f>G47*F50</f>
        <v>-36.360683520000002</v>
      </c>
      <c r="H50" s="31">
        <f>G50-D50</f>
        <v>-0.37199999999999989</v>
      </c>
      <c r="I50" s="32">
        <f>IF(ISERROR(H50/D50),0,(H50/D50))</f>
        <v>1.0336582603619502E-2</v>
      </c>
      <c r="J50" s="32"/>
      <c r="K50" s="60">
        <f>G50/$G$51</f>
        <v>-7.6190476190476197E-2</v>
      </c>
    </row>
    <row r="51" spans="1:11" ht="13.5" thickBot="1" x14ac:dyDescent="0.25">
      <c r="A51" s="63" t="s">
        <v>116</v>
      </c>
      <c r="B51" s="64"/>
      <c r="C51" s="65"/>
      <c r="D51" s="65">
        <f>SUM(D49:D50)</f>
        <v>472.35147120000005</v>
      </c>
      <c r="E51" s="65"/>
      <c r="F51" s="65"/>
      <c r="G51" s="65">
        <f>SUM(G49:G50)</f>
        <v>477.23397119999998</v>
      </c>
      <c r="H51" s="65">
        <f>G51-D51</f>
        <v>4.8824999999999363</v>
      </c>
      <c r="I51" s="66">
        <f>IF(ISERROR(H51/D51),0,(H51/D51))</f>
        <v>1.033658260361937E-2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9"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1" tint="0.499984740745262"/>
    <pageSetUpPr fitToPage="1"/>
  </sheetPr>
  <dimension ref="A1:K68"/>
  <sheetViews>
    <sheetView tabSelected="1" view="pageBreakPreview"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119</v>
      </c>
      <c r="B1" s="188"/>
      <c r="C1" s="188"/>
      <c r="D1" s="188"/>
      <c r="E1" s="188"/>
      <c r="F1" s="188"/>
      <c r="G1" s="188"/>
      <c r="H1" s="188"/>
      <c r="I1" s="188"/>
      <c r="J1" s="188"/>
      <c r="K1" s="189"/>
    </row>
    <row r="3" spans="1:11" x14ac:dyDescent="0.2">
      <c r="A3" s="13" t="s">
        <v>13</v>
      </c>
      <c r="B3" s="13" t="s">
        <v>4</v>
      </c>
    </row>
    <row r="4" spans="1:11" x14ac:dyDescent="0.2">
      <c r="A4" s="15" t="s">
        <v>62</v>
      </c>
      <c r="B4" s="168">
        <f>VLOOKUP(B3,'Data for Bill Impacts'!A19:D32,3,FALSE)</f>
        <v>1982</v>
      </c>
    </row>
    <row r="5" spans="1:11" x14ac:dyDescent="0.2">
      <c r="A5" s="15" t="s">
        <v>16</v>
      </c>
      <c r="B5" s="168">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68">
        <f>B4*B6</f>
        <v>2172.2720000000004</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0.16060788458061315</v>
      </c>
      <c r="K12" s="106"/>
    </row>
    <row r="13" spans="1:11" x14ac:dyDescent="0.2">
      <c r="A13" s="107" t="s">
        <v>32</v>
      </c>
      <c r="B13" s="73">
        <f>IF(B4&gt;B7,(B4)-B7,0)</f>
        <v>1232</v>
      </c>
      <c r="C13" s="21">
        <v>0.121</v>
      </c>
      <c r="D13" s="22">
        <f>B13*C13</f>
        <v>149.072</v>
      </c>
      <c r="E13" s="73">
        <f t="shared" ref="E13" si="0">B13</f>
        <v>1232</v>
      </c>
      <c r="F13" s="21">
        <f>C13</f>
        <v>0.121</v>
      </c>
      <c r="G13" s="22">
        <f>E13*F13</f>
        <v>149.072</v>
      </c>
      <c r="H13" s="22">
        <f t="shared" ref="H13:H46" si="1">G13-D13</f>
        <v>0</v>
      </c>
      <c r="I13" s="23">
        <f t="shared" ref="I13:I46" si="2">IF(ISERROR(H13/D13),0,(H13/D13))</f>
        <v>0</v>
      </c>
      <c r="J13" s="23">
        <f>G13/$G$46</f>
        <v>0.30993059637800857</v>
      </c>
      <c r="K13" s="108"/>
    </row>
    <row r="14" spans="1:11" s="1" customFormat="1" x14ac:dyDescent="0.2">
      <c r="A14" s="46" t="s">
        <v>33</v>
      </c>
      <c r="B14" s="24"/>
      <c r="C14" s="25"/>
      <c r="D14" s="25">
        <f>SUM(D12:D13)</f>
        <v>226.322</v>
      </c>
      <c r="E14" s="76"/>
      <c r="F14" s="25"/>
      <c r="G14" s="25">
        <f>SUM(G12:G13)</f>
        <v>226.322</v>
      </c>
      <c r="H14" s="25">
        <f t="shared" si="1"/>
        <v>0</v>
      </c>
      <c r="I14" s="27">
        <f t="shared" si="2"/>
        <v>0</v>
      </c>
      <c r="J14" s="27">
        <f>G14/$G$46</f>
        <v>0.47053848095862172</v>
      </c>
      <c r="K14" s="108"/>
    </row>
    <row r="15" spans="1:11" s="1" customFormat="1" x14ac:dyDescent="0.2">
      <c r="A15" s="109" t="s">
        <v>34</v>
      </c>
      <c r="B15" s="75">
        <f>B4*0.65</f>
        <v>1288.3</v>
      </c>
      <c r="C15" s="28">
        <v>8.6999999999999994E-2</v>
      </c>
      <c r="D15" s="22">
        <f>B15*C15</f>
        <v>112.08209999999998</v>
      </c>
      <c r="E15" s="73">
        <f t="shared" ref="E15:F17" si="3">B15</f>
        <v>1288.3</v>
      </c>
      <c r="F15" s="28">
        <f t="shared" si="3"/>
        <v>8.6999999999999994E-2</v>
      </c>
      <c r="G15" s="22">
        <f>E15*F15</f>
        <v>112.08209999999998</v>
      </c>
      <c r="H15" s="22">
        <f t="shared" si="1"/>
        <v>0</v>
      </c>
      <c r="I15" s="23">
        <f t="shared" si="2"/>
        <v>0</v>
      </c>
      <c r="J15" s="23"/>
      <c r="K15" s="108">
        <f t="shared" ref="K15:K26" si="4">G15/$G$51</f>
        <v>0.23683947298614011</v>
      </c>
    </row>
    <row r="16" spans="1:11" s="1" customFormat="1" x14ac:dyDescent="0.2">
      <c r="A16" s="109" t="s">
        <v>35</v>
      </c>
      <c r="B16" s="75">
        <f>B4*0.17</f>
        <v>336.94</v>
      </c>
      <c r="C16" s="28">
        <v>0.13200000000000001</v>
      </c>
      <c r="D16" s="22">
        <f>B16*C16</f>
        <v>44.476080000000003</v>
      </c>
      <c r="E16" s="73">
        <f t="shared" si="3"/>
        <v>336.94</v>
      </c>
      <c r="F16" s="28">
        <f t="shared" si="3"/>
        <v>0.13200000000000001</v>
      </c>
      <c r="G16" s="22">
        <f>E16*F16</f>
        <v>44.476080000000003</v>
      </c>
      <c r="H16" s="22">
        <f t="shared" si="1"/>
        <v>0</v>
      </c>
      <c r="I16" s="23">
        <f t="shared" si="2"/>
        <v>0</v>
      </c>
      <c r="J16" s="23"/>
      <c r="K16" s="108">
        <f t="shared" si="4"/>
        <v>9.3981923497948455E-2</v>
      </c>
    </row>
    <row r="17" spans="1:11" s="1" customFormat="1" x14ac:dyDescent="0.2">
      <c r="A17" s="109" t="s">
        <v>36</v>
      </c>
      <c r="B17" s="75">
        <f>B4*0.18</f>
        <v>356.76</v>
      </c>
      <c r="C17" s="28">
        <v>0.18</v>
      </c>
      <c r="D17" s="22">
        <f>B17*C17</f>
        <v>64.216799999999992</v>
      </c>
      <c r="E17" s="73">
        <f t="shared" si="3"/>
        <v>356.76</v>
      </c>
      <c r="F17" s="28">
        <f t="shared" si="3"/>
        <v>0.18</v>
      </c>
      <c r="G17" s="22">
        <f>E17*F17</f>
        <v>64.216799999999992</v>
      </c>
      <c r="H17" s="22">
        <f t="shared" si="1"/>
        <v>0</v>
      </c>
      <c r="I17" s="23">
        <f t="shared" si="2"/>
        <v>0</v>
      </c>
      <c r="J17" s="23"/>
      <c r="K17" s="108">
        <f t="shared" si="4"/>
        <v>0.1356958253713694</v>
      </c>
    </row>
    <row r="18" spans="1:11" s="1" customFormat="1" x14ac:dyDescent="0.2">
      <c r="A18" s="61" t="s">
        <v>37</v>
      </c>
      <c r="B18" s="29"/>
      <c r="C18" s="30"/>
      <c r="D18" s="30">
        <f>SUM(D15:D17)</f>
        <v>220.77497999999997</v>
      </c>
      <c r="E18" s="77"/>
      <c r="F18" s="30"/>
      <c r="G18" s="30">
        <f>SUM(G15:G17)</f>
        <v>220.77497999999997</v>
      </c>
      <c r="H18" s="31">
        <f t="shared" si="1"/>
        <v>0</v>
      </c>
      <c r="I18" s="32">
        <f t="shared" si="2"/>
        <v>0</v>
      </c>
      <c r="J18" s="33">
        <f t="shared" ref="J18:J23" si="5">G18/$G$46</f>
        <v>0.45900585768449409</v>
      </c>
      <c r="K18" s="62">
        <f t="shared" si="4"/>
        <v>0.46651722185545791</v>
      </c>
    </row>
    <row r="19" spans="1:11" x14ac:dyDescent="0.2">
      <c r="A19" s="107" t="s">
        <v>38</v>
      </c>
      <c r="B19" s="73">
        <v>1</v>
      </c>
      <c r="C19" s="122">
        <f>VLOOKUP($B$3,'Data for Bill Impacts'!$A$3:$Y$15,7,0)</f>
        <v>30.26</v>
      </c>
      <c r="D19" s="22">
        <f>B19*C19</f>
        <v>30.26</v>
      </c>
      <c r="E19" s="73">
        <f t="shared" ref="E19:E41" si="6">B19</f>
        <v>1</v>
      </c>
      <c r="F19" s="78">
        <f>VLOOKUP($B$3,'Data for Bill Impacts'!$A$3:$Y$15,17,0)</f>
        <v>30.91</v>
      </c>
      <c r="G19" s="22">
        <f>E19*F19</f>
        <v>30.91</v>
      </c>
      <c r="H19" s="22">
        <f t="shared" si="1"/>
        <v>0.64999999999999858</v>
      </c>
      <c r="I19" s="23">
        <f t="shared" si="2"/>
        <v>2.1480502313284817E-2</v>
      </c>
      <c r="J19" s="23">
        <f t="shared" si="5"/>
        <v>6.4263944496915887E-2</v>
      </c>
      <c r="K19" s="108">
        <f t="shared" si="4"/>
        <v>6.5315586610186563E-2</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110</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1982</v>
      </c>
      <c r="C23" s="78">
        <f>VLOOKUP($B$3,'Data for Bill Impacts'!$A$3:$Y$15,10,0)</f>
        <v>6.1400000000000003E-2</v>
      </c>
      <c r="D23" s="22">
        <f>B23*C23</f>
        <v>121.6948</v>
      </c>
      <c r="E23" s="73">
        <f t="shared" si="6"/>
        <v>1982</v>
      </c>
      <c r="F23" s="78">
        <f>VLOOKUP($B$3,'Data for Bill Impacts'!$A$3:$Y$15,19,0)</f>
        <v>6.3399999999999998E-2</v>
      </c>
      <c r="G23" s="22">
        <f>E23*F23</f>
        <v>125.6588</v>
      </c>
      <c r="H23" s="22">
        <f t="shared" si="1"/>
        <v>3.9639999999999986</v>
      </c>
      <c r="I23" s="23">
        <f t="shared" si="2"/>
        <v>3.2573289902280117E-2</v>
      </c>
      <c r="J23" s="23">
        <f t="shared" si="5"/>
        <v>0.26125299737137025</v>
      </c>
      <c r="K23" s="108">
        <f t="shared" si="4"/>
        <v>0.26552825088101301</v>
      </c>
    </row>
    <row r="24" spans="1:11" x14ac:dyDescent="0.2">
      <c r="A24" s="107" t="s">
        <v>121</v>
      </c>
      <c r="B24" s="73">
        <f>IF($B$9="kWh",$B$4,$B$5)</f>
        <v>1982</v>
      </c>
      <c r="C24" s="126">
        <f>VLOOKUP($B$3,'Data for Bill Impacts'!$A$3:$Y$15,14,0)</f>
        <v>2.0000000000000001E-4</v>
      </c>
      <c r="D24" s="22">
        <f>B24*C24</f>
        <v>0.39640000000000003</v>
      </c>
      <c r="E24" s="73">
        <f t="shared" si="6"/>
        <v>1982</v>
      </c>
      <c r="F24" s="126">
        <f>VLOOKUP($B$3,'Data for Bill Impacts'!$A$3:$Y$15,23,0)</f>
        <v>2.0000000000000001E-4</v>
      </c>
      <c r="G24" s="22">
        <f>E24*F24</f>
        <v>0.39640000000000003</v>
      </c>
      <c r="H24" s="22">
        <f t="shared" si="1"/>
        <v>0</v>
      </c>
      <c r="I24" s="23">
        <f>IF(ISERROR(H24/D24),0,(H24/D24))</f>
        <v>0</v>
      </c>
      <c r="J24" s="23">
        <f t="shared" ref="J24" si="9">G24/$G$46</f>
        <v>8.2414194754375474E-4</v>
      </c>
      <c r="K24" s="108">
        <f t="shared" si="4"/>
        <v>8.3762855167511985E-4</v>
      </c>
    </row>
    <row r="25" spans="1:11" s="1" customFormat="1" x14ac:dyDescent="0.2">
      <c r="A25" s="110" t="s">
        <v>72</v>
      </c>
      <c r="B25" s="74"/>
      <c r="C25" s="35"/>
      <c r="D25" s="35">
        <f>SUM(D19:D24)</f>
        <v>152.35120000000001</v>
      </c>
      <c r="E25" s="73"/>
      <c r="F25" s="35"/>
      <c r="G25" s="35">
        <f>SUM(G19:G24)</f>
        <v>156.96520000000001</v>
      </c>
      <c r="H25" s="35">
        <f t="shared" si="1"/>
        <v>4.6140000000000043</v>
      </c>
      <c r="I25" s="36">
        <f t="shared" si="2"/>
        <v>3.0285288202521569E-2</v>
      </c>
      <c r="J25" s="36">
        <f>G25/$G$46</f>
        <v>0.32634108381582988</v>
      </c>
      <c r="K25" s="111">
        <f t="shared" si="4"/>
        <v>0.33168146604287468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1.6424625089797333E-3</v>
      </c>
      <c r="K26" s="108">
        <f t="shared" si="4"/>
        <v>1.6693404536411319E-3</v>
      </c>
    </row>
    <row r="27" spans="1:11" s="1" customFormat="1" x14ac:dyDescent="0.2">
      <c r="A27" s="119" t="s">
        <v>75</v>
      </c>
      <c r="B27" s="120">
        <f>B8-B4</f>
        <v>190.27200000000039</v>
      </c>
      <c r="C27" s="121">
        <f>IF(B4&gt;B7,C13,C12)</f>
        <v>0.121</v>
      </c>
      <c r="D27" s="22">
        <f>B27*C27</f>
        <v>23.022912000000048</v>
      </c>
      <c r="E27" s="73">
        <f>B27</f>
        <v>190.27200000000039</v>
      </c>
      <c r="F27" s="121">
        <f>C27</f>
        <v>0.121</v>
      </c>
      <c r="G27" s="22">
        <f>E27*F27</f>
        <v>23.022912000000048</v>
      </c>
      <c r="H27" s="22">
        <f t="shared" si="1"/>
        <v>0</v>
      </c>
      <c r="I27" s="23">
        <f>IF(ISERROR(H27/D27),0,(H27/D27))</f>
        <v>0</v>
      </c>
      <c r="J27" s="23">
        <f t="shared" ref="J27:J46" si="10">G27/$G$46</f>
        <v>4.7866164313341369E-2</v>
      </c>
      <c r="K27" s="108">
        <f t="shared" ref="K27:K41" si="11">G27/$G$51</f>
        <v>4.8649466281291062E-2</v>
      </c>
    </row>
    <row r="28" spans="1:11" s="1" customFormat="1" x14ac:dyDescent="0.2">
      <c r="A28" s="119" t="s">
        <v>74</v>
      </c>
      <c r="B28" s="120">
        <f>B8-B4</f>
        <v>190.27200000000039</v>
      </c>
      <c r="C28" s="121">
        <f>0.65*C15+0.17*C16+0.18*C17</f>
        <v>0.11139</v>
      </c>
      <c r="D28" s="22">
        <f>B28*C28</f>
        <v>21.194398080000045</v>
      </c>
      <c r="E28" s="73">
        <f>B28</f>
        <v>190.27200000000039</v>
      </c>
      <c r="F28" s="121">
        <f>C28</f>
        <v>0.11139</v>
      </c>
      <c r="G28" s="22">
        <f>E28*F28</f>
        <v>21.194398080000045</v>
      </c>
      <c r="H28" s="22">
        <f t="shared" si="1"/>
        <v>0</v>
      </c>
      <c r="I28" s="23">
        <f>IF(ISERROR(H28/D28),0,(H28/D28))</f>
        <v>0</v>
      </c>
      <c r="J28" s="23">
        <f t="shared" si="10"/>
        <v>4.4064562337711534E-2</v>
      </c>
      <c r="K28" s="108">
        <f t="shared" si="11"/>
        <v>4.4785653298124062E-2</v>
      </c>
    </row>
    <row r="29" spans="1:11" s="1" customFormat="1" x14ac:dyDescent="0.2">
      <c r="A29" s="110" t="s">
        <v>78</v>
      </c>
      <c r="B29" s="74"/>
      <c r="C29" s="35"/>
      <c r="D29" s="35">
        <f>SUM(D25,D26:D27)</f>
        <v>176.16411200000005</v>
      </c>
      <c r="E29" s="73"/>
      <c r="F29" s="35"/>
      <c r="G29" s="35">
        <f>SUM(G25,G26:G27)</f>
        <v>180.77811200000005</v>
      </c>
      <c r="H29" s="35">
        <f t="shared" si="1"/>
        <v>4.6140000000000043</v>
      </c>
      <c r="I29" s="36">
        <f>IF(ISERROR(H29/D29),0,(H29/D29))</f>
        <v>2.6191486720064772E-2</v>
      </c>
      <c r="J29" s="36">
        <f t="shared" si="10"/>
        <v>0.37584971063815098</v>
      </c>
      <c r="K29" s="111">
        <f t="shared" si="11"/>
        <v>0.38200027277780685</v>
      </c>
    </row>
    <row r="30" spans="1:11" s="1" customFormat="1" x14ac:dyDescent="0.2">
      <c r="A30" s="110" t="s">
        <v>77</v>
      </c>
      <c r="B30" s="74"/>
      <c r="C30" s="35"/>
      <c r="D30" s="35">
        <f>SUM(D25,D26,D28)</f>
        <v>174.33559808000004</v>
      </c>
      <c r="E30" s="73"/>
      <c r="F30" s="35"/>
      <c r="G30" s="35">
        <f>SUM(G25,G26,G28)</f>
        <v>178.94959808000004</v>
      </c>
      <c r="H30" s="35">
        <f t="shared" si="1"/>
        <v>4.6140000000000043</v>
      </c>
      <c r="I30" s="36">
        <f>IF(ISERROR(H30/D30),0,(H30/D30))</f>
        <v>2.646619537727864E-2</v>
      </c>
      <c r="J30" s="36">
        <f t="shared" si="10"/>
        <v>0.37204810866252114</v>
      </c>
      <c r="K30" s="111">
        <f t="shared" si="11"/>
        <v>0.37813645979463989</v>
      </c>
    </row>
    <row r="31" spans="1:11" x14ac:dyDescent="0.2">
      <c r="A31" s="107" t="s">
        <v>40</v>
      </c>
      <c r="B31" s="73">
        <f>B8</f>
        <v>2172.2720000000004</v>
      </c>
      <c r="C31" s="126">
        <f>VLOOKUP($B$3,'Data for Bill Impacts'!$A$3:$Y$15,15,0)</f>
        <v>5.6930000000000001E-3</v>
      </c>
      <c r="D31" s="22">
        <f>B31*C31</f>
        <v>12.366744496000003</v>
      </c>
      <c r="E31" s="73">
        <f t="shared" si="6"/>
        <v>2172.2720000000004</v>
      </c>
      <c r="F31" s="126">
        <f>VLOOKUP($B$3,'Data for Bill Impacts'!$A$3:$Y$15,24,0)</f>
        <v>5.6930000000000001E-3</v>
      </c>
      <c r="G31" s="22">
        <f>E31*F31</f>
        <v>12.366744496000003</v>
      </c>
      <c r="H31" s="22">
        <f t="shared" si="1"/>
        <v>0</v>
      </c>
      <c r="I31" s="23">
        <f t="shared" si="2"/>
        <v>0</v>
      </c>
      <c r="J31" s="23">
        <f t="shared" si="10"/>
        <v>2.5711283788368948E-2</v>
      </c>
      <c r="K31" s="108">
        <f t="shared" si="11"/>
        <v>2.613203400888179E-2</v>
      </c>
    </row>
    <row r="32" spans="1:11" x14ac:dyDescent="0.2">
      <c r="A32" s="107" t="s">
        <v>41</v>
      </c>
      <c r="B32" s="73">
        <f>B8</f>
        <v>2172.2720000000004</v>
      </c>
      <c r="C32" s="126">
        <f>VLOOKUP($B$3,'Data for Bill Impacts'!$A$3:$Y$15,16,0)</f>
        <v>4.4740000000000005E-3</v>
      </c>
      <c r="D32" s="22">
        <f>B32*C32</f>
        <v>9.7187449280000031</v>
      </c>
      <c r="E32" s="73">
        <f t="shared" si="6"/>
        <v>2172.2720000000004</v>
      </c>
      <c r="F32" s="126">
        <f>VLOOKUP($B$3,'Data for Bill Impacts'!$A$3:$Y$15,25,0)</f>
        <v>4.4740000000000005E-3</v>
      </c>
      <c r="G32" s="22">
        <f>E32*F32</f>
        <v>9.7187449280000031</v>
      </c>
      <c r="H32" s="22">
        <f t="shared" si="1"/>
        <v>0</v>
      </c>
      <c r="I32" s="23">
        <f t="shared" si="2"/>
        <v>0</v>
      </c>
      <c r="J32" s="23">
        <f t="shared" si="10"/>
        <v>2.0205916681742962E-2</v>
      </c>
      <c r="K32" s="108">
        <f t="shared" si="11"/>
        <v>2.053657476826579E-2</v>
      </c>
    </row>
    <row r="33" spans="1:11" s="1" customFormat="1" x14ac:dyDescent="0.2">
      <c r="A33" s="110" t="s">
        <v>76</v>
      </c>
      <c r="B33" s="74"/>
      <c r="C33" s="35"/>
      <c r="D33" s="35">
        <f>SUM(D31:D32)</f>
        <v>22.085489424000006</v>
      </c>
      <c r="E33" s="73"/>
      <c r="F33" s="35"/>
      <c r="G33" s="35">
        <f>SUM(G31:G32)</f>
        <v>22.085489424000006</v>
      </c>
      <c r="H33" s="35">
        <f t="shared" si="1"/>
        <v>0</v>
      </c>
      <c r="I33" s="36">
        <f t="shared" si="2"/>
        <v>0</v>
      </c>
      <c r="J33" s="36">
        <f t="shared" si="10"/>
        <v>4.5917200470111913E-2</v>
      </c>
      <c r="K33" s="111">
        <f t="shared" si="11"/>
        <v>4.6668608777147583E-2</v>
      </c>
    </row>
    <row r="34" spans="1:11" s="1" customFormat="1" x14ac:dyDescent="0.2">
      <c r="A34" s="110" t="s">
        <v>91</v>
      </c>
      <c r="B34" s="74"/>
      <c r="C34" s="35"/>
      <c r="D34" s="35">
        <f>D29+D33</f>
        <v>198.24960142400005</v>
      </c>
      <c r="E34" s="73"/>
      <c r="F34" s="35"/>
      <c r="G34" s="35">
        <f>G29+G33</f>
        <v>202.86360142400005</v>
      </c>
      <c r="H34" s="35">
        <f t="shared" si="1"/>
        <v>4.6140000000000043</v>
      </c>
      <c r="I34" s="36">
        <f t="shared" si="2"/>
        <v>2.3273691179494269E-2</v>
      </c>
      <c r="J34" s="36">
        <f t="shared" si="10"/>
        <v>0.42176691110826287</v>
      </c>
      <c r="K34" s="111">
        <f t="shared" si="11"/>
        <v>0.42866888155495447</v>
      </c>
    </row>
    <row r="35" spans="1:11" s="1" customFormat="1" x14ac:dyDescent="0.2">
      <c r="A35" s="110" t="s">
        <v>92</v>
      </c>
      <c r="B35" s="74"/>
      <c r="C35" s="35"/>
      <c r="D35" s="35">
        <f>D30+D33</f>
        <v>196.42108750400004</v>
      </c>
      <c r="E35" s="73"/>
      <c r="F35" s="35"/>
      <c r="G35" s="35">
        <f>G30+G33</f>
        <v>201.03508750400005</v>
      </c>
      <c r="H35" s="35">
        <f t="shared" si="1"/>
        <v>4.6140000000000043</v>
      </c>
      <c r="I35" s="36">
        <f t="shared" si="2"/>
        <v>2.3490349527293203E-2</v>
      </c>
      <c r="J35" s="36">
        <f t="shared" si="10"/>
        <v>0.41796530913263302</v>
      </c>
      <c r="K35" s="111">
        <f t="shared" si="11"/>
        <v>0.42480506857178746</v>
      </c>
    </row>
    <row r="36" spans="1:11" x14ac:dyDescent="0.2">
      <c r="A36" s="107" t="s">
        <v>42</v>
      </c>
      <c r="B36" s="73">
        <f>B8</f>
        <v>2172.2720000000004</v>
      </c>
      <c r="C36" s="34">
        <v>3.5999999999999999E-3</v>
      </c>
      <c r="D36" s="22">
        <f>B36*C36</f>
        <v>7.820179200000001</v>
      </c>
      <c r="E36" s="73">
        <f t="shared" si="6"/>
        <v>2172.2720000000004</v>
      </c>
      <c r="F36" s="34">
        <v>3.5999999999999999E-3</v>
      </c>
      <c r="G36" s="22">
        <f>E36*F36</f>
        <v>7.820179200000001</v>
      </c>
      <c r="H36" s="22">
        <f t="shared" si="1"/>
        <v>0</v>
      </c>
      <c r="I36" s="23">
        <f t="shared" si="2"/>
        <v>0</v>
      </c>
      <c r="J36" s="23">
        <f t="shared" si="10"/>
        <v>1.6258672341143195E-2</v>
      </c>
      <c r="K36" s="108">
        <f t="shared" si="11"/>
        <v>1.6524736067446765E-2</v>
      </c>
    </row>
    <row r="37" spans="1:11" x14ac:dyDescent="0.2">
      <c r="A37" s="107" t="s">
        <v>43</v>
      </c>
      <c r="B37" s="73">
        <f>B8</f>
        <v>2172.2720000000004</v>
      </c>
      <c r="C37" s="34">
        <v>2.0999999999999999E-3</v>
      </c>
      <c r="D37" s="22">
        <f>B37*C37</f>
        <v>4.5617712000000008</v>
      </c>
      <c r="E37" s="73">
        <f t="shared" si="6"/>
        <v>2172.2720000000004</v>
      </c>
      <c r="F37" s="34">
        <v>2.0999999999999999E-3</v>
      </c>
      <c r="G37" s="22">
        <f>E37*F37</f>
        <v>4.5617712000000008</v>
      </c>
      <c r="H37" s="22">
        <f>G37-D37</f>
        <v>0</v>
      </c>
      <c r="I37" s="23">
        <f t="shared" si="2"/>
        <v>0</v>
      </c>
      <c r="J37" s="23">
        <f t="shared" si="10"/>
        <v>9.4842255323335303E-3</v>
      </c>
      <c r="K37" s="108">
        <f t="shared" si="11"/>
        <v>9.6394293726772811E-3</v>
      </c>
    </row>
    <row r="38" spans="1:11" x14ac:dyDescent="0.2">
      <c r="A38" s="107" t="s">
        <v>96</v>
      </c>
      <c r="B38" s="73">
        <f>B8</f>
        <v>2172.2720000000004</v>
      </c>
      <c r="C38" s="34">
        <v>1.1000000000000001E-3</v>
      </c>
      <c r="D38" s="22">
        <f>B38*C38</f>
        <v>2.3894992000000004</v>
      </c>
      <c r="E38" s="73">
        <f t="shared" si="6"/>
        <v>2172.2720000000004</v>
      </c>
      <c r="F38" s="34">
        <v>1.1000000000000001E-3</v>
      </c>
      <c r="G38" s="22">
        <f>E38*F38</f>
        <v>2.3894992000000004</v>
      </c>
      <c r="H38" s="22">
        <f>G38-D38</f>
        <v>0</v>
      </c>
      <c r="I38" s="23">
        <f t="shared" si="2"/>
        <v>0</v>
      </c>
      <c r="J38" s="23">
        <f t="shared" si="10"/>
        <v>4.9679276597937539E-3</v>
      </c>
      <c r="K38" s="108">
        <f t="shared" si="11"/>
        <v>5.0492249094976228E-3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5.1976661676573837E-4</v>
      </c>
      <c r="K39" s="108">
        <f t="shared" si="11"/>
        <v>5.2827229545605436E-4</v>
      </c>
    </row>
    <row r="40" spans="1:11" s="1" customFormat="1" x14ac:dyDescent="0.2">
      <c r="A40" s="110" t="s">
        <v>45</v>
      </c>
      <c r="B40" s="74"/>
      <c r="C40" s="35"/>
      <c r="D40" s="35">
        <f>SUM(D36:D39)</f>
        <v>15.0214496</v>
      </c>
      <c r="E40" s="73"/>
      <c r="F40" s="35"/>
      <c r="G40" s="35">
        <f>SUM(G36:G39)</f>
        <v>15.0214496</v>
      </c>
      <c r="H40" s="35">
        <f t="shared" si="1"/>
        <v>0</v>
      </c>
      <c r="I40" s="36">
        <f t="shared" si="2"/>
        <v>0</v>
      </c>
      <c r="J40" s="36">
        <f t="shared" si="10"/>
        <v>3.1230592150036214E-2</v>
      </c>
      <c r="K40" s="111">
        <f t="shared" si="11"/>
        <v>3.1741662645077724E-2</v>
      </c>
    </row>
    <row r="41" spans="1:11" s="1" customFormat="1" ht="13.5" thickBot="1" x14ac:dyDescent="0.25">
      <c r="A41" s="112" t="s">
        <v>46</v>
      </c>
      <c r="B41" s="113">
        <f>B4</f>
        <v>1982</v>
      </c>
      <c r="C41" s="114">
        <v>7.0000000000000001E-3</v>
      </c>
      <c r="D41" s="115">
        <f>B41*C41</f>
        <v>13.874000000000001</v>
      </c>
      <c r="E41" s="116">
        <f t="shared" si="6"/>
        <v>1982</v>
      </c>
      <c r="F41" s="114">
        <f>C41</f>
        <v>7.0000000000000001E-3</v>
      </c>
      <c r="G41" s="115">
        <f>E41*F41</f>
        <v>13.874000000000001</v>
      </c>
      <c r="H41" s="115">
        <f t="shared" si="1"/>
        <v>0</v>
      </c>
      <c r="I41" s="117">
        <f t="shared" si="2"/>
        <v>0</v>
      </c>
      <c r="J41" s="117">
        <f t="shared" si="10"/>
        <v>2.8844968164031416E-2</v>
      </c>
      <c r="K41" s="118">
        <f t="shared" si="11"/>
        <v>2.9316999308629195E-2</v>
      </c>
    </row>
    <row r="42" spans="1:11" s="1" customFormat="1" x14ac:dyDescent="0.2">
      <c r="A42" s="37" t="s">
        <v>101</v>
      </c>
      <c r="B42" s="38"/>
      <c r="C42" s="39"/>
      <c r="D42" s="39">
        <f>SUM(D14,D25,D26,D27,D33,D40,D41)</f>
        <v>453.46705102400006</v>
      </c>
      <c r="E42" s="38"/>
      <c r="F42" s="39"/>
      <c r="G42" s="39">
        <f>SUM(G14,G25,G26,G27,G33,G40,G41)</f>
        <v>458.08105102400009</v>
      </c>
      <c r="H42" s="39">
        <f t="shared" si="1"/>
        <v>4.6140000000000327</v>
      </c>
      <c r="I42" s="40">
        <f>IF(ISERROR(H42/D42),0,(H42/D42))</f>
        <v>1.0174939920289453E-2</v>
      </c>
      <c r="J42" s="40">
        <f t="shared" si="10"/>
        <v>0.95238095238095233</v>
      </c>
      <c r="K42" s="41"/>
    </row>
    <row r="43" spans="1:11" x14ac:dyDescent="0.2">
      <c r="A43" s="154" t="s">
        <v>102</v>
      </c>
      <c r="B43" s="43"/>
      <c r="C43" s="26">
        <v>0.13</v>
      </c>
      <c r="D43" s="26">
        <f>D42*C43</f>
        <v>58.95071663312001</v>
      </c>
      <c r="E43" s="26"/>
      <c r="F43" s="26">
        <f>C43</f>
        <v>0.13</v>
      </c>
      <c r="G43" s="26">
        <f>G42*F43</f>
        <v>59.550536633120011</v>
      </c>
      <c r="H43" s="26">
        <f t="shared" si="1"/>
        <v>0.59982000000000113</v>
      </c>
      <c r="I43" s="44">
        <f t="shared" si="2"/>
        <v>1.0174939920289399E-2</v>
      </c>
      <c r="J43" s="44">
        <f t="shared" si="10"/>
        <v>0.1238095238095238</v>
      </c>
      <c r="K43" s="45"/>
    </row>
    <row r="44" spans="1:11" s="1" customFormat="1" x14ac:dyDescent="0.2">
      <c r="A44" s="46" t="s">
        <v>103</v>
      </c>
      <c r="B44" s="24"/>
      <c r="C44" s="25"/>
      <c r="D44" s="25">
        <f>SUM(D42:D43)</f>
        <v>512.41776765712007</v>
      </c>
      <c r="E44" s="25"/>
      <c r="F44" s="25"/>
      <c r="G44" s="25">
        <f>SUM(G42:G43)</f>
        <v>517.63158765712012</v>
      </c>
      <c r="H44" s="25">
        <f t="shared" si="1"/>
        <v>5.2138200000000552</v>
      </c>
      <c r="I44" s="27">
        <f t="shared" si="2"/>
        <v>1.017493992028949E-2</v>
      </c>
      <c r="J44" s="27">
        <f t="shared" si="10"/>
        <v>1.0761904761904761</v>
      </c>
      <c r="K44" s="47"/>
    </row>
    <row r="45" spans="1:11" x14ac:dyDescent="0.2">
      <c r="A45" s="42" t="s">
        <v>104</v>
      </c>
      <c r="B45" s="43"/>
      <c r="C45" s="26">
        <v>-0.08</v>
      </c>
      <c r="D45" s="26">
        <f>D42*C45</f>
        <v>-36.277364081920005</v>
      </c>
      <c r="E45" s="26"/>
      <c r="F45" s="26">
        <f>C45</f>
        <v>-0.08</v>
      </c>
      <c r="G45" s="26">
        <f>G42*F45</f>
        <v>-36.646484081920008</v>
      </c>
      <c r="H45" s="26">
        <f t="shared" si="1"/>
        <v>-0.36912000000000234</v>
      </c>
      <c r="I45" s="44">
        <f t="shared" si="2"/>
        <v>1.0174939920289446E-2</v>
      </c>
      <c r="J45" s="44">
        <f t="shared" si="10"/>
        <v>-7.6190476190476183E-2</v>
      </c>
      <c r="K45" s="45"/>
    </row>
    <row r="46" spans="1:11" s="1" customFormat="1" ht="13.5" thickBot="1" x14ac:dyDescent="0.25">
      <c r="A46" s="48" t="s">
        <v>105</v>
      </c>
      <c r="B46" s="49"/>
      <c r="C46" s="50"/>
      <c r="D46" s="50">
        <f>SUM(D44:D45)</f>
        <v>476.14040357520008</v>
      </c>
      <c r="E46" s="50"/>
      <c r="F46" s="50"/>
      <c r="G46" s="50">
        <f>SUM(G44:G45)</f>
        <v>480.98510357520013</v>
      </c>
      <c r="H46" s="50">
        <f t="shared" si="1"/>
        <v>4.8447000000000457</v>
      </c>
      <c r="I46" s="51">
        <f t="shared" si="2"/>
        <v>1.0174939920289477E-2</v>
      </c>
      <c r="J46" s="51">
        <f t="shared" si="10"/>
        <v>1</v>
      </c>
      <c r="K46" s="52"/>
    </row>
    <row r="47" spans="1:11" x14ac:dyDescent="0.2">
      <c r="A47" s="53" t="s">
        <v>106</v>
      </c>
      <c r="B47" s="54"/>
      <c r="C47" s="55"/>
      <c r="D47" s="55">
        <f>SUM(D18,D25,D26,D28,D33,D40,D41)</f>
        <v>446.09151710400005</v>
      </c>
      <c r="E47" s="55"/>
      <c r="F47" s="55"/>
      <c r="G47" s="55">
        <f>SUM(G18,G25,G26,G28,G33,G40,G41)</f>
        <v>450.70551710400008</v>
      </c>
      <c r="H47" s="55">
        <f>G47-D47</f>
        <v>4.6140000000000327</v>
      </c>
      <c r="I47" s="56">
        <f>IF(ISERROR(H47/D47),0,(H47/D47))</f>
        <v>1.0343169110127559E-2</v>
      </c>
      <c r="J47" s="56"/>
      <c r="K47" s="57">
        <f>G47/$G$51</f>
        <v>0.95238095238095244</v>
      </c>
    </row>
    <row r="48" spans="1:11" x14ac:dyDescent="0.2">
      <c r="A48" s="58" t="s">
        <v>102</v>
      </c>
      <c r="B48" s="59"/>
      <c r="C48" s="31">
        <v>0.13</v>
      </c>
      <c r="D48" s="31">
        <f>D47*C48</f>
        <v>57.991897223520006</v>
      </c>
      <c r="E48" s="31"/>
      <c r="F48" s="31">
        <f>C48</f>
        <v>0.13</v>
      </c>
      <c r="G48" s="31">
        <f>G47*F48</f>
        <v>58.591717223520014</v>
      </c>
      <c r="H48" s="31">
        <f>G48-D48</f>
        <v>0.59982000000000824</v>
      </c>
      <c r="I48" s="32">
        <f>IF(ISERROR(H48/D48),0,(H48/D48))</f>
        <v>1.0343169110127627E-2</v>
      </c>
      <c r="J48" s="32"/>
      <c r="K48" s="60">
        <f>G48/$G$51</f>
        <v>0.12380952380952383</v>
      </c>
    </row>
    <row r="49" spans="1:11" x14ac:dyDescent="0.2">
      <c r="A49" s="150" t="s">
        <v>107</v>
      </c>
      <c r="B49" s="29"/>
      <c r="C49" s="30"/>
      <c r="D49" s="30">
        <f>SUM(D47:D48)</f>
        <v>504.08341432752007</v>
      </c>
      <c r="E49" s="30"/>
      <c r="F49" s="30"/>
      <c r="G49" s="30">
        <f>SUM(G47:G48)</f>
        <v>509.29723432752007</v>
      </c>
      <c r="H49" s="30">
        <f>G49-D49</f>
        <v>5.2138199999999983</v>
      </c>
      <c r="I49" s="33">
        <f>IF(ISERROR(H49/D49),0,(H49/D49))</f>
        <v>1.0343169110127481E-2</v>
      </c>
      <c r="J49" s="33"/>
      <c r="K49" s="62">
        <f>G49/$G$51</f>
        <v>1.0761904761904761</v>
      </c>
    </row>
    <row r="50" spans="1:11" x14ac:dyDescent="0.2">
      <c r="A50" s="58" t="s">
        <v>104</v>
      </c>
      <c r="B50" s="59"/>
      <c r="C50" s="31">
        <v>-0.08</v>
      </c>
      <c r="D50" s="31">
        <f>D47*C50</f>
        <v>-35.687321368320006</v>
      </c>
      <c r="E50" s="31"/>
      <c r="F50" s="31">
        <f>C50</f>
        <v>-0.08</v>
      </c>
      <c r="G50" s="31">
        <f>G47*F50</f>
        <v>-36.056441368320009</v>
      </c>
      <c r="H50" s="31">
        <f>G50-D50</f>
        <v>-0.36912000000000234</v>
      </c>
      <c r="I50" s="32">
        <f>IF(ISERROR(H50/D50),0,(H50/D50))</f>
        <v>1.034316911012755E-2</v>
      </c>
      <c r="J50" s="32"/>
      <c r="K50" s="60">
        <f>G50/$G$51</f>
        <v>-7.6190476190476197E-2</v>
      </c>
    </row>
    <row r="51" spans="1:11" ht="13.5" thickBot="1" x14ac:dyDescent="0.25">
      <c r="A51" s="63" t="s">
        <v>116</v>
      </c>
      <c r="B51" s="64"/>
      <c r="C51" s="65"/>
      <c r="D51" s="65">
        <f>SUM(D49:D50)</f>
        <v>468.39609295920008</v>
      </c>
      <c r="E51" s="65"/>
      <c r="F51" s="65"/>
      <c r="G51" s="65">
        <f>SUM(G49:G50)</f>
        <v>473.24079295920006</v>
      </c>
      <c r="H51" s="65">
        <f>G51-D51</f>
        <v>4.8446999999999889</v>
      </c>
      <c r="I51" s="66">
        <f>IF(ISERROR(H51/D51),0,(H51/D51))</f>
        <v>1.034316911012746E-2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tabColor theme="1" tint="0.499984740745262"/>
    <pageSetUpPr fitToPage="1"/>
  </sheetPr>
  <dimension ref="A1:K68"/>
  <sheetViews>
    <sheetView tabSelected="1" view="pageBreakPreview" topLeftCell="A7"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120</v>
      </c>
      <c r="B1" s="188"/>
      <c r="C1" s="188"/>
      <c r="D1" s="188"/>
      <c r="E1" s="188"/>
      <c r="F1" s="188"/>
      <c r="G1" s="188"/>
      <c r="H1" s="188"/>
      <c r="I1" s="188"/>
      <c r="J1" s="188"/>
      <c r="K1" s="189"/>
    </row>
    <row r="3" spans="1:11" x14ac:dyDescent="0.2">
      <c r="A3" s="13" t="s">
        <v>13</v>
      </c>
      <c r="B3" s="13" t="s">
        <v>4</v>
      </c>
    </row>
    <row r="4" spans="1:11" x14ac:dyDescent="0.2">
      <c r="A4" s="15" t="s">
        <v>62</v>
      </c>
      <c r="B4" s="15">
        <v>15000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16440</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2.1990322894953201E-2</v>
      </c>
      <c r="K12" s="106"/>
    </row>
    <row r="13" spans="1:11" x14ac:dyDescent="0.2">
      <c r="A13" s="107" t="s">
        <v>32</v>
      </c>
      <c r="B13" s="73">
        <f>IF(B4&gt;B7,(B4)-B7,0)</f>
        <v>14250</v>
      </c>
      <c r="C13" s="21">
        <v>0.121</v>
      </c>
      <c r="D13" s="22">
        <f>B13*C13</f>
        <v>1724.25</v>
      </c>
      <c r="E13" s="73">
        <f t="shared" ref="E13" si="0">B13</f>
        <v>14250</v>
      </c>
      <c r="F13" s="21">
        <f>C13</f>
        <v>0.121</v>
      </c>
      <c r="G13" s="22">
        <f>E13*F13</f>
        <v>1724.25</v>
      </c>
      <c r="H13" s="22">
        <f t="shared" ref="H13:H46" si="1">G13-D13</f>
        <v>0</v>
      </c>
      <c r="I13" s="23">
        <f t="shared" ref="I13:I46" si="2">IF(ISERROR(H13/D13),0,(H13/D13))</f>
        <v>0</v>
      </c>
      <c r="J13" s="23">
        <f>G13/$G$46</f>
        <v>0.4908325469465768</v>
      </c>
      <c r="K13" s="108"/>
    </row>
    <row r="14" spans="1:11" s="1" customFormat="1" x14ac:dyDescent="0.2">
      <c r="A14" s="46" t="s">
        <v>33</v>
      </c>
      <c r="B14" s="24"/>
      <c r="C14" s="25"/>
      <c r="D14" s="25">
        <f>SUM(D12:D13)</f>
        <v>1801.5</v>
      </c>
      <c r="E14" s="76"/>
      <c r="F14" s="25"/>
      <c r="G14" s="25">
        <f>SUM(G12:G13)</f>
        <v>1801.5</v>
      </c>
      <c r="H14" s="25">
        <f t="shared" si="1"/>
        <v>0</v>
      </c>
      <c r="I14" s="27">
        <f t="shared" si="2"/>
        <v>0</v>
      </c>
      <c r="J14" s="27">
        <f>G14/$G$46</f>
        <v>0.51282286984153003</v>
      </c>
      <c r="K14" s="108"/>
    </row>
    <row r="15" spans="1:11" s="1" customFormat="1" x14ac:dyDescent="0.2">
      <c r="A15" s="109" t="s">
        <v>34</v>
      </c>
      <c r="B15" s="75">
        <f>B4*0.65</f>
        <v>9750</v>
      </c>
      <c r="C15" s="28">
        <v>8.6999999999999994E-2</v>
      </c>
      <c r="D15" s="22">
        <f>B15*C15</f>
        <v>848.24999999999989</v>
      </c>
      <c r="E15" s="73">
        <f t="shared" ref="E15:F17" si="3">B15</f>
        <v>9750</v>
      </c>
      <c r="F15" s="28">
        <f t="shared" si="3"/>
        <v>8.6999999999999994E-2</v>
      </c>
      <c r="G15" s="22">
        <f>E15*F15</f>
        <v>848.24999999999989</v>
      </c>
      <c r="H15" s="22">
        <f t="shared" si="1"/>
        <v>0</v>
      </c>
      <c r="I15" s="23">
        <f t="shared" si="2"/>
        <v>0</v>
      </c>
      <c r="J15" s="23"/>
      <c r="K15" s="108">
        <f t="shared" ref="K15:K26" si="4">G15/$G$51</f>
        <v>0.25236552447984945</v>
      </c>
    </row>
    <row r="16" spans="1:11" s="1" customFormat="1" x14ac:dyDescent="0.2">
      <c r="A16" s="109" t="s">
        <v>35</v>
      </c>
      <c r="B16" s="75">
        <f>B4*0.17</f>
        <v>2550</v>
      </c>
      <c r="C16" s="28">
        <v>0.13200000000000001</v>
      </c>
      <c r="D16" s="22">
        <f>B16*C16</f>
        <v>336.6</v>
      </c>
      <c r="E16" s="73">
        <f t="shared" si="3"/>
        <v>2550</v>
      </c>
      <c r="F16" s="28">
        <f t="shared" si="3"/>
        <v>0.13200000000000001</v>
      </c>
      <c r="G16" s="22">
        <f>E16*F16</f>
        <v>336.6</v>
      </c>
      <c r="H16" s="22">
        <f t="shared" si="1"/>
        <v>0</v>
      </c>
      <c r="I16" s="23">
        <f t="shared" si="2"/>
        <v>0</v>
      </c>
      <c r="J16" s="23"/>
      <c r="K16" s="108">
        <f t="shared" si="4"/>
        <v>0.10014292430287927</v>
      </c>
    </row>
    <row r="17" spans="1:11" s="1" customFormat="1" x14ac:dyDescent="0.2">
      <c r="A17" s="109" t="s">
        <v>36</v>
      </c>
      <c r="B17" s="75">
        <f>B4*0.18</f>
        <v>2700</v>
      </c>
      <c r="C17" s="28">
        <v>0.18</v>
      </c>
      <c r="D17" s="22">
        <f>B17*C17</f>
        <v>486</v>
      </c>
      <c r="E17" s="73">
        <f t="shared" si="3"/>
        <v>2700</v>
      </c>
      <c r="F17" s="28">
        <f t="shared" si="3"/>
        <v>0.18</v>
      </c>
      <c r="G17" s="22">
        <f>E17*F17</f>
        <v>486</v>
      </c>
      <c r="H17" s="22">
        <f t="shared" si="1"/>
        <v>0</v>
      </c>
      <c r="I17" s="23">
        <f t="shared" si="2"/>
        <v>0</v>
      </c>
      <c r="J17" s="23"/>
      <c r="K17" s="108">
        <f t="shared" si="4"/>
        <v>0.14459138803089519</v>
      </c>
    </row>
    <row r="18" spans="1:11" s="1" customFormat="1" x14ac:dyDescent="0.2">
      <c r="A18" s="61" t="s">
        <v>37</v>
      </c>
      <c r="B18" s="29"/>
      <c r="C18" s="30"/>
      <c r="D18" s="30">
        <f>SUM(D15:D17)</f>
        <v>1670.85</v>
      </c>
      <c r="E18" s="77"/>
      <c r="F18" s="30"/>
      <c r="G18" s="30">
        <f>SUM(G15:G17)</f>
        <v>1670.85</v>
      </c>
      <c r="H18" s="31">
        <f t="shared" si="1"/>
        <v>0</v>
      </c>
      <c r="I18" s="32">
        <f t="shared" si="2"/>
        <v>0</v>
      </c>
      <c r="J18" s="33">
        <f t="shared" ref="J18:J23" si="5">G18/$G$46</f>
        <v>0.47563146937258971</v>
      </c>
      <c r="K18" s="62">
        <f t="shared" si="4"/>
        <v>0.49709983681362391</v>
      </c>
    </row>
    <row r="19" spans="1:11" x14ac:dyDescent="0.2">
      <c r="A19" s="107" t="s">
        <v>38</v>
      </c>
      <c r="B19" s="73">
        <v>1</v>
      </c>
      <c r="C19" s="122">
        <f>VLOOKUP($B$3,'Data for Bill Impacts'!$A$3:$Y$15,7,0)</f>
        <v>30.26</v>
      </c>
      <c r="D19" s="22">
        <f>B19*C19</f>
        <v>30.26</v>
      </c>
      <c r="E19" s="73">
        <f t="shared" ref="E19:E41" si="6">B19</f>
        <v>1</v>
      </c>
      <c r="F19" s="78">
        <f>VLOOKUP($B$3,'Data for Bill Impacts'!$A$3:$Y$15,17,0)</f>
        <v>30.91</v>
      </c>
      <c r="G19" s="22">
        <f>E19*F19</f>
        <v>30.91</v>
      </c>
      <c r="H19" s="22">
        <f t="shared" si="1"/>
        <v>0.64999999999999858</v>
      </c>
      <c r="I19" s="23">
        <f t="shared" si="2"/>
        <v>2.1480502313284817E-2</v>
      </c>
      <c r="J19" s="23">
        <f t="shared" si="5"/>
        <v>8.7989758017217277E-3</v>
      </c>
      <c r="K19" s="108">
        <f t="shared" si="4"/>
        <v>9.1961312840225726E-3</v>
      </c>
    </row>
    <row r="20" spans="1:11" hidden="1" x14ac:dyDescent="0.2">
      <c r="A20" s="107" t="s">
        <v>83</v>
      </c>
      <c r="B20" s="73">
        <v>1</v>
      </c>
      <c r="C20" s="78">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110</v>
      </c>
      <c r="B21" s="73">
        <v>1</v>
      </c>
      <c r="C21" s="78">
        <v>0</v>
      </c>
      <c r="D21" s="22">
        <f t="shared" ref="D21:D22" si="8">B21*C21</f>
        <v>0</v>
      </c>
      <c r="E21" s="73">
        <f t="shared" si="6"/>
        <v>1</v>
      </c>
      <c r="F21" s="122">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15000</v>
      </c>
      <c r="C23" s="78">
        <f>VLOOKUP($B$3,'Data for Bill Impacts'!$A$3:$Y$15,10,0)</f>
        <v>6.1400000000000003E-2</v>
      </c>
      <c r="D23" s="22">
        <f>B23*C23</f>
        <v>921</v>
      </c>
      <c r="E23" s="73">
        <f t="shared" si="6"/>
        <v>15000</v>
      </c>
      <c r="F23" s="78">
        <f>VLOOKUP($B$3,'Data for Bill Impacts'!$A$3:$Y$15,19,0)</f>
        <v>6.3399999999999998E-2</v>
      </c>
      <c r="G23" s="22">
        <f>E23*F23</f>
        <v>951</v>
      </c>
      <c r="H23" s="22">
        <f t="shared" si="1"/>
        <v>30</v>
      </c>
      <c r="I23" s="23">
        <f t="shared" si="2"/>
        <v>3.2573289902280131E-2</v>
      </c>
      <c r="J23" s="23">
        <f t="shared" si="5"/>
        <v>0.27071581971651126</v>
      </c>
      <c r="K23" s="108">
        <f t="shared" si="4"/>
        <v>0.28293500003576405</v>
      </c>
    </row>
    <row r="24" spans="1:11" x14ac:dyDescent="0.2">
      <c r="A24" s="107" t="s">
        <v>121</v>
      </c>
      <c r="B24" s="73">
        <f>IF($B$9="kWh",$B$4,$B$5)</f>
        <v>15000</v>
      </c>
      <c r="C24" s="126">
        <f>VLOOKUP($B$3,'Data for Bill Impacts'!$A$3:$Y$15,14,0)</f>
        <v>2.0000000000000001E-4</v>
      </c>
      <c r="D24" s="22">
        <f>B24*C24</f>
        <v>3</v>
      </c>
      <c r="E24" s="73">
        <f t="shared" si="6"/>
        <v>15000</v>
      </c>
      <c r="F24" s="126">
        <f>VLOOKUP($B$3,'Data for Bill Impacts'!$A$3:$Y$15,23,0)</f>
        <v>2.0000000000000001E-4</v>
      </c>
      <c r="G24" s="22">
        <f>E24*F24</f>
        <v>3</v>
      </c>
      <c r="H24" s="22">
        <f t="shared" si="1"/>
        <v>0</v>
      </c>
      <c r="I24" s="23">
        <f>IF(ISERROR(H24/D24),0,(H24/D24))</f>
        <v>0</v>
      </c>
      <c r="J24" s="23">
        <f t="shared" ref="J24" si="9">G24/$G$46</f>
        <v>8.5399312213410496E-4</v>
      </c>
      <c r="K24" s="108">
        <f t="shared" si="4"/>
        <v>8.9253943228947649E-4</v>
      </c>
    </row>
    <row r="25" spans="1:11" s="1" customFormat="1" x14ac:dyDescent="0.2">
      <c r="A25" s="110" t="s">
        <v>72</v>
      </c>
      <c r="B25" s="74"/>
      <c r="C25" s="35"/>
      <c r="D25" s="35">
        <f>SUM(D19:D24)</f>
        <v>954.26</v>
      </c>
      <c r="E25" s="73"/>
      <c r="F25" s="35"/>
      <c r="G25" s="35">
        <f>SUM(G19:G24)</f>
        <v>984.91</v>
      </c>
      <c r="H25" s="35">
        <f t="shared" si="1"/>
        <v>30.649999999999977</v>
      </c>
      <c r="I25" s="36">
        <f t="shared" si="2"/>
        <v>3.2119128958564731E-2</v>
      </c>
      <c r="J25" s="36">
        <f>G25/$G$46</f>
        <v>0.28036878864036707</v>
      </c>
      <c r="K25" s="111">
        <f t="shared" si="4"/>
        <v>0.29302367075207608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2.248848554953143E-4</v>
      </c>
      <c r="K26" s="108">
        <f t="shared" si="4"/>
        <v>2.3503538383622883E-4</v>
      </c>
    </row>
    <row r="27" spans="1:11" s="1" customFormat="1" x14ac:dyDescent="0.2">
      <c r="A27" s="119" t="s">
        <v>75</v>
      </c>
      <c r="B27" s="120">
        <f>B8-B4</f>
        <v>1440</v>
      </c>
      <c r="C27" s="121">
        <f>IF(B4&gt;B7,C13,C12)</f>
        <v>0.121</v>
      </c>
      <c r="D27" s="22">
        <f>B27*C27</f>
        <v>174.24</v>
      </c>
      <c r="E27" s="73">
        <f>B27</f>
        <v>1440</v>
      </c>
      <c r="F27" s="121">
        <f>C27</f>
        <v>0.121</v>
      </c>
      <c r="G27" s="22">
        <f>E27*F27</f>
        <v>174.24</v>
      </c>
      <c r="H27" s="22">
        <f t="shared" si="1"/>
        <v>0</v>
      </c>
      <c r="I27" s="23">
        <f>IF(ISERROR(H27/D27),0,(H27/D27))</f>
        <v>0</v>
      </c>
      <c r="J27" s="23">
        <f t="shared" ref="J27:J46" si="10">G27/$G$46</f>
        <v>4.9599920533548815E-2</v>
      </c>
      <c r="K27" s="108">
        <f t="shared" ref="K27:K41" si="11">G27/$G$51</f>
        <v>5.1838690227372801E-2</v>
      </c>
    </row>
    <row r="28" spans="1:11" s="1" customFormat="1" x14ac:dyDescent="0.2">
      <c r="A28" s="119" t="s">
        <v>74</v>
      </c>
      <c r="B28" s="120">
        <f>B8-B4</f>
        <v>1440</v>
      </c>
      <c r="C28" s="121">
        <f>0.65*C15+0.17*C16+0.18*C17</f>
        <v>0.11139</v>
      </c>
      <c r="D28" s="22">
        <f>B28*C28</f>
        <v>160.4016</v>
      </c>
      <c r="E28" s="73">
        <f>B28</f>
        <v>1440</v>
      </c>
      <c r="F28" s="121">
        <f>C28</f>
        <v>0.11139</v>
      </c>
      <c r="G28" s="22">
        <f>E28*F28</f>
        <v>160.4016</v>
      </c>
      <c r="H28" s="22">
        <f t="shared" si="1"/>
        <v>0</v>
      </c>
      <c r="I28" s="23">
        <f>IF(ISERROR(H28/D28),0,(H28/D28))</f>
        <v>0</v>
      </c>
      <c r="J28" s="23">
        <f t="shared" si="10"/>
        <v>4.5660621059768612E-2</v>
      </c>
      <c r="K28" s="108">
        <f t="shared" si="11"/>
        <v>4.7721584334107899E-2</v>
      </c>
    </row>
    <row r="29" spans="1:11" s="1" customFormat="1" x14ac:dyDescent="0.2">
      <c r="A29" s="110" t="s">
        <v>78</v>
      </c>
      <c r="B29" s="74"/>
      <c r="C29" s="35"/>
      <c r="D29" s="35">
        <f>SUM(D25,D26:D27)</f>
        <v>1129.29</v>
      </c>
      <c r="E29" s="73"/>
      <c r="F29" s="35"/>
      <c r="G29" s="35">
        <f>SUM(G25,G26:G27)</f>
        <v>1159.94</v>
      </c>
      <c r="H29" s="35">
        <f t="shared" si="1"/>
        <v>30.650000000000091</v>
      </c>
      <c r="I29" s="36">
        <f>IF(ISERROR(H29/D29),0,(H29/D29))</f>
        <v>2.7140946966678261E-2</v>
      </c>
      <c r="J29" s="36">
        <f t="shared" si="10"/>
        <v>0.33019359402941123</v>
      </c>
      <c r="K29" s="111">
        <f t="shared" si="11"/>
        <v>0.34509739636328512</v>
      </c>
    </row>
    <row r="30" spans="1:11" s="1" customFormat="1" x14ac:dyDescent="0.2">
      <c r="A30" s="110" t="s">
        <v>77</v>
      </c>
      <c r="B30" s="74"/>
      <c r="C30" s="35"/>
      <c r="D30" s="35">
        <f>SUM(D25,D26,D28)</f>
        <v>1115.4515999999999</v>
      </c>
      <c r="E30" s="73"/>
      <c r="F30" s="35"/>
      <c r="G30" s="35">
        <f>SUM(G25,G26,G28)</f>
        <v>1146.1016</v>
      </c>
      <c r="H30" s="35">
        <f t="shared" si="1"/>
        <v>30.650000000000091</v>
      </c>
      <c r="I30" s="36">
        <f>IF(ISERROR(H30/D30),0,(H30/D30))</f>
        <v>2.7477660169208683E-2</v>
      </c>
      <c r="J30" s="36">
        <f t="shared" si="10"/>
        <v>0.32625429455563099</v>
      </c>
      <c r="K30" s="111">
        <f t="shared" si="11"/>
        <v>0.34098029047002021</v>
      </c>
    </row>
    <row r="31" spans="1:11" x14ac:dyDescent="0.2">
      <c r="A31" s="107" t="s">
        <v>40</v>
      </c>
      <c r="B31" s="73">
        <f>B8</f>
        <v>16440</v>
      </c>
      <c r="C31" s="126">
        <f>VLOOKUP($B$3,'Data for Bill Impacts'!$A$3:$Y$15,15,0)</f>
        <v>5.6930000000000001E-3</v>
      </c>
      <c r="D31" s="22">
        <f>B31*C31</f>
        <v>93.592920000000007</v>
      </c>
      <c r="E31" s="73">
        <f t="shared" si="6"/>
        <v>16440</v>
      </c>
      <c r="F31" s="126">
        <f>VLOOKUP($B$3,'Data for Bill Impacts'!$A$3:$Y$15,24,0)</f>
        <v>5.6930000000000001E-3</v>
      </c>
      <c r="G31" s="22">
        <f>E31*F31</f>
        <v>93.592920000000007</v>
      </c>
      <c r="H31" s="22">
        <f t="shared" si="1"/>
        <v>0</v>
      </c>
      <c r="I31" s="23">
        <f t="shared" si="2"/>
        <v>0</v>
      </c>
      <c r="J31" s="23">
        <f t="shared" si="10"/>
        <v>2.6642569986815839E-2</v>
      </c>
      <c r="K31" s="108">
        <f t="shared" si="11"/>
        <v>2.7845123894371465E-2</v>
      </c>
    </row>
    <row r="32" spans="1:11" x14ac:dyDescent="0.2">
      <c r="A32" s="107" t="s">
        <v>41</v>
      </c>
      <c r="B32" s="73">
        <f>B8</f>
        <v>16440</v>
      </c>
      <c r="C32" s="126">
        <f>VLOOKUP($B$3,'Data for Bill Impacts'!$A$3:$Y$15,16,0)</f>
        <v>4.4740000000000005E-3</v>
      </c>
      <c r="D32" s="22">
        <f>B32*C32</f>
        <v>73.552560000000014</v>
      </c>
      <c r="E32" s="73">
        <f t="shared" si="6"/>
        <v>16440</v>
      </c>
      <c r="F32" s="126">
        <f>VLOOKUP($B$3,'Data for Bill Impacts'!$A$3:$Y$15,25,0)</f>
        <v>4.4740000000000005E-3</v>
      </c>
      <c r="G32" s="22">
        <f>E32*F32</f>
        <v>73.552560000000014</v>
      </c>
      <c r="H32" s="22">
        <f t="shared" si="1"/>
        <v>0</v>
      </c>
      <c r="I32" s="23">
        <f t="shared" si="2"/>
        <v>0</v>
      </c>
      <c r="J32" s="23">
        <f t="shared" si="10"/>
        <v>2.0937793451785366E-2</v>
      </c>
      <c r="K32" s="108">
        <f t="shared" si="11"/>
        <v>2.1882853381945889E-2</v>
      </c>
    </row>
    <row r="33" spans="1:11" s="1" customFormat="1" x14ac:dyDescent="0.2">
      <c r="A33" s="110" t="s">
        <v>76</v>
      </c>
      <c r="B33" s="74"/>
      <c r="C33" s="35"/>
      <c r="D33" s="35">
        <f>SUM(D31:D32)</f>
        <v>167.14548000000002</v>
      </c>
      <c r="E33" s="73"/>
      <c r="F33" s="35"/>
      <c r="G33" s="35">
        <f>SUM(G31:G32)</f>
        <v>167.14548000000002</v>
      </c>
      <c r="H33" s="35">
        <f t="shared" si="1"/>
        <v>0</v>
      </c>
      <c r="I33" s="36">
        <f t="shared" si="2"/>
        <v>0</v>
      </c>
      <c r="J33" s="36">
        <f t="shared" si="10"/>
        <v>4.7580363438601204E-2</v>
      </c>
      <c r="K33" s="111">
        <f t="shared" si="11"/>
        <v>4.9727977276317357E-2</v>
      </c>
    </row>
    <row r="34" spans="1:11" s="1" customFormat="1" x14ac:dyDescent="0.2">
      <c r="A34" s="110" t="s">
        <v>91</v>
      </c>
      <c r="B34" s="74"/>
      <c r="C34" s="35"/>
      <c r="D34" s="35">
        <f>D29+D33</f>
        <v>1296.4354800000001</v>
      </c>
      <c r="E34" s="73"/>
      <c r="F34" s="35"/>
      <c r="G34" s="35">
        <f>G29+G33</f>
        <v>1327.0854800000002</v>
      </c>
      <c r="H34" s="35">
        <f t="shared" si="1"/>
        <v>30.650000000000091</v>
      </c>
      <c r="I34" s="36">
        <f t="shared" si="2"/>
        <v>2.3641747293124134E-2</v>
      </c>
      <c r="J34" s="36">
        <f t="shared" si="10"/>
        <v>0.37777395746801246</v>
      </c>
      <c r="K34" s="111">
        <f t="shared" si="11"/>
        <v>0.39482537363960252</v>
      </c>
    </row>
    <row r="35" spans="1:11" s="1" customFormat="1" x14ac:dyDescent="0.2">
      <c r="A35" s="110" t="s">
        <v>92</v>
      </c>
      <c r="B35" s="74"/>
      <c r="C35" s="35"/>
      <c r="D35" s="35">
        <f>D30+D33</f>
        <v>1282.59708</v>
      </c>
      <c r="E35" s="73"/>
      <c r="F35" s="35"/>
      <c r="G35" s="35">
        <f>G30+G33</f>
        <v>1313.2470800000001</v>
      </c>
      <c r="H35" s="35">
        <f t="shared" si="1"/>
        <v>30.650000000000091</v>
      </c>
      <c r="I35" s="36">
        <f t="shared" si="2"/>
        <v>2.3896826585633652E-2</v>
      </c>
      <c r="J35" s="36">
        <f t="shared" si="10"/>
        <v>0.37383465799423227</v>
      </c>
      <c r="K35" s="111">
        <f t="shared" si="11"/>
        <v>0.3907082677463376</v>
      </c>
    </row>
    <row r="36" spans="1:11" x14ac:dyDescent="0.2">
      <c r="A36" s="107" t="s">
        <v>42</v>
      </c>
      <c r="B36" s="73">
        <f>B8</f>
        <v>16440</v>
      </c>
      <c r="C36" s="34">
        <v>3.5999999999999999E-3</v>
      </c>
      <c r="D36" s="22">
        <f>B36*C36</f>
        <v>59.183999999999997</v>
      </c>
      <c r="E36" s="73">
        <f t="shared" si="6"/>
        <v>16440</v>
      </c>
      <c r="F36" s="34">
        <v>3.5999999999999999E-3</v>
      </c>
      <c r="G36" s="22">
        <f>E36*F36</f>
        <v>59.183999999999997</v>
      </c>
      <c r="H36" s="22">
        <f t="shared" si="1"/>
        <v>0</v>
      </c>
      <c r="I36" s="23">
        <f t="shared" si="2"/>
        <v>0</v>
      </c>
      <c r="J36" s="23">
        <f t="shared" si="10"/>
        <v>1.6847576313461621E-2</v>
      </c>
      <c r="K36" s="108">
        <f t="shared" si="11"/>
        <v>1.7608017920206793E-2</v>
      </c>
    </row>
    <row r="37" spans="1:11" x14ac:dyDescent="0.2">
      <c r="A37" s="107" t="s">
        <v>43</v>
      </c>
      <c r="B37" s="73">
        <f>B8</f>
        <v>16440</v>
      </c>
      <c r="C37" s="34">
        <v>2.0999999999999999E-3</v>
      </c>
      <c r="D37" s="22">
        <f>B37*C37</f>
        <v>34.524000000000001</v>
      </c>
      <c r="E37" s="73">
        <f t="shared" si="6"/>
        <v>16440</v>
      </c>
      <c r="F37" s="34">
        <v>2.0999999999999999E-3</v>
      </c>
      <c r="G37" s="22">
        <f>E37*F37</f>
        <v>34.524000000000001</v>
      </c>
      <c r="H37" s="22">
        <f>G37-D37</f>
        <v>0</v>
      </c>
      <c r="I37" s="23">
        <f t="shared" si="2"/>
        <v>0</v>
      </c>
      <c r="J37" s="23">
        <f t="shared" si="10"/>
        <v>9.8277528495192799E-3</v>
      </c>
      <c r="K37" s="108">
        <f t="shared" si="11"/>
        <v>1.0271343786787296E-2</v>
      </c>
    </row>
    <row r="38" spans="1:11" x14ac:dyDescent="0.2">
      <c r="A38" s="107" t="s">
        <v>96</v>
      </c>
      <c r="B38" s="73">
        <f>B8</f>
        <v>16440</v>
      </c>
      <c r="C38" s="34">
        <v>1.1000000000000001E-3</v>
      </c>
      <c r="D38" s="22">
        <f>B38*C38</f>
        <v>18.084</v>
      </c>
      <c r="E38" s="73">
        <f t="shared" si="6"/>
        <v>16440</v>
      </c>
      <c r="F38" s="34">
        <v>1.1000000000000001E-3</v>
      </c>
      <c r="G38" s="22">
        <f>E38*F38</f>
        <v>18.084</v>
      </c>
      <c r="H38" s="22">
        <f>G38-D38</f>
        <v>0</v>
      </c>
      <c r="I38" s="23">
        <f t="shared" ref="I38" si="12">IF(ISERROR(H38/D38),0,(H38/D38))</f>
        <v>0</v>
      </c>
      <c r="J38" s="23">
        <f t="shared" ref="J38" si="13">G38/$G$46</f>
        <v>5.147870540224384E-3</v>
      </c>
      <c r="K38" s="108">
        <f t="shared" ref="K38" si="14">G38/$G$51</f>
        <v>5.3802276978409643E-3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7.1166093511175409E-5</v>
      </c>
      <c r="K39" s="108">
        <f t="shared" si="11"/>
        <v>7.4378286024123045E-5</v>
      </c>
    </row>
    <row r="40" spans="1:11" s="1" customFormat="1" x14ac:dyDescent="0.2">
      <c r="A40" s="110" t="s">
        <v>45</v>
      </c>
      <c r="B40" s="74"/>
      <c r="C40" s="35"/>
      <c r="D40" s="35">
        <f>SUM(D36:D39)</f>
        <v>112.042</v>
      </c>
      <c r="E40" s="73"/>
      <c r="F40" s="35"/>
      <c r="G40" s="35">
        <f>SUM(G36:G39)</f>
        <v>112.042</v>
      </c>
      <c r="H40" s="35">
        <f t="shared" si="1"/>
        <v>0</v>
      </c>
      <c r="I40" s="36">
        <f t="shared" si="2"/>
        <v>0</v>
      </c>
      <c r="J40" s="36">
        <f t="shared" si="10"/>
        <v>3.1894365796716465E-2</v>
      </c>
      <c r="K40" s="111">
        <f t="shared" si="11"/>
        <v>3.3333967690859174E-2</v>
      </c>
    </row>
    <row r="41" spans="1:11" s="1" customFormat="1" ht="13.5" thickBot="1" x14ac:dyDescent="0.25">
      <c r="A41" s="112" t="s">
        <v>46</v>
      </c>
      <c r="B41" s="113">
        <f>B4</f>
        <v>15000</v>
      </c>
      <c r="C41" s="114">
        <v>7.0000000000000001E-3</v>
      </c>
      <c r="D41" s="115">
        <f>B41*C41</f>
        <v>105</v>
      </c>
      <c r="E41" s="116">
        <f t="shared" si="6"/>
        <v>15000</v>
      </c>
      <c r="F41" s="114">
        <f>C41</f>
        <v>7.0000000000000001E-3</v>
      </c>
      <c r="G41" s="115">
        <f>E41*F41</f>
        <v>105</v>
      </c>
      <c r="H41" s="115">
        <f t="shared" si="1"/>
        <v>0</v>
      </c>
      <c r="I41" s="117">
        <f t="shared" si="2"/>
        <v>0</v>
      </c>
      <c r="J41" s="117">
        <f t="shared" si="10"/>
        <v>2.9889759274693672E-2</v>
      </c>
      <c r="K41" s="118">
        <f t="shared" si="11"/>
        <v>3.1238880130131676E-2</v>
      </c>
    </row>
    <row r="42" spans="1:11" s="1" customFormat="1" x14ac:dyDescent="0.2">
      <c r="A42" s="37" t="s">
        <v>101</v>
      </c>
      <c r="B42" s="38"/>
      <c r="C42" s="39"/>
      <c r="D42" s="39">
        <f>SUM(D14,D25,D26,D27,D33,D40,D41)</f>
        <v>3314.97748</v>
      </c>
      <c r="E42" s="38"/>
      <c r="F42" s="39"/>
      <c r="G42" s="39">
        <f>SUM(G14,G25,G26,G27,G33,G40,G41)</f>
        <v>3345.6274799999997</v>
      </c>
      <c r="H42" s="39">
        <f t="shared" si="1"/>
        <v>30.649999999999636</v>
      </c>
      <c r="I42" s="40">
        <f>IF(ISERROR(H42/D42),0,(H42/D42))</f>
        <v>9.2459149978900111E-3</v>
      </c>
      <c r="J42" s="40">
        <f t="shared" si="10"/>
        <v>0.95238095238095244</v>
      </c>
      <c r="K42" s="41"/>
    </row>
    <row r="43" spans="1:11" x14ac:dyDescent="0.2">
      <c r="A43" s="154" t="s">
        <v>102</v>
      </c>
      <c r="B43" s="43"/>
      <c r="C43" s="26">
        <v>0.13</v>
      </c>
      <c r="D43" s="26">
        <f>D42*C43</f>
        <v>430.94707240000002</v>
      </c>
      <c r="E43" s="26"/>
      <c r="F43" s="26">
        <f>C43</f>
        <v>0.13</v>
      </c>
      <c r="G43" s="26">
        <f>G42*F43</f>
        <v>434.93157239999999</v>
      </c>
      <c r="H43" s="26">
        <f t="shared" si="1"/>
        <v>3.9844999999999686</v>
      </c>
      <c r="I43" s="44">
        <f t="shared" si="2"/>
        <v>9.2459149978900475E-3</v>
      </c>
      <c r="J43" s="44">
        <f t="shared" si="10"/>
        <v>0.12380952380952383</v>
      </c>
      <c r="K43" s="45"/>
    </row>
    <row r="44" spans="1:11" s="1" customFormat="1" x14ac:dyDescent="0.2">
      <c r="A44" s="46" t="s">
        <v>103</v>
      </c>
      <c r="B44" s="24"/>
      <c r="C44" s="25"/>
      <c r="D44" s="25">
        <f>SUM(D42:D43)</f>
        <v>3745.9245523999998</v>
      </c>
      <c r="E44" s="25"/>
      <c r="F44" s="25"/>
      <c r="G44" s="25">
        <f>SUM(G42:G43)</f>
        <v>3780.5590523999995</v>
      </c>
      <c r="H44" s="25">
        <f t="shared" si="1"/>
        <v>34.634499999999662</v>
      </c>
      <c r="I44" s="27">
        <f t="shared" si="2"/>
        <v>9.2459149978900319E-3</v>
      </c>
      <c r="J44" s="27">
        <f t="shared" si="10"/>
        <v>1.0761904761904761</v>
      </c>
      <c r="K44" s="47"/>
    </row>
    <row r="45" spans="1:11" x14ac:dyDescent="0.2">
      <c r="A45" s="42" t="s">
        <v>104</v>
      </c>
      <c r="B45" s="43"/>
      <c r="C45" s="26">
        <v>-0.08</v>
      </c>
      <c r="D45" s="26">
        <f>D42*C45</f>
        <v>-265.19819840000002</v>
      </c>
      <c r="E45" s="26"/>
      <c r="F45" s="26">
        <f>C45</f>
        <v>-0.08</v>
      </c>
      <c r="G45" s="26">
        <f>G42*F45</f>
        <v>-267.65019839999997</v>
      </c>
      <c r="H45" s="26">
        <f t="shared" si="1"/>
        <v>-2.4519999999999413</v>
      </c>
      <c r="I45" s="44">
        <f t="shared" si="2"/>
        <v>9.2459149978899001E-3</v>
      </c>
      <c r="J45" s="44">
        <f t="shared" si="10"/>
        <v>-7.6190476190476197E-2</v>
      </c>
      <c r="K45" s="45"/>
    </row>
    <row r="46" spans="1:11" s="1" customFormat="1" ht="13.5" thickBot="1" x14ac:dyDescent="0.25">
      <c r="A46" s="48" t="s">
        <v>105</v>
      </c>
      <c r="B46" s="49"/>
      <c r="C46" s="50"/>
      <c r="D46" s="50">
        <f>SUM(D44:D45)</f>
        <v>3480.7263539999999</v>
      </c>
      <c r="E46" s="50"/>
      <c r="F46" s="50"/>
      <c r="G46" s="50">
        <f>SUM(G44:G45)</f>
        <v>3512.9088539999993</v>
      </c>
      <c r="H46" s="50">
        <f t="shared" si="1"/>
        <v>32.182499999999436</v>
      </c>
      <c r="I46" s="51">
        <f t="shared" si="2"/>
        <v>9.2459149978899591E-3</v>
      </c>
      <c r="J46" s="51">
        <f t="shared" si="10"/>
        <v>1</v>
      </c>
      <c r="K46" s="52"/>
    </row>
    <row r="47" spans="1:11" x14ac:dyDescent="0.2">
      <c r="A47" s="53" t="s">
        <v>106</v>
      </c>
      <c r="B47" s="54"/>
      <c r="C47" s="55"/>
      <c r="D47" s="55">
        <f>SUM(D18,D25,D26,D28,D33,D40,D41)</f>
        <v>3170.4890799999998</v>
      </c>
      <c r="E47" s="55"/>
      <c r="F47" s="55"/>
      <c r="G47" s="55">
        <f>SUM(G18,G25,G26,G28,G33,G40,G41)</f>
        <v>3201.1390799999999</v>
      </c>
      <c r="H47" s="55">
        <f>G47-D47</f>
        <v>30.650000000000091</v>
      </c>
      <c r="I47" s="56">
        <f>IF(ISERROR(H47/D47),0,(H47/D47))</f>
        <v>9.6672782105908066E-3</v>
      </c>
      <c r="J47" s="56"/>
      <c r="K47" s="57">
        <f>G47/$G$51</f>
        <v>0.95238095238095233</v>
      </c>
    </row>
    <row r="48" spans="1:11" x14ac:dyDescent="0.2">
      <c r="A48" s="58" t="s">
        <v>102</v>
      </c>
      <c r="B48" s="59"/>
      <c r="C48" s="31">
        <v>0.13</v>
      </c>
      <c r="D48" s="31">
        <f>D47*C48</f>
        <v>412.1635804</v>
      </c>
      <c r="E48" s="31"/>
      <c r="F48" s="31">
        <f>C48</f>
        <v>0.13</v>
      </c>
      <c r="G48" s="31">
        <f>G47*F48</f>
        <v>416.14808040000003</v>
      </c>
      <c r="H48" s="31">
        <f>G48-D48</f>
        <v>3.9845000000000255</v>
      </c>
      <c r="I48" s="32">
        <f>IF(ISERROR(H48/D48),0,(H48/D48))</f>
        <v>9.6672782105908395E-3</v>
      </c>
      <c r="J48" s="32"/>
      <c r="K48" s="60">
        <f>G48/$G$51</f>
        <v>0.12380952380952381</v>
      </c>
    </row>
    <row r="49" spans="1:11" x14ac:dyDescent="0.2">
      <c r="A49" s="150" t="s">
        <v>107</v>
      </c>
      <c r="B49" s="29"/>
      <c r="C49" s="30"/>
      <c r="D49" s="30">
        <f>SUM(D47:D48)</f>
        <v>3582.6526604000001</v>
      </c>
      <c r="E49" s="30"/>
      <c r="F49" s="30"/>
      <c r="G49" s="30">
        <f>SUM(G47:G48)</f>
        <v>3617.2871604000002</v>
      </c>
      <c r="H49" s="30">
        <f>G49-D49</f>
        <v>34.634500000000116</v>
      </c>
      <c r="I49" s="33">
        <f>IF(ISERROR(H49/D49),0,(H49/D49))</f>
        <v>9.6672782105908101E-3</v>
      </c>
      <c r="J49" s="33"/>
      <c r="K49" s="62">
        <f>G49/$G$51</f>
        <v>1.0761904761904761</v>
      </c>
    </row>
    <row r="50" spans="1:11" x14ac:dyDescent="0.2">
      <c r="A50" s="58" t="s">
        <v>104</v>
      </c>
      <c r="B50" s="59"/>
      <c r="C50" s="31">
        <v>-0.08</v>
      </c>
      <c r="D50" s="31">
        <f>D47*C50</f>
        <v>-253.63912639999998</v>
      </c>
      <c r="E50" s="31"/>
      <c r="F50" s="31">
        <f>C50</f>
        <v>-0.08</v>
      </c>
      <c r="G50" s="31">
        <f>G47*F50</f>
        <v>-256.09112640000001</v>
      </c>
      <c r="H50" s="31">
        <f>G50-D50</f>
        <v>-2.4520000000000266</v>
      </c>
      <c r="I50" s="32">
        <f>IF(ISERROR(H50/D50),0,(H50/D50))</f>
        <v>9.6672782105908829E-3</v>
      </c>
      <c r="J50" s="32"/>
      <c r="K50" s="60">
        <f>G50/$G$51</f>
        <v>-7.6190476190476197E-2</v>
      </c>
    </row>
    <row r="51" spans="1:11" ht="13.5" thickBot="1" x14ac:dyDescent="0.25">
      <c r="A51" s="63" t="s">
        <v>116</v>
      </c>
      <c r="B51" s="64"/>
      <c r="C51" s="65"/>
      <c r="D51" s="65">
        <f>SUM(D49:D50)</f>
        <v>3329.0135340000002</v>
      </c>
      <c r="E51" s="65"/>
      <c r="F51" s="65"/>
      <c r="G51" s="65">
        <f>SUM(G49:G50)</f>
        <v>3361.1960340000001</v>
      </c>
      <c r="H51" s="65">
        <f>G51-D51</f>
        <v>32.182499999999891</v>
      </c>
      <c r="I51" s="66">
        <f>IF(ISERROR(H51/D51),0,(H51/D51))</f>
        <v>9.6672782105907441E-3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9" fitToHeight="0" orientation="landscape" r:id="rId1"/>
  <headerFooter>
    <oddHeader>&amp;RFiled: 2017-03-31
EB-2017-0049
Exhibit H1-4-1
Attachment 3
Page &amp;P of &amp;N</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theme="1" tint="0.499984740745262"/>
    <pageSetUpPr fitToPage="1"/>
  </sheetPr>
  <dimension ref="A1:J43"/>
  <sheetViews>
    <sheetView tabSelected="1" view="pageBreakPreview" topLeftCell="A12" zoomScaleNormal="100" zoomScaleSheetLayoutView="100" workbookViewId="0">
      <selection activeCell="C3" sqref="C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117</v>
      </c>
      <c r="B1" s="188"/>
      <c r="C1" s="188"/>
      <c r="D1" s="188"/>
      <c r="E1" s="188"/>
      <c r="F1" s="188"/>
      <c r="G1" s="188"/>
      <c r="H1" s="188"/>
      <c r="I1" s="188"/>
      <c r="J1" s="189"/>
    </row>
    <row r="3" spans="1:10" x14ac:dyDescent="0.2">
      <c r="A3" s="13" t="s">
        <v>13</v>
      </c>
      <c r="B3" s="13" t="s">
        <v>7</v>
      </c>
    </row>
    <row r="4" spans="1:10" x14ac:dyDescent="0.2">
      <c r="A4" s="15" t="s">
        <v>62</v>
      </c>
      <c r="B4" s="79">
        <v>15000</v>
      </c>
    </row>
    <row r="5" spans="1:10" x14ac:dyDescent="0.2">
      <c r="A5" s="15" t="s">
        <v>16</v>
      </c>
      <c r="B5" s="79">
        <v>60</v>
      </c>
    </row>
    <row r="6" spans="1:10" x14ac:dyDescent="0.2">
      <c r="A6" s="15" t="s">
        <v>20</v>
      </c>
      <c r="B6" s="80">
        <f>VLOOKUP($B$3,'Data for Bill Impacts'!$A$3:$Y$15,2,0)</f>
        <v>1.05</v>
      </c>
    </row>
    <row r="7" spans="1:10" x14ac:dyDescent="0.2">
      <c r="A7" s="81" t="s">
        <v>48</v>
      </c>
      <c r="B7" s="82">
        <f>B4/(B5*730)</f>
        <v>0.34246575342465752</v>
      </c>
    </row>
    <row r="8" spans="1:10" x14ac:dyDescent="0.2">
      <c r="A8" s="15" t="s">
        <v>15</v>
      </c>
      <c r="B8" s="79">
        <f>VLOOKUP($B$3,'Data for Bill Impacts'!$A$3:$Y$15,4,0)</f>
        <v>0</v>
      </c>
    </row>
    <row r="9" spans="1:10" x14ac:dyDescent="0.2">
      <c r="A9" s="15" t="s">
        <v>82</v>
      </c>
      <c r="B9" s="79">
        <f>B4*B6</f>
        <v>15750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15750</v>
      </c>
      <c r="C13" s="103">
        <v>0.10299999999999999</v>
      </c>
      <c r="D13" s="104">
        <f>B13*C13</f>
        <v>1622.25</v>
      </c>
      <c r="E13" s="102">
        <f>B13</f>
        <v>15750</v>
      </c>
      <c r="F13" s="103">
        <f>C13</f>
        <v>0.10299999999999999</v>
      </c>
      <c r="G13" s="104">
        <f>E13*F13</f>
        <v>1622.25</v>
      </c>
      <c r="H13" s="104">
        <f>G13-D13</f>
        <v>0</v>
      </c>
      <c r="I13" s="105">
        <f>IF(ISERROR(H13/D13),0,(H13/D13))</f>
        <v>0</v>
      </c>
      <c r="J13" s="124">
        <f t="shared" ref="J13:J21" si="0">G13/$G$38</f>
        <v>0.50838869600051928</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1622.25</v>
      </c>
      <c r="E15" s="76"/>
      <c r="F15" s="25"/>
      <c r="G15" s="25">
        <f>SUM(G13:G14)</f>
        <v>1622.25</v>
      </c>
      <c r="H15" s="25">
        <f t="shared" si="2"/>
        <v>0</v>
      </c>
      <c r="I15" s="27">
        <f t="shared" si="3"/>
        <v>0</v>
      </c>
      <c r="J15" s="47">
        <f t="shared" si="0"/>
        <v>0.50838869600051928</v>
      </c>
    </row>
    <row r="16" spans="1:10" s="1" customFormat="1" x14ac:dyDescent="0.2">
      <c r="A16" s="107" t="s">
        <v>38</v>
      </c>
      <c r="B16" s="73">
        <v>1</v>
      </c>
      <c r="C16" s="78">
        <f>VLOOKUP($B$3,'Data for Bill Impacts'!$A$3:$Y$15,7,0)</f>
        <v>102.94</v>
      </c>
      <c r="D16" s="22">
        <f>B16*C16</f>
        <v>102.94</v>
      </c>
      <c r="E16" s="73">
        <f t="shared" ref="E16:E33" si="4">B16</f>
        <v>1</v>
      </c>
      <c r="F16" s="78">
        <f>VLOOKUP($B$3,'Data for Bill Impacts'!$A$3:$Y$15,17,0)</f>
        <v>105.1</v>
      </c>
      <c r="G16" s="22">
        <f>E16*F16</f>
        <v>105.1</v>
      </c>
      <c r="H16" s="22">
        <f t="shared" si="2"/>
        <v>2.1599999999999966</v>
      </c>
      <c r="I16" s="23">
        <f t="shared" si="3"/>
        <v>2.0983096949679394E-2</v>
      </c>
      <c r="J16" s="125">
        <f t="shared" si="0"/>
        <v>3.2936755709449574E-2</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x14ac:dyDescent="0.2">
      <c r="A19" s="107" t="s">
        <v>85</v>
      </c>
      <c r="B19" s="73">
        <v>1</v>
      </c>
      <c r="C19" s="78">
        <f>VLOOKUP($B$3,'Data for Bill Impacts'!$A$3:$Y$15,13,0)</f>
        <v>0.01</v>
      </c>
      <c r="D19" s="22">
        <f t="shared" si="6"/>
        <v>0.01</v>
      </c>
      <c r="E19" s="73">
        <f t="shared" si="4"/>
        <v>1</v>
      </c>
      <c r="F19" s="78">
        <f>VLOOKUP($B$3,'Data for Bill Impacts'!$A$3:$Y$15,22,0)</f>
        <v>0.01</v>
      </c>
      <c r="G19" s="22">
        <f t="shared" si="5"/>
        <v>0.01</v>
      </c>
      <c r="H19" s="22">
        <f t="shared" si="2"/>
        <v>0</v>
      </c>
      <c r="I19" s="23">
        <f t="shared" si="3"/>
        <v>0</v>
      </c>
      <c r="J19" s="125">
        <f t="shared" si="0"/>
        <v>3.1338492587487705E-6</v>
      </c>
    </row>
    <row r="20" spans="1:10" x14ac:dyDescent="0.2">
      <c r="A20" s="107" t="s">
        <v>39</v>
      </c>
      <c r="B20" s="73">
        <f>IF($B$10="kWh",$B$4,$B$5)</f>
        <v>60</v>
      </c>
      <c r="C20" s="78">
        <f>VLOOKUP($B$3,'Data for Bill Impacts'!$A$3:$Y$15,10,0)</f>
        <v>9.9375</v>
      </c>
      <c r="D20" s="22">
        <f>B20*C20</f>
        <v>596.25</v>
      </c>
      <c r="E20" s="73">
        <f t="shared" si="4"/>
        <v>60</v>
      </c>
      <c r="F20" s="126">
        <f>VLOOKUP($B$3,'Data for Bill Impacts'!$A$3:$Y$15,19,0)</f>
        <v>10.236800000000001</v>
      </c>
      <c r="G20" s="22">
        <f>E20*F20</f>
        <v>614.20800000000008</v>
      </c>
      <c r="H20" s="22">
        <f t="shared" si="2"/>
        <v>17.958000000000084</v>
      </c>
      <c r="I20" s="23">
        <f t="shared" si="3"/>
        <v>3.0118238993710831E-2</v>
      </c>
      <c r="J20" s="125">
        <f t="shared" si="0"/>
        <v>0.19248352855175652</v>
      </c>
    </row>
    <row r="21" spans="1:10" s="1" customFormat="1" x14ac:dyDescent="0.2">
      <c r="A21" s="107" t="s">
        <v>121</v>
      </c>
      <c r="B21" s="73">
        <f>IF($B$10="kWh",$B$4,$B$5)</f>
        <v>60</v>
      </c>
      <c r="C21" s="126">
        <f>VLOOKUP($B$3,'Data for Bill Impacts'!$A$3:$Y$15,14,0)</f>
        <v>6.4600000000000005E-2</v>
      </c>
      <c r="D21" s="22">
        <f>B21*C21</f>
        <v>3.8760000000000003</v>
      </c>
      <c r="E21" s="73">
        <f t="shared" si="4"/>
        <v>60</v>
      </c>
      <c r="F21" s="126">
        <f>VLOOKUP($B$3,'Data for Bill Impacts'!$A$3:$Y$15,23,0)</f>
        <v>6.4600000000000005E-2</v>
      </c>
      <c r="G21" s="22">
        <f>E21*F21</f>
        <v>3.8760000000000003</v>
      </c>
      <c r="H21" s="22">
        <f t="shared" si="2"/>
        <v>0</v>
      </c>
      <c r="I21" s="23">
        <f>IF(ISERROR(H21/D21),0,(H21/D21))</f>
        <v>0</v>
      </c>
      <c r="J21" s="125">
        <f t="shared" si="0"/>
        <v>1.2146799726910236E-3</v>
      </c>
    </row>
    <row r="22" spans="1:10" s="1" customFormat="1" x14ac:dyDescent="0.2">
      <c r="A22" s="107" t="s">
        <v>108</v>
      </c>
      <c r="B22" s="73">
        <f>B9</f>
        <v>15750</v>
      </c>
      <c r="C22" s="126">
        <f>VLOOKUP($B$3,'Data for Bill Impacts'!$A$3:$Y$15,20,0)</f>
        <v>1.9E-3</v>
      </c>
      <c r="D22" s="22">
        <f>B22*C22</f>
        <v>29.925000000000001</v>
      </c>
      <c r="E22" s="73">
        <f>B22</f>
        <v>15750</v>
      </c>
      <c r="F22" s="126">
        <f>VLOOKUP($B$3,'Data for Bill Impacts'!$A$3:$Y$15,21,0)</f>
        <v>1.9E-3</v>
      </c>
      <c r="G22" s="22">
        <f>E22*F22</f>
        <v>29.925000000000001</v>
      </c>
      <c r="H22" s="22">
        <f t="shared" ref="H22" si="7">G22-D22</f>
        <v>0</v>
      </c>
      <c r="I22" s="23">
        <f>IF(ISERROR(H22/D22),0,(H22/D22))</f>
        <v>0</v>
      </c>
      <c r="J22" s="125">
        <f t="shared" ref="J22" si="8">G22/$G$38</f>
        <v>9.3780439068056956E-3</v>
      </c>
    </row>
    <row r="23" spans="1:10" x14ac:dyDescent="0.2">
      <c r="A23" s="110" t="s">
        <v>93</v>
      </c>
      <c r="B23" s="74"/>
      <c r="C23" s="35"/>
      <c r="D23" s="35">
        <f>SUM(D16:D22)</f>
        <v>733.00099999999998</v>
      </c>
      <c r="E23" s="73"/>
      <c r="F23" s="35"/>
      <c r="G23" s="35">
        <f>SUM(G16:G22)</f>
        <v>753.11900000000003</v>
      </c>
      <c r="H23" s="35">
        <f t="shared" si="2"/>
        <v>20.118000000000052</v>
      </c>
      <c r="I23" s="36">
        <f t="shared" si="3"/>
        <v>2.7446074425546557E-2</v>
      </c>
      <c r="J23" s="111">
        <f t="shared" ref="J23:J29" si="9">G23/$G$38</f>
        <v>0.23601614198996154</v>
      </c>
    </row>
    <row r="24" spans="1:10" x14ac:dyDescent="0.2">
      <c r="A24" s="107" t="s">
        <v>40</v>
      </c>
      <c r="B24" s="73">
        <f>B5</f>
        <v>60</v>
      </c>
      <c r="C24" s="78">
        <f>VLOOKUP($B$3,'Data for Bill Impacts'!$A$3:$Y$15,15,0)</f>
        <v>2.2310400000000001</v>
      </c>
      <c r="D24" s="22">
        <f>B24*C24</f>
        <v>133.86240000000001</v>
      </c>
      <c r="E24" s="73">
        <f t="shared" si="4"/>
        <v>60</v>
      </c>
      <c r="F24" s="126">
        <f>VLOOKUP($B$3,'Data for Bill Impacts'!$A$3:$Y$15,24,0)</f>
        <v>2.2310400000000001</v>
      </c>
      <c r="G24" s="22">
        <f>E24*F24</f>
        <v>133.86240000000001</v>
      </c>
      <c r="H24" s="22">
        <f t="shared" si="2"/>
        <v>0</v>
      </c>
      <c r="I24" s="23">
        <f t="shared" si="3"/>
        <v>0</v>
      </c>
      <c r="J24" s="125">
        <f t="shared" si="9"/>
        <v>4.1950458301433145E-2</v>
      </c>
    </row>
    <row r="25" spans="1:10" s="1" customFormat="1" x14ac:dyDescent="0.2">
      <c r="A25" s="107" t="s">
        <v>41</v>
      </c>
      <c r="B25" s="73">
        <f>B5</f>
        <v>60</v>
      </c>
      <c r="C25" s="78">
        <f>VLOOKUP($B$3,'Data for Bill Impacts'!$A$3:$Y$15,16,0)</f>
        <v>1.7046749999999999</v>
      </c>
      <c r="D25" s="22">
        <f>B25*C25</f>
        <v>102.28049999999999</v>
      </c>
      <c r="E25" s="73">
        <f t="shared" si="4"/>
        <v>60</v>
      </c>
      <c r="F25" s="126">
        <f>VLOOKUP($B$3,'Data for Bill Impacts'!$A$3:$Y$15,25,0)</f>
        <v>1.7046749999999999</v>
      </c>
      <c r="G25" s="22">
        <f>E25*F25</f>
        <v>102.28049999999999</v>
      </c>
      <c r="H25" s="22">
        <f t="shared" si="2"/>
        <v>0</v>
      </c>
      <c r="I25" s="23">
        <f t="shared" si="3"/>
        <v>0</v>
      </c>
      <c r="J25" s="125">
        <f t="shared" si="9"/>
        <v>3.2053166910945355E-2</v>
      </c>
    </row>
    <row r="26" spans="1:10" x14ac:dyDescent="0.2">
      <c r="A26" s="110" t="s">
        <v>76</v>
      </c>
      <c r="B26" s="74"/>
      <c r="C26" s="35"/>
      <c r="D26" s="35">
        <f>SUM(D24:D25)</f>
        <v>236.1429</v>
      </c>
      <c r="E26" s="73"/>
      <c r="F26" s="35"/>
      <c r="G26" s="35">
        <f>SUM(G24:G25)</f>
        <v>236.1429</v>
      </c>
      <c r="H26" s="35">
        <f t="shared" si="2"/>
        <v>0</v>
      </c>
      <c r="I26" s="36">
        <f t="shared" si="3"/>
        <v>0</v>
      </c>
      <c r="J26" s="111">
        <f t="shared" si="9"/>
        <v>7.4003625212378507E-2</v>
      </c>
    </row>
    <row r="27" spans="1:10" s="1" customFormat="1" x14ac:dyDescent="0.2">
      <c r="A27" s="110" t="s">
        <v>80</v>
      </c>
      <c r="B27" s="74"/>
      <c r="C27" s="35"/>
      <c r="D27" s="35">
        <f>D23+D26</f>
        <v>969.14390000000003</v>
      </c>
      <c r="E27" s="73"/>
      <c r="F27" s="35"/>
      <c r="G27" s="35">
        <f>G23+G26</f>
        <v>989.26189999999997</v>
      </c>
      <c r="H27" s="35">
        <f t="shared" si="2"/>
        <v>20.117999999999938</v>
      </c>
      <c r="I27" s="36">
        <f t="shared" si="3"/>
        <v>2.0758527190853637E-2</v>
      </c>
      <c r="J27" s="111">
        <f t="shared" si="9"/>
        <v>0.31001976720234004</v>
      </c>
    </row>
    <row r="28" spans="1:10" x14ac:dyDescent="0.2">
      <c r="A28" s="107" t="s">
        <v>42</v>
      </c>
      <c r="B28" s="73">
        <f>B9</f>
        <v>15750</v>
      </c>
      <c r="C28" s="34">
        <v>3.5999999999999999E-3</v>
      </c>
      <c r="D28" s="22">
        <f>B28*C28</f>
        <v>56.699999999999996</v>
      </c>
      <c r="E28" s="73">
        <f t="shared" si="4"/>
        <v>15750</v>
      </c>
      <c r="F28" s="34">
        <v>3.5999999999999999E-3</v>
      </c>
      <c r="G28" s="22">
        <f>E28*F28</f>
        <v>56.699999999999996</v>
      </c>
      <c r="H28" s="22">
        <f t="shared" si="2"/>
        <v>0</v>
      </c>
      <c r="I28" s="23">
        <f t="shared" si="3"/>
        <v>0</v>
      </c>
      <c r="J28" s="125">
        <f t="shared" si="9"/>
        <v>1.7768925297105526E-2</v>
      </c>
    </row>
    <row r="29" spans="1:10" x14ac:dyDescent="0.2">
      <c r="A29" s="107" t="s">
        <v>43</v>
      </c>
      <c r="B29" s="73">
        <f>B9</f>
        <v>15750</v>
      </c>
      <c r="C29" s="34">
        <v>2.0999999999999999E-3</v>
      </c>
      <c r="D29" s="22">
        <f>B29*C29</f>
        <v>33.074999999999996</v>
      </c>
      <c r="E29" s="73">
        <f t="shared" si="4"/>
        <v>15750</v>
      </c>
      <c r="F29" s="34">
        <v>2.0999999999999999E-3</v>
      </c>
      <c r="G29" s="22">
        <f>E29*F29</f>
        <v>33.074999999999996</v>
      </c>
      <c r="H29" s="22">
        <f>G29-D29</f>
        <v>0</v>
      </c>
      <c r="I29" s="23">
        <f t="shared" si="3"/>
        <v>0</v>
      </c>
      <c r="J29" s="125">
        <f t="shared" si="9"/>
        <v>1.0365206423311558E-2</v>
      </c>
    </row>
    <row r="30" spans="1:10" x14ac:dyDescent="0.2">
      <c r="A30" s="107" t="s">
        <v>96</v>
      </c>
      <c r="B30" s="73">
        <f>B9</f>
        <v>15750</v>
      </c>
      <c r="C30" s="34">
        <v>1.1000000000000001E-3</v>
      </c>
      <c r="D30" s="22">
        <f>B30*C30</f>
        <v>17.324999999999999</v>
      </c>
      <c r="E30" s="73">
        <f t="shared" si="4"/>
        <v>15750</v>
      </c>
      <c r="F30" s="34">
        <v>1.1000000000000001E-3</v>
      </c>
      <c r="G30" s="22">
        <f>E30*F30</f>
        <v>17.324999999999999</v>
      </c>
      <c r="H30" s="22">
        <f>G30-D30</f>
        <v>0</v>
      </c>
      <c r="I30" s="23">
        <f t="shared" ref="I30" si="10">IF(ISERROR(H30/D30),0,(H30/D30))</f>
        <v>0</v>
      </c>
      <c r="J30" s="125">
        <f t="shared" ref="J30" si="11">G30/$G$38</f>
        <v>5.4293938407822444E-3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2">G31/$G$38</f>
        <v>7.8346231468719258E-5</v>
      </c>
    </row>
    <row r="32" spans="1:10" x14ac:dyDescent="0.2">
      <c r="A32" s="110" t="s">
        <v>45</v>
      </c>
      <c r="B32" s="74"/>
      <c r="C32" s="35"/>
      <c r="D32" s="35">
        <f>SUM(D28:D31)</f>
        <v>107.35</v>
      </c>
      <c r="E32" s="73"/>
      <c r="F32" s="35"/>
      <c r="G32" s="35">
        <f>SUM(G28:G31)</f>
        <v>107.35</v>
      </c>
      <c r="H32" s="35">
        <f t="shared" si="2"/>
        <v>0</v>
      </c>
      <c r="I32" s="36">
        <f t="shared" si="3"/>
        <v>0</v>
      </c>
      <c r="J32" s="111">
        <f t="shared" si="12"/>
        <v>3.3641871792668046E-2</v>
      </c>
    </row>
    <row r="33" spans="1:10" ht="13.5" thickBot="1" x14ac:dyDescent="0.25">
      <c r="A33" s="112" t="s">
        <v>46</v>
      </c>
      <c r="B33" s="113">
        <f>B4</f>
        <v>15000</v>
      </c>
      <c r="C33" s="114">
        <v>7.0000000000000001E-3</v>
      </c>
      <c r="D33" s="115">
        <f>B33*C33</f>
        <v>105</v>
      </c>
      <c r="E33" s="116">
        <f t="shared" si="4"/>
        <v>15000</v>
      </c>
      <c r="F33" s="114">
        <f>C33</f>
        <v>7.0000000000000001E-3</v>
      </c>
      <c r="G33" s="115">
        <f>E33*F33</f>
        <v>105</v>
      </c>
      <c r="H33" s="115">
        <f t="shared" si="2"/>
        <v>0</v>
      </c>
      <c r="I33" s="117">
        <f t="shared" si="3"/>
        <v>0</v>
      </c>
      <c r="J33" s="118">
        <f t="shared" si="12"/>
        <v>3.290541721686209E-2</v>
      </c>
    </row>
    <row r="34" spans="1:10" x14ac:dyDescent="0.2">
      <c r="A34" s="37" t="s">
        <v>111</v>
      </c>
      <c r="B34" s="38"/>
      <c r="C34" s="39"/>
      <c r="D34" s="39">
        <f>SUM(D15,D23,D26,D32,D33)</f>
        <v>2803.7438999999999</v>
      </c>
      <c r="E34" s="38"/>
      <c r="F34" s="39"/>
      <c r="G34" s="39">
        <f>SUM(G15,G23,G26,G32,G33)</f>
        <v>2823.8618999999999</v>
      </c>
      <c r="H34" s="39">
        <f t="shared" si="2"/>
        <v>20.117999999999938</v>
      </c>
      <c r="I34" s="40">
        <f>IF(ISERROR(H34/D34),0,(H34/D34))</f>
        <v>7.1754057137672017E-3</v>
      </c>
      <c r="J34" s="41">
        <f t="shared" si="12"/>
        <v>0.88495575221238942</v>
      </c>
    </row>
    <row r="35" spans="1:10" x14ac:dyDescent="0.2">
      <c r="A35" s="46" t="s">
        <v>102</v>
      </c>
      <c r="B35" s="43"/>
      <c r="C35" s="26">
        <v>0.13</v>
      </c>
      <c r="D35" s="26">
        <f>D34*C35</f>
        <v>364.48670700000002</v>
      </c>
      <c r="E35" s="26"/>
      <c r="F35" s="26">
        <f>C35</f>
        <v>0.13</v>
      </c>
      <c r="G35" s="26">
        <f>G34*F35</f>
        <v>367.10204699999997</v>
      </c>
      <c r="H35" s="26">
        <f t="shared" si="2"/>
        <v>2.6153399999999465</v>
      </c>
      <c r="I35" s="44">
        <f t="shared" ref="I35:I38" si="13">IF(ISERROR(H35/D35),0,(H35/D35))</f>
        <v>7.1754057137670768E-3</v>
      </c>
      <c r="J35" s="45">
        <f t="shared" si="12"/>
        <v>0.11504424778761062</v>
      </c>
    </row>
    <row r="36" spans="1:10" x14ac:dyDescent="0.2">
      <c r="A36" s="46" t="s">
        <v>103</v>
      </c>
      <c r="B36" s="24"/>
      <c r="C36" s="25"/>
      <c r="D36" s="25">
        <f>SUM(D34:D35)</f>
        <v>3168.230607</v>
      </c>
      <c r="E36" s="25"/>
      <c r="F36" s="25"/>
      <c r="G36" s="25">
        <f>SUM(G34:G35)</f>
        <v>3190.9639469999997</v>
      </c>
      <c r="H36" s="25">
        <f t="shared" si="2"/>
        <v>22.733339999999771</v>
      </c>
      <c r="I36" s="27">
        <f t="shared" si="13"/>
        <v>7.1754057137671514E-3</v>
      </c>
      <c r="J36" s="47">
        <f t="shared" si="12"/>
        <v>1</v>
      </c>
    </row>
    <row r="37" spans="1:10" x14ac:dyDescent="0.2">
      <c r="A37" s="46" t="s">
        <v>104</v>
      </c>
      <c r="B37" s="43"/>
      <c r="C37" s="26">
        <v>0</v>
      </c>
      <c r="D37" s="26">
        <f>D34*C37</f>
        <v>0</v>
      </c>
      <c r="E37" s="26"/>
      <c r="F37" s="26">
        <f>C37</f>
        <v>0</v>
      </c>
      <c r="G37" s="26">
        <f>G34*F37</f>
        <v>0</v>
      </c>
      <c r="H37" s="26">
        <f t="shared" si="2"/>
        <v>0</v>
      </c>
      <c r="I37" s="44">
        <f t="shared" si="13"/>
        <v>0</v>
      </c>
      <c r="J37" s="45">
        <f t="shared" si="12"/>
        <v>0</v>
      </c>
    </row>
    <row r="38" spans="1:10" ht="13.5" thickBot="1" x14ac:dyDescent="0.25">
      <c r="A38" s="46" t="s">
        <v>105</v>
      </c>
      <c r="B38" s="49"/>
      <c r="C38" s="50"/>
      <c r="D38" s="50">
        <f>SUM(D36:D37)</f>
        <v>3168.230607</v>
      </c>
      <c r="E38" s="50"/>
      <c r="F38" s="50"/>
      <c r="G38" s="50">
        <f>SUM(G36:G37)</f>
        <v>3190.9639469999997</v>
      </c>
      <c r="H38" s="50">
        <f t="shared" si="2"/>
        <v>22.733339999999771</v>
      </c>
      <c r="I38" s="51">
        <f t="shared" si="13"/>
        <v>7.1754057137671514E-3</v>
      </c>
      <c r="J38" s="52">
        <f t="shared" si="12"/>
        <v>1</v>
      </c>
    </row>
    <row r="39" spans="1:10" x14ac:dyDescent="0.2">
      <c r="A39" s="170"/>
      <c r="F39" s="69"/>
    </row>
    <row r="40" spans="1:10" x14ac:dyDescent="0.2">
      <c r="A40" s="171"/>
      <c r="F40" s="69"/>
    </row>
    <row r="41" spans="1:10" x14ac:dyDescent="0.2">
      <c r="A41" s="171"/>
    </row>
    <row r="42" spans="1:10" x14ac:dyDescent="0.2">
      <c r="A42" s="171"/>
    </row>
    <row r="43" spans="1:10" x14ac:dyDescent="0.2">
      <c r="A43" s="171"/>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1" tint="0.499984740745262"/>
    <pageSetUpPr fitToPage="1"/>
  </sheetPr>
  <dimension ref="A1:J43"/>
  <sheetViews>
    <sheetView tabSelected="1" view="pageBreakPreview" topLeftCell="A10" zoomScaleNormal="100" zoomScaleSheetLayoutView="100" workbookViewId="0">
      <selection activeCell="C3" sqref="C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119</v>
      </c>
      <c r="B1" s="188"/>
      <c r="C1" s="188"/>
      <c r="D1" s="188"/>
      <c r="E1" s="188"/>
      <c r="F1" s="188"/>
      <c r="G1" s="188"/>
      <c r="H1" s="188"/>
      <c r="I1" s="188"/>
      <c r="J1" s="189"/>
    </row>
    <row r="3" spans="1:10" x14ac:dyDescent="0.2">
      <c r="A3" s="13" t="s">
        <v>13</v>
      </c>
      <c r="B3" s="13" t="s">
        <v>7</v>
      </c>
    </row>
    <row r="4" spans="1:10" x14ac:dyDescent="0.2">
      <c r="A4" s="15" t="s">
        <v>62</v>
      </c>
      <c r="B4" s="79">
        <f>VLOOKUP(B3,'Data for Bill Impacts'!A19:D31,3,FALSE)</f>
        <v>50525</v>
      </c>
    </row>
    <row r="5" spans="1:10" x14ac:dyDescent="0.2">
      <c r="A5" s="15" t="s">
        <v>16</v>
      </c>
      <c r="B5" s="79">
        <f>VLOOKUP(B3,'Data for Bill Impacts'!A19:D31,4,FALSE)</f>
        <v>135</v>
      </c>
    </row>
    <row r="6" spans="1:10" x14ac:dyDescent="0.2">
      <c r="A6" s="15" t="s">
        <v>20</v>
      </c>
      <c r="B6" s="80">
        <f>VLOOKUP($B$3,'Data for Bill Impacts'!$A$3:$Y$15,2,0)</f>
        <v>1.05</v>
      </c>
    </row>
    <row r="7" spans="1:10" x14ac:dyDescent="0.2">
      <c r="A7" s="81" t="s">
        <v>48</v>
      </c>
      <c r="B7" s="82">
        <f>B4/(B5*730)</f>
        <v>0.51268391679350589</v>
      </c>
    </row>
    <row r="8" spans="1:10" x14ac:dyDescent="0.2">
      <c r="A8" s="15" t="s">
        <v>15</v>
      </c>
      <c r="B8" s="79">
        <f>VLOOKUP($B$3,'Data for Bill Impacts'!$A$3:$Y$15,4,0)</f>
        <v>0</v>
      </c>
    </row>
    <row r="9" spans="1:10" x14ac:dyDescent="0.2">
      <c r="A9" s="15" t="s">
        <v>82</v>
      </c>
      <c r="B9" s="79">
        <f>B4*B6</f>
        <v>53051.25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53051.25</v>
      </c>
      <c r="C13" s="103">
        <v>0.10299999999999999</v>
      </c>
      <c r="D13" s="104">
        <f>B13*C13</f>
        <v>5464.2787499999995</v>
      </c>
      <c r="E13" s="102">
        <f>B13</f>
        <v>53051.25</v>
      </c>
      <c r="F13" s="103">
        <f>C13</f>
        <v>0.10299999999999999</v>
      </c>
      <c r="G13" s="104">
        <f>E13*F13</f>
        <v>5464.2787499999995</v>
      </c>
      <c r="H13" s="104">
        <f>G13-D13</f>
        <v>0</v>
      </c>
      <c r="I13" s="105">
        <f>IF(ISERROR(H13/D13),0,(H13/D13))</f>
        <v>0</v>
      </c>
      <c r="J13" s="124">
        <f t="shared" ref="J13:J21" si="0">G13/$G$38</f>
        <v>0.58212597815850353</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5464.2787499999995</v>
      </c>
      <c r="E15" s="76"/>
      <c r="F15" s="25"/>
      <c r="G15" s="25">
        <f>SUM(G13:G14)</f>
        <v>5464.2787499999995</v>
      </c>
      <c r="H15" s="25">
        <f t="shared" si="2"/>
        <v>0</v>
      </c>
      <c r="I15" s="27">
        <f t="shared" si="3"/>
        <v>0</v>
      </c>
      <c r="J15" s="47">
        <f t="shared" si="0"/>
        <v>0.58212597815850353</v>
      </c>
    </row>
    <row r="16" spans="1:10" s="1" customFormat="1" x14ac:dyDescent="0.2">
      <c r="A16" s="107" t="s">
        <v>38</v>
      </c>
      <c r="B16" s="73">
        <v>1</v>
      </c>
      <c r="C16" s="78">
        <f>VLOOKUP($B$3,'Data for Bill Impacts'!$A$3:$Y$15,7,0)</f>
        <v>102.94</v>
      </c>
      <c r="D16" s="22">
        <f>B16*C16</f>
        <v>102.94</v>
      </c>
      <c r="E16" s="73">
        <f t="shared" ref="E16:E33" si="4">B16</f>
        <v>1</v>
      </c>
      <c r="F16" s="78">
        <f>VLOOKUP($B$3,'Data for Bill Impacts'!$A$3:$Y$15,17,0)</f>
        <v>105.1</v>
      </c>
      <c r="G16" s="22">
        <f>E16*F16</f>
        <v>105.1</v>
      </c>
      <c r="H16" s="22">
        <f t="shared" si="2"/>
        <v>2.1599999999999966</v>
      </c>
      <c r="I16" s="23">
        <f t="shared" si="3"/>
        <v>2.0983096949679394E-2</v>
      </c>
      <c r="J16" s="125">
        <f t="shared" si="0"/>
        <v>1.1196617724609807E-2</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x14ac:dyDescent="0.2">
      <c r="A19" s="107" t="s">
        <v>85</v>
      </c>
      <c r="B19" s="73">
        <v>1</v>
      </c>
      <c r="C19" s="78">
        <f>VLOOKUP($B$3,'Data for Bill Impacts'!$A$3:$Y$15,13,0)</f>
        <v>0.01</v>
      </c>
      <c r="D19" s="22">
        <f t="shared" si="6"/>
        <v>0.01</v>
      </c>
      <c r="E19" s="73">
        <f t="shared" si="4"/>
        <v>1</v>
      </c>
      <c r="F19" s="78">
        <f>VLOOKUP($B$3,'Data for Bill Impacts'!$A$3:$Y$15,22,0)</f>
        <v>0.01</v>
      </c>
      <c r="G19" s="22">
        <f t="shared" si="5"/>
        <v>0.01</v>
      </c>
      <c r="H19" s="22">
        <f t="shared" si="2"/>
        <v>0</v>
      </c>
      <c r="I19" s="23">
        <f t="shared" si="3"/>
        <v>0</v>
      </c>
      <c r="J19" s="125">
        <f t="shared" si="0"/>
        <v>1.0653299452530741E-6</v>
      </c>
    </row>
    <row r="20" spans="1:10" x14ac:dyDescent="0.2">
      <c r="A20" s="107" t="s">
        <v>39</v>
      </c>
      <c r="B20" s="73">
        <f>IF($B$10="kWh",$B$4,$B$5)</f>
        <v>135</v>
      </c>
      <c r="C20" s="78">
        <f>VLOOKUP($B$3,'Data for Bill Impacts'!$A$3:$Y$15,10,0)</f>
        <v>9.9375</v>
      </c>
      <c r="D20" s="22">
        <f>B20*C20</f>
        <v>1341.5625</v>
      </c>
      <c r="E20" s="73">
        <f t="shared" si="4"/>
        <v>135</v>
      </c>
      <c r="F20" s="126">
        <f>VLOOKUP($B$3,'Data for Bill Impacts'!$A$3:$Y$15,19,0)</f>
        <v>10.236800000000001</v>
      </c>
      <c r="G20" s="22">
        <f>E20*F20</f>
        <v>1381.9680000000001</v>
      </c>
      <c r="H20" s="22">
        <f t="shared" si="2"/>
        <v>40.405500000000075</v>
      </c>
      <c r="I20" s="23">
        <f t="shared" si="3"/>
        <v>3.0118238993710748E-2</v>
      </c>
      <c r="J20" s="125">
        <f t="shared" si="0"/>
        <v>0.14722518937815002</v>
      </c>
    </row>
    <row r="21" spans="1:10" s="1" customFormat="1" x14ac:dyDescent="0.2">
      <c r="A21" s="107" t="s">
        <v>121</v>
      </c>
      <c r="B21" s="73">
        <f>IF($B$10="kWh",$B$4,$B$5)</f>
        <v>135</v>
      </c>
      <c r="C21" s="126">
        <f>VLOOKUP($B$3,'Data for Bill Impacts'!$A$3:$Y$15,14,0)</f>
        <v>6.4600000000000005E-2</v>
      </c>
      <c r="D21" s="22">
        <f>B21*C21</f>
        <v>8.7210000000000001</v>
      </c>
      <c r="E21" s="73">
        <f t="shared" si="4"/>
        <v>135</v>
      </c>
      <c r="F21" s="126">
        <f>VLOOKUP($B$3,'Data for Bill Impacts'!$A$3:$Y$15,23,0)</f>
        <v>6.4600000000000005E-2</v>
      </c>
      <c r="G21" s="22">
        <f>E21*F21</f>
        <v>8.7210000000000001</v>
      </c>
      <c r="H21" s="22">
        <f t="shared" si="2"/>
        <v>0</v>
      </c>
      <c r="I21" s="23">
        <f>IF(ISERROR(H21/D21),0,(H21/D21))</f>
        <v>0</v>
      </c>
      <c r="J21" s="125">
        <f t="shared" si="0"/>
        <v>9.2907424525520579E-4</v>
      </c>
    </row>
    <row r="22" spans="1:10" s="1" customFormat="1" x14ac:dyDescent="0.2">
      <c r="A22" s="107" t="s">
        <v>108</v>
      </c>
      <c r="B22" s="73">
        <f>B9</f>
        <v>53051.25</v>
      </c>
      <c r="C22" s="126">
        <f>VLOOKUP($B$3,'Data for Bill Impacts'!$A$3:$Y$15,20,0)</f>
        <v>1.9E-3</v>
      </c>
      <c r="D22" s="22">
        <f>B22*C22</f>
        <v>100.797375</v>
      </c>
      <c r="E22" s="73">
        <f>B22</f>
        <v>53051.25</v>
      </c>
      <c r="F22" s="126">
        <f>VLOOKUP($B$3,'Data for Bill Impacts'!$A$3:$Y$15,21,0)</f>
        <v>1.9E-3</v>
      </c>
      <c r="G22" s="22">
        <f>E22*F22</f>
        <v>100.797375</v>
      </c>
      <c r="H22" s="22">
        <f t="shared" ref="H22" si="7">G22-D22</f>
        <v>0</v>
      </c>
      <c r="I22" s="23">
        <f>IF(ISERROR(H22/D22),0,(H22/D22))</f>
        <v>0</v>
      </c>
      <c r="J22" s="125">
        <f t="shared" ref="J22" si="8">G22/$G$38</f>
        <v>1.0738246199040357E-2</v>
      </c>
    </row>
    <row r="23" spans="1:10" x14ac:dyDescent="0.2">
      <c r="A23" s="110" t="s">
        <v>93</v>
      </c>
      <c r="B23" s="74"/>
      <c r="C23" s="35"/>
      <c r="D23" s="35">
        <f>SUM(D16:D22)</f>
        <v>1554.0308750000002</v>
      </c>
      <c r="E23" s="73"/>
      <c r="F23" s="35"/>
      <c r="G23" s="35">
        <f>SUM(G16:G22)</f>
        <v>1596.5963750000001</v>
      </c>
      <c r="H23" s="35">
        <f t="shared" si="2"/>
        <v>42.565499999999929</v>
      </c>
      <c r="I23" s="36">
        <f t="shared" si="3"/>
        <v>2.739038244655205E-2</v>
      </c>
      <c r="J23" s="111">
        <f t="shared" ref="J23:J29" si="9">G23/$G$38</f>
        <v>0.17009019287700064</v>
      </c>
    </row>
    <row r="24" spans="1:10" x14ac:dyDescent="0.2">
      <c r="A24" s="107" t="s">
        <v>40</v>
      </c>
      <c r="B24" s="73">
        <f>B5</f>
        <v>135</v>
      </c>
      <c r="C24" s="78">
        <f>VLOOKUP($B$3,'Data for Bill Impacts'!$A$3:$Y$15,15,0)</f>
        <v>2.2310400000000001</v>
      </c>
      <c r="D24" s="22">
        <f>B24*C24</f>
        <v>301.19040000000001</v>
      </c>
      <c r="E24" s="73">
        <f t="shared" si="4"/>
        <v>135</v>
      </c>
      <c r="F24" s="126">
        <f>VLOOKUP($B$3,'Data for Bill Impacts'!$A$3:$Y$15,24,0)</f>
        <v>2.2310400000000001</v>
      </c>
      <c r="G24" s="22">
        <f>E24*F24</f>
        <v>301.19040000000001</v>
      </c>
      <c r="H24" s="22">
        <f t="shared" si="2"/>
        <v>0</v>
      </c>
      <c r="I24" s="23">
        <f t="shared" si="3"/>
        <v>0</v>
      </c>
      <c r="J24" s="125">
        <f t="shared" si="9"/>
        <v>3.208671523427515E-2</v>
      </c>
    </row>
    <row r="25" spans="1:10" s="1" customFormat="1" x14ac:dyDescent="0.2">
      <c r="A25" s="107" t="s">
        <v>41</v>
      </c>
      <c r="B25" s="73">
        <f>B5</f>
        <v>135</v>
      </c>
      <c r="C25" s="78">
        <f>VLOOKUP($B$3,'Data for Bill Impacts'!$A$3:$Y$15,16,0)</f>
        <v>1.7046749999999999</v>
      </c>
      <c r="D25" s="22">
        <f>B25*C25</f>
        <v>230.131125</v>
      </c>
      <c r="E25" s="73">
        <f t="shared" si="4"/>
        <v>135</v>
      </c>
      <c r="F25" s="126">
        <f>VLOOKUP($B$3,'Data for Bill Impacts'!$A$3:$Y$15,25,0)</f>
        <v>1.7046749999999999</v>
      </c>
      <c r="G25" s="22">
        <f>E25*F25</f>
        <v>230.131125</v>
      </c>
      <c r="H25" s="22">
        <f t="shared" si="2"/>
        <v>0</v>
      </c>
      <c r="I25" s="23">
        <f t="shared" si="3"/>
        <v>0</v>
      </c>
      <c r="J25" s="125">
        <f t="shared" si="9"/>
        <v>2.4516557879727834E-2</v>
      </c>
    </row>
    <row r="26" spans="1:10" x14ac:dyDescent="0.2">
      <c r="A26" s="110" t="s">
        <v>76</v>
      </c>
      <c r="B26" s="74"/>
      <c r="C26" s="35"/>
      <c r="D26" s="35">
        <f>SUM(D24:D25)</f>
        <v>531.32152500000007</v>
      </c>
      <c r="E26" s="73"/>
      <c r="F26" s="35"/>
      <c r="G26" s="35">
        <f>SUM(G24:G25)</f>
        <v>531.32152500000007</v>
      </c>
      <c r="H26" s="35">
        <f t="shared" si="2"/>
        <v>0</v>
      </c>
      <c r="I26" s="36">
        <f t="shared" si="3"/>
        <v>0</v>
      </c>
      <c r="J26" s="111">
        <f t="shared" si="9"/>
        <v>5.6603273114002983E-2</v>
      </c>
    </row>
    <row r="27" spans="1:10" s="1" customFormat="1" x14ac:dyDescent="0.2">
      <c r="A27" s="110" t="s">
        <v>80</v>
      </c>
      <c r="B27" s="74"/>
      <c r="C27" s="35"/>
      <c r="D27" s="35">
        <f>D23+D26</f>
        <v>2085.3524000000002</v>
      </c>
      <c r="E27" s="73"/>
      <c r="F27" s="35"/>
      <c r="G27" s="35">
        <f>G23+G26</f>
        <v>2127.9179000000004</v>
      </c>
      <c r="H27" s="35">
        <f t="shared" si="2"/>
        <v>42.565500000000156</v>
      </c>
      <c r="I27" s="36">
        <f t="shared" si="3"/>
        <v>2.0411658000825256E-2</v>
      </c>
      <c r="J27" s="111">
        <f t="shared" si="9"/>
        <v>0.22669346599100365</v>
      </c>
    </row>
    <row r="28" spans="1:10" x14ac:dyDescent="0.2">
      <c r="A28" s="107" t="s">
        <v>42</v>
      </c>
      <c r="B28" s="73">
        <f>B9</f>
        <v>53051.25</v>
      </c>
      <c r="C28" s="34">
        <v>3.5999999999999999E-3</v>
      </c>
      <c r="D28" s="22">
        <f>B28*C28</f>
        <v>190.9845</v>
      </c>
      <c r="E28" s="73">
        <f t="shared" si="4"/>
        <v>53051.25</v>
      </c>
      <c r="F28" s="34">
        <v>3.5999999999999999E-3</v>
      </c>
      <c r="G28" s="22">
        <f>E28*F28</f>
        <v>190.9845</v>
      </c>
      <c r="H28" s="22">
        <f t="shared" si="2"/>
        <v>0</v>
      </c>
      <c r="I28" s="23">
        <f t="shared" si="3"/>
        <v>0</v>
      </c>
      <c r="J28" s="125">
        <f t="shared" si="9"/>
        <v>2.034615069291857E-2</v>
      </c>
    </row>
    <row r="29" spans="1:10" x14ac:dyDescent="0.2">
      <c r="A29" s="107" t="s">
        <v>43</v>
      </c>
      <c r="B29" s="73">
        <f>B9</f>
        <v>53051.25</v>
      </c>
      <c r="C29" s="34">
        <v>2.0999999999999999E-3</v>
      </c>
      <c r="D29" s="22">
        <f>B29*C29</f>
        <v>111.407625</v>
      </c>
      <c r="E29" s="73">
        <f t="shared" si="4"/>
        <v>53051.25</v>
      </c>
      <c r="F29" s="34">
        <v>2.0999999999999999E-3</v>
      </c>
      <c r="G29" s="22">
        <f>E29*F29</f>
        <v>111.407625</v>
      </c>
      <c r="H29" s="22">
        <f>G29-D29</f>
        <v>0</v>
      </c>
      <c r="I29" s="23">
        <f t="shared" si="3"/>
        <v>0</v>
      </c>
      <c r="J29" s="125">
        <f t="shared" si="9"/>
        <v>1.1868587904202499E-2</v>
      </c>
    </row>
    <row r="30" spans="1:10" x14ac:dyDescent="0.2">
      <c r="A30" s="107" t="s">
        <v>96</v>
      </c>
      <c r="B30" s="73">
        <f>B9</f>
        <v>53051.25</v>
      </c>
      <c r="C30" s="34">
        <v>1.1000000000000001E-3</v>
      </c>
      <c r="D30" s="22">
        <f>B30*C30</f>
        <v>58.356375000000007</v>
      </c>
      <c r="E30" s="73">
        <f t="shared" si="4"/>
        <v>53051.25</v>
      </c>
      <c r="F30" s="34">
        <v>1.1000000000000001E-3</v>
      </c>
      <c r="G30" s="22">
        <f>E30*F30</f>
        <v>58.356375000000007</v>
      </c>
      <c r="H30" s="22">
        <f>G30-D30</f>
        <v>0</v>
      </c>
      <c r="I30" s="23">
        <f t="shared" ref="I30" si="10">IF(ISERROR(H30/D30),0,(H30/D30))</f>
        <v>0</v>
      </c>
      <c r="J30" s="125">
        <f t="shared" ref="J30" si="11">G30/$G$38</f>
        <v>6.2168793783917865E-3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2">G31/$G$38</f>
        <v>2.6633248631326848E-5</v>
      </c>
    </row>
    <row r="32" spans="1:10" x14ac:dyDescent="0.2">
      <c r="A32" s="110" t="s">
        <v>45</v>
      </c>
      <c r="B32" s="74"/>
      <c r="C32" s="35"/>
      <c r="D32" s="35">
        <f>SUM(D28:D31)</f>
        <v>360.99849999999998</v>
      </c>
      <c r="E32" s="73"/>
      <c r="F32" s="35"/>
      <c r="G32" s="35">
        <f>SUM(G28:G31)</f>
        <v>360.99849999999998</v>
      </c>
      <c r="H32" s="35">
        <f t="shared" si="2"/>
        <v>0</v>
      </c>
      <c r="I32" s="36">
        <f t="shared" si="3"/>
        <v>0</v>
      </c>
      <c r="J32" s="111">
        <f t="shared" si="12"/>
        <v>3.8458251224144181E-2</v>
      </c>
    </row>
    <row r="33" spans="1:10" ht="13.5" thickBot="1" x14ac:dyDescent="0.25">
      <c r="A33" s="112" t="s">
        <v>46</v>
      </c>
      <c r="B33" s="113">
        <f>B4</f>
        <v>50525</v>
      </c>
      <c r="C33" s="114">
        <v>7.0000000000000001E-3</v>
      </c>
      <c r="D33" s="115">
        <f>B33*C33</f>
        <v>353.67500000000001</v>
      </c>
      <c r="E33" s="116">
        <f t="shared" si="4"/>
        <v>50525</v>
      </c>
      <c r="F33" s="114">
        <f>C33</f>
        <v>7.0000000000000001E-3</v>
      </c>
      <c r="G33" s="115">
        <f>E33*F33</f>
        <v>353.67500000000001</v>
      </c>
      <c r="H33" s="115">
        <f t="shared" si="2"/>
        <v>0</v>
      </c>
      <c r="I33" s="117">
        <f t="shared" si="3"/>
        <v>0</v>
      </c>
      <c r="J33" s="118">
        <f t="shared" si="12"/>
        <v>3.7678056838738094E-2</v>
      </c>
    </row>
    <row r="34" spans="1:10" x14ac:dyDescent="0.2">
      <c r="A34" s="37" t="s">
        <v>111</v>
      </c>
      <c r="B34" s="38"/>
      <c r="C34" s="39"/>
      <c r="D34" s="39">
        <f>SUM(D15,D23,D26,D32,D33)</f>
        <v>8264.30465</v>
      </c>
      <c r="E34" s="38"/>
      <c r="F34" s="39"/>
      <c r="G34" s="39">
        <f>SUM(G15,G23,G26,G32,G33)</f>
        <v>8306.8701499999988</v>
      </c>
      <c r="H34" s="39">
        <f t="shared" si="2"/>
        <v>42.565499999998792</v>
      </c>
      <c r="I34" s="40">
        <f>IF(ISERROR(H34/D34),0,(H34/D34))</f>
        <v>5.1505240673816151E-3</v>
      </c>
      <c r="J34" s="41">
        <f t="shared" si="12"/>
        <v>0.88495575221238931</v>
      </c>
    </row>
    <row r="35" spans="1:10" x14ac:dyDescent="0.2">
      <c r="A35" s="46" t="s">
        <v>102</v>
      </c>
      <c r="B35" s="43"/>
      <c r="C35" s="26">
        <v>0.13</v>
      </c>
      <c r="D35" s="26">
        <f>D34*C35</f>
        <v>1074.3596044999999</v>
      </c>
      <c r="E35" s="26"/>
      <c r="F35" s="26">
        <f>C35</f>
        <v>0.13</v>
      </c>
      <c r="G35" s="26">
        <f>G34*F35</f>
        <v>1079.8931194999998</v>
      </c>
      <c r="H35" s="26">
        <f t="shared" si="2"/>
        <v>5.5335149999998521</v>
      </c>
      <c r="I35" s="44">
        <f t="shared" ref="I35:I38" si="13">IF(ISERROR(H35/D35),0,(H35/D35))</f>
        <v>5.1505240673816238E-3</v>
      </c>
      <c r="J35" s="45">
        <f t="shared" si="12"/>
        <v>0.1150442477876106</v>
      </c>
    </row>
    <row r="36" spans="1:10" x14ac:dyDescent="0.2">
      <c r="A36" s="46" t="s">
        <v>103</v>
      </c>
      <c r="B36" s="24"/>
      <c r="C36" s="25"/>
      <c r="D36" s="25">
        <f>SUM(D34:D35)</f>
        <v>9338.6642544999995</v>
      </c>
      <c r="E36" s="25"/>
      <c r="F36" s="25"/>
      <c r="G36" s="25">
        <f>SUM(G34:G35)</f>
        <v>9386.7632694999993</v>
      </c>
      <c r="H36" s="25">
        <f t="shared" si="2"/>
        <v>48.099014999999781</v>
      </c>
      <c r="I36" s="27">
        <f t="shared" si="13"/>
        <v>5.1505240673817374E-3</v>
      </c>
      <c r="J36" s="47">
        <f t="shared" si="12"/>
        <v>1</v>
      </c>
    </row>
    <row r="37" spans="1:10" x14ac:dyDescent="0.2">
      <c r="A37" s="46" t="s">
        <v>104</v>
      </c>
      <c r="B37" s="43"/>
      <c r="C37" s="26">
        <v>0</v>
      </c>
      <c r="D37" s="26">
        <f>D34*C37</f>
        <v>0</v>
      </c>
      <c r="E37" s="26"/>
      <c r="F37" s="26">
        <f>C37</f>
        <v>0</v>
      </c>
      <c r="G37" s="26">
        <f>G34*F37</f>
        <v>0</v>
      </c>
      <c r="H37" s="26">
        <f t="shared" si="2"/>
        <v>0</v>
      </c>
      <c r="I37" s="44">
        <f t="shared" si="13"/>
        <v>0</v>
      </c>
      <c r="J37" s="45">
        <f t="shared" si="12"/>
        <v>0</v>
      </c>
    </row>
    <row r="38" spans="1:10" ht="13.5" thickBot="1" x14ac:dyDescent="0.25">
      <c r="A38" s="46" t="s">
        <v>105</v>
      </c>
      <c r="B38" s="49"/>
      <c r="C38" s="50"/>
      <c r="D38" s="50">
        <f>SUM(D36:D37)</f>
        <v>9338.6642544999995</v>
      </c>
      <c r="E38" s="50"/>
      <c r="F38" s="50"/>
      <c r="G38" s="50">
        <f>SUM(G36:G37)</f>
        <v>9386.7632694999993</v>
      </c>
      <c r="H38" s="50">
        <f t="shared" si="2"/>
        <v>48.099014999999781</v>
      </c>
      <c r="I38" s="51">
        <f t="shared" si="13"/>
        <v>5.1505240673817374E-3</v>
      </c>
      <c r="J38" s="52">
        <f t="shared" si="12"/>
        <v>1</v>
      </c>
    </row>
    <row r="39" spans="1:10" x14ac:dyDescent="0.2">
      <c r="A39" s="170"/>
      <c r="F39" s="69"/>
    </row>
    <row r="40" spans="1:10" x14ac:dyDescent="0.2">
      <c r="A40" s="171"/>
      <c r="F40" s="69"/>
    </row>
    <row r="41" spans="1:10" x14ac:dyDescent="0.2">
      <c r="A41" s="171"/>
    </row>
    <row r="42" spans="1:10" x14ac:dyDescent="0.2">
      <c r="A42" s="171"/>
    </row>
    <row r="43" spans="1:10" x14ac:dyDescent="0.2">
      <c r="A43" s="171"/>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theme="1" tint="0.499984740745262"/>
    <pageSetUpPr fitToPage="1"/>
  </sheetPr>
  <dimension ref="A1:J43"/>
  <sheetViews>
    <sheetView tabSelected="1" view="pageBreakPreview" topLeftCell="A10" zoomScaleNormal="100" zoomScaleSheetLayoutView="100" workbookViewId="0">
      <selection activeCell="C3" sqref="C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120</v>
      </c>
      <c r="B1" s="188"/>
      <c r="C1" s="188"/>
      <c r="D1" s="188"/>
      <c r="E1" s="188"/>
      <c r="F1" s="188"/>
      <c r="G1" s="188"/>
      <c r="H1" s="188"/>
      <c r="I1" s="188"/>
      <c r="J1" s="189"/>
    </row>
    <row r="3" spans="1:10" x14ac:dyDescent="0.2">
      <c r="A3" s="13" t="s">
        <v>13</v>
      </c>
      <c r="B3" s="13" t="s">
        <v>7</v>
      </c>
    </row>
    <row r="4" spans="1:10" x14ac:dyDescent="0.2">
      <c r="A4" s="15" t="s">
        <v>62</v>
      </c>
      <c r="B4" s="79">
        <v>175000</v>
      </c>
    </row>
    <row r="5" spans="1:10" x14ac:dyDescent="0.2">
      <c r="A5" s="15" t="s">
        <v>16</v>
      </c>
      <c r="B5" s="79">
        <v>500</v>
      </c>
    </row>
    <row r="6" spans="1:10" x14ac:dyDescent="0.2">
      <c r="A6" s="15" t="s">
        <v>20</v>
      </c>
      <c r="B6" s="80">
        <f>VLOOKUP($B$3,'Data for Bill Impacts'!$A$3:$Y$15,2,0)</f>
        <v>1.05</v>
      </c>
    </row>
    <row r="7" spans="1:10" x14ac:dyDescent="0.2">
      <c r="A7" s="81" t="s">
        <v>48</v>
      </c>
      <c r="B7" s="82">
        <f>B4/(B5*730)</f>
        <v>0.47945205479452052</v>
      </c>
    </row>
    <row r="8" spans="1:10" x14ac:dyDescent="0.2">
      <c r="A8" s="15" t="s">
        <v>15</v>
      </c>
      <c r="B8" s="79">
        <f>VLOOKUP($B$3,'Data for Bill Impacts'!$A$3:$Y$15,4,0)</f>
        <v>0</v>
      </c>
    </row>
    <row r="9" spans="1:10" x14ac:dyDescent="0.2">
      <c r="A9" s="15" t="s">
        <v>82</v>
      </c>
      <c r="B9" s="79">
        <f>B4*B6</f>
        <v>183750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183750</v>
      </c>
      <c r="C13" s="103">
        <v>0.10299999999999999</v>
      </c>
      <c r="D13" s="104">
        <f>B13*C13</f>
        <v>18926.25</v>
      </c>
      <c r="E13" s="102">
        <f>B13</f>
        <v>183750</v>
      </c>
      <c r="F13" s="103">
        <f>C13</f>
        <v>0.10299999999999999</v>
      </c>
      <c r="G13" s="104">
        <f>E13*F13</f>
        <v>18926.25</v>
      </c>
      <c r="H13" s="104">
        <f>G13-D13</f>
        <v>0</v>
      </c>
      <c r="I13" s="105">
        <f>IF(ISERROR(H13/D13),0,(H13/D13))</f>
        <v>0</v>
      </c>
      <c r="J13" s="124">
        <f t="shared" ref="J13:J29" si="0">G13/$G$38</f>
        <v>0.57807046852115518</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18926.25</v>
      </c>
      <c r="E15" s="76"/>
      <c r="F15" s="25"/>
      <c r="G15" s="25">
        <f>SUM(G13:G14)</f>
        <v>18926.25</v>
      </c>
      <c r="H15" s="25">
        <f t="shared" si="2"/>
        <v>0</v>
      </c>
      <c r="I15" s="27">
        <f t="shared" si="3"/>
        <v>0</v>
      </c>
      <c r="J15" s="47">
        <f t="shared" si="0"/>
        <v>0.57807046852115518</v>
      </c>
    </row>
    <row r="16" spans="1:10" s="1" customFormat="1" x14ac:dyDescent="0.2">
      <c r="A16" s="107" t="s">
        <v>38</v>
      </c>
      <c r="B16" s="73">
        <v>1</v>
      </c>
      <c r="C16" s="78">
        <f>VLOOKUP($B$3,'Data for Bill Impacts'!$A$3:$Y$15,7,0)</f>
        <v>102.94</v>
      </c>
      <c r="D16" s="22">
        <f>B16*C16</f>
        <v>102.94</v>
      </c>
      <c r="E16" s="73">
        <f t="shared" ref="E16:E33" si="4">B16</f>
        <v>1</v>
      </c>
      <c r="F16" s="78">
        <f>VLOOKUP($B$3,'Data for Bill Impacts'!$A$3:$Y$15,17,0)</f>
        <v>105.1</v>
      </c>
      <c r="G16" s="22">
        <f>E16*F16</f>
        <v>105.1</v>
      </c>
      <c r="H16" s="22">
        <f t="shared" si="2"/>
        <v>2.1599999999999966</v>
      </c>
      <c r="I16" s="23">
        <f t="shared" si="3"/>
        <v>2.0983096949679394E-2</v>
      </c>
      <c r="J16" s="125">
        <f t="shared" si="0"/>
        <v>3.2101027008294516E-3</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x14ac:dyDescent="0.2">
      <c r="A19" s="107" t="s">
        <v>85</v>
      </c>
      <c r="B19" s="73">
        <v>1</v>
      </c>
      <c r="C19" s="78">
        <f>VLOOKUP($B$3,'Data for Bill Impacts'!$A$3:$Y$15,13,0)</f>
        <v>0.01</v>
      </c>
      <c r="D19" s="22">
        <f t="shared" si="6"/>
        <v>0.01</v>
      </c>
      <c r="E19" s="73">
        <f t="shared" si="4"/>
        <v>1</v>
      </c>
      <c r="F19" s="78">
        <f>VLOOKUP($B$3,'Data for Bill Impacts'!$A$3:$Y$15,22,0)</f>
        <v>0.01</v>
      </c>
      <c r="G19" s="22">
        <f t="shared" si="5"/>
        <v>0.01</v>
      </c>
      <c r="H19" s="22">
        <f t="shared" si="2"/>
        <v>0</v>
      </c>
      <c r="I19" s="23">
        <f t="shared" si="3"/>
        <v>0</v>
      </c>
      <c r="J19" s="125">
        <f t="shared" si="0"/>
        <v>3.0543317800470521E-7</v>
      </c>
    </row>
    <row r="20" spans="1:10" x14ac:dyDescent="0.2">
      <c r="A20" s="107" t="s">
        <v>39</v>
      </c>
      <c r="B20" s="73">
        <f>IF($B$10="kWh",$B$4,$B$5)</f>
        <v>500</v>
      </c>
      <c r="C20" s="78">
        <f>VLOOKUP($B$3,'Data for Bill Impacts'!$A$3:$Y$15,10,0)</f>
        <v>9.9375</v>
      </c>
      <c r="D20" s="22">
        <f>B20*C20</f>
        <v>4968.75</v>
      </c>
      <c r="E20" s="73">
        <f t="shared" si="4"/>
        <v>500</v>
      </c>
      <c r="F20" s="126">
        <f>VLOOKUP($B$3,'Data for Bill Impacts'!$A$3:$Y$15,19,0)</f>
        <v>10.236800000000001</v>
      </c>
      <c r="G20" s="22">
        <f>E20*F20</f>
        <v>5118.4000000000005</v>
      </c>
      <c r="H20" s="22">
        <f t="shared" si="2"/>
        <v>149.65000000000055</v>
      </c>
      <c r="I20" s="23">
        <f t="shared" si="3"/>
        <v>3.0118238993710803E-2</v>
      </c>
      <c r="J20" s="125">
        <f t="shared" si="0"/>
        <v>0.15633291782992834</v>
      </c>
    </row>
    <row r="21" spans="1:10" s="1" customFormat="1" x14ac:dyDescent="0.2">
      <c r="A21" s="107" t="s">
        <v>121</v>
      </c>
      <c r="B21" s="73">
        <f>IF($B$10="kWh",$B$4,$B$5)</f>
        <v>500</v>
      </c>
      <c r="C21" s="126">
        <f>VLOOKUP($B$3,'Data for Bill Impacts'!$A$3:$Y$15,14,0)</f>
        <v>6.4600000000000005E-2</v>
      </c>
      <c r="D21" s="22">
        <f>B21*C21</f>
        <v>32.300000000000004</v>
      </c>
      <c r="E21" s="73">
        <f t="shared" si="4"/>
        <v>500</v>
      </c>
      <c r="F21" s="126">
        <f>VLOOKUP($B$3,'Data for Bill Impacts'!$A$3:$Y$15,23,0)</f>
        <v>6.4600000000000005E-2</v>
      </c>
      <c r="G21" s="22">
        <f>E21*F21</f>
        <v>32.300000000000004</v>
      </c>
      <c r="H21" s="22">
        <f t="shared" si="2"/>
        <v>0</v>
      </c>
      <c r="I21" s="23">
        <f>IF(ISERROR(H21/D21),0,(H21/D21))</f>
        <v>0</v>
      </c>
      <c r="J21" s="125">
        <f t="shared" si="0"/>
        <v>9.8654916495519791E-4</v>
      </c>
    </row>
    <row r="22" spans="1:10" s="1" customFormat="1" x14ac:dyDescent="0.2">
      <c r="A22" s="107" t="s">
        <v>108</v>
      </c>
      <c r="B22" s="73">
        <f>B9</f>
        <v>183750</v>
      </c>
      <c r="C22" s="126">
        <f>VLOOKUP($B$3,'Data for Bill Impacts'!$A$3:$Y$15,20,0)</f>
        <v>1.9E-3</v>
      </c>
      <c r="D22" s="22">
        <f>B22*C22</f>
        <v>349.125</v>
      </c>
      <c r="E22" s="73">
        <f>B22</f>
        <v>183750</v>
      </c>
      <c r="F22" s="126">
        <f>VLOOKUP($B$3,'Data for Bill Impacts'!$A$3:$Y$15,21,0)</f>
        <v>1.9E-3</v>
      </c>
      <c r="G22" s="22">
        <f>E22*F22</f>
        <v>349.125</v>
      </c>
      <c r="H22" s="22">
        <f t="shared" ref="H22" si="7">G22-D22</f>
        <v>0</v>
      </c>
      <c r="I22" s="23">
        <f>IF(ISERROR(H22/D22),0,(H22/D22))</f>
        <v>0</v>
      </c>
      <c r="J22" s="125">
        <f t="shared" si="0"/>
        <v>1.0663435827089271E-2</v>
      </c>
    </row>
    <row r="23" spans="1:10" x14ac:dyDescent="0.2">
      <c r="A23" s="110" t="s">
        <v>93</v>
      </c>
      <c r="B23" s="74"/>
      <c r="C23" s="35"/>
      <c r="D23" s="35">
        <f>SUM(D16:D22)</f>
        <v>5453.125</v>
      </c>
      <c r="E23" s="73"/>
      <c r="F23" s="35"/>
      <c r="G23" s="35">
        <f>SUM(G16:G22)</f>
        <v>5604.9350000000004</v>
      </c>
      <c r="H23" s="35">
        <f t="shared" si="2"/>
        <v>151.8100000000004</v>
      </c>
      <c r="I23" s="36">
        <f t="shared" si="3"/>
        <v>2.7839083094555947E-2</v>
      </c>
      <c r="J23" s="111">
        <f t="shared" si="0"/>
        <v>0.17119331095598025</v>
      </c>
    </row>
    <row r="24" spans="1:10" x14ac:dyDescent="0.2">
      <c r="A24" s="107" t="s">
        <v>40</v>
      </c>
      <c r="B24" s="73">
        <f>B5</f>
        <v>500</v>
      </c>
      <c r="C24" s="78">
        <f>VLOOKUP($B$3,'Data for Bill Impacts'!$A$3:$Y$15,15,0)</f>
        <v>2.2310400000000001</v>
      </c>
      <c r="D24" s="22">
        <f>B24*C24</f>
        <v>1115.52</v>
      </c>
      <c r="E24" s="73">
        <f t="shared" si="4"/>
        <v>500</v>
      </c>
      <c r="F24" s="126">
        <f>VLOOKUP($B$3,'Data for Bill Impacts'!$A$3:$Y$15,24,0)</f>
        <v>2.2310400000000001</v>
      </c>
      <c r="G24" s="22">
        <f>E24*F24</f>
        <v>1115.52</v>
      </c>
      <c r="H24" s="22">
        <f t="shared" si="2"/>
        <v>0</v>
      </c>
      <c r="I24" s="23">
        <f t="shared" si="3"/>
        <v>0</v>
      </c>
      <c r="J24" s="125">
        <f t="shared" si="0"/>
        <v>3.4071681872780875E-2</v>
      </c>
    </row>
    <row r="25" spans="1:10" s="1" customFormat="1" x14ac:dyDescent="0.2">
      <c r="A25" s="107" t="s">
        <v>41</v>
      </c>
      <c r="B25" s="73">
        <f>B5</f>
        <v>500</v>
      </c>
      <c r="C25" s="78">
        <f>VLOOKUP($B$3,'Data for Bill Impacts'!$A$3:$Y$15,16,0)</f>
        <v>1.7046749999999999</v>
      </c>
      <c r="D25" s="22">
        <f>B25*C25</f>
        <v>852.33749999999998</v>
      </c>
      <c r="E25" s="73">
        <f t="shared" si="4"/>
        <v>500</v>
      </c>
      <c r="F25" s="126">
        <f>VLOOKUP($B$3,'Data for Bill Impacts'!$A$3:$Y$15,25,0)</f>
        <v>1.7046749999999999</v>
      </c>
      <c r="G25" s="22">
        <f>E25*F25</f>
        <v>852.33749999999998</v>
      </c>
      <c r="H25" s="22">
        <f t="shared" si="2"/>
        <v>0</v>
      </c>
      <c r="I25" s="23">
        <f t="shared" si="3"/>
        <v>0</v>
      </c>
      <c r="J25" s="125">
        <f t="shared" si="0"/>
        <v>2.6033215135758542E-2</v>
      </c>
    </row>
    <row r="26" spans="1:10" x14ac:dyDescent="0.2">
      <c r="A26" s="110" t="s">
        <v>76</v>
      </c>
      <c r="B26" s="74"/>
      <c r="C26" s="35"/>
      <c r="D26" s="35">
        <f>SUM(D24:D25)</f>
        <v>1967.8575000000001</v>
      </c>
      <c r="E26" s="73"/>
      <c r="F26" s="35"/>
      <c r="G26" s="35">
        <f>SUM(G24:G25)</f>
        <v>1967.8575000000001</v>
      </c>
      <c r="H26" s="35">
        <f t="shared" si="2"/>
        <v>0</v>
      </c>
      <c r="I26" s="36">
        <f t="shared" si="3"/>
        <v>0</v>
      </c>
      <c r="J26" s="111">
        <f t="shared" si="0"/>
        <v>6.0104897008539417E-2</v>
      </c>
    </row>
    <row r="27" spans="1:10" s="1" customFormat="1" x14ac:dyDescent="0.2">
      <c r="A27" s="110" t="s">
        <v>80</v>
      </c>
      <c r="B27" s="74"/>
      <c r="C27" s="35"/>
      <c r="D27" s="35">
        <f>D23+D26</f>
        <v>7420.9825000000001</v>
      </c>
      <c r="E27" s="73"/>
      <c r="F27" s="35"/>
      <c r="G27" s="35">
        <f>G23+G26</f>
        <v>7572.7925000000005</v>
      </c>
      <c r="H27" s="35">
        <f t="shared" si="2"/>
        <v>151.8100000000004</v>
      </c>
      <c r="I27" s="36">
        <f t="shared" si="3"/>
        <v>2.0456859991247845E-2</v>
      </c>
      <c r="J27" s="111">
        <f t="shared" si="0"/>
        <v>0.23129820796451966</v>
      </c>
    </row>
    <row r="28" spans="1:10" x14ac:dyDescent="0.2">
      <c r="A28" s="107" t="s">
        <v>42</v>
      </c>
      <c r="B28" s="73">
        <f>B9</f>
        <v>183750</v>
      </c>
      <c r="C28" s="34">
        <v>3.5999999999999999E-3</v>
      </c>
      <c r="D28" s="22">
        <f>B28*C28</f>
        <v>661.5</v>
      </c>
      <c r="E28" s="73">
        <f t="shared" si="4"/>
        <v>183750</v>
      </c>
      <c r="F28" s="34">
        <v>3.5999999999999999E-3</v>
      </c>
      <c r="G28" s="22">
        <f>E28*F28</f>
        <v>661.5</v>
      </c>
      <c r="H28" s="22">
        <f t="shared" si="2"/>
        <v>0</v>
      </c>
      <c r="I28" s="23">
        <f t="shared" si="3"/>
        <v>0</v>
      </c>
      <c r="J28" s="125">
        <f t="shared" si="0"/>
        <v>2.0204404725011248E-2</v>
      </c>
    </row>
    <row r="29" spans="1:10" x14ac:dyDescent="0.2">
      <c r="A29" s="107" t="s">
        <v>43</v>
      </c>
      <c r="B29" s="73">
        <f>B9</f>
        <v>183750</v>
      </c>
      <c r="C29" s="34">
        <v>2.0999999999999999E-3</v>
      </c>
      <c r="D29" s="22">
        <f>B29*C29</f>
        <v>385.875</v>
      </c>
      <c r="E29" s="73">
        <f t="shared" si="4"/>
        <v>183750</v>
      </c>
      <c r="F29" s="34">
        <v>2.0999999999999999E-3</v>
      </c>
      <c r="G29" s="22">
        <f>E29*F29</f>
        <v>385.875</v>
      </c>
      <c r="H29" s="22">
        <f>G29-D29</f>
        <v>0</v>
      </c>
      <c r="I29" s="23">
        <f t="shared" si="3"/>
        <v>0</v>
      </c>
      <c r="J29" s="125">
        <f t="shared" si="0"/>
        <v>1.1785902756256562E-2</v>
      </c>
    </row>
    <row r="30" spans="1:10" x14ac:dyDescent="0.2">
      <c r="A30" s="107" t="s">
        <v>96</v>
      </c>
      <c r="B30" s="73">
        <f>B9</f>
        <v>183750</v>
      </c>
      <c r="C30" s="34">
        <v>1.1000000000000001E-3</v>
      </c>
      <c r="D30" s="22">
        <f>B30*C30</f>
        <v>202.125</v>
      </c>
      <c r="E30" s="73">
        <f t="shared" si="4"/>
        <v>183750</v>
      </c>
      <c r="F30" s="34">
        <v>1.1000000000000001E-3</v>
      </c>
      <c r="G30" s="22">
        <f>E30*F30</f>
        <v>202.125</v>
      </c>
      <c r="H30" s="22">
        <f>G30-D30</f>
        <v>0</v>
      </c>
      <c r="I30" s="23">
        <f t="shared" ref="I30" si="8">IF(ISERROR(H30/D30),0,(H30/D30))</f>
        <v>0</v>
      </c>
      <c r="J30" s="125">
        <f t="shared" ref="J30" si="9">G30/$G$38</f>
        <v>6.1735681104201036E-3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0">G31/$G$38</f>
        <v>7.6358294501176297E-6</v>
      </c>
    </row>
    <row r="32" spans="1:10" x14ac:dyDescent="0.2">
      <c r="A32" s="110" t="s">
        <v>45</v>
      </c>
      <c r="B32" s="74"/>
      <c r="C32" s="35"/>
      <c r="D32" s="35">
        <f>SUM(D28:D31)</f>
        <v>1249.75</v>
      </c>
      <c r="E32" s="73"/>
      <c r="F32" s="35"/>
      <c r="G32" s="35">
        <f>SUM(G28:G31)</f>
        <v>1249.75</v>
      </c>
      <c r="H32" s="35">
        <f t="shared" si="2"/>
        <v>0</v>
      </c>
      <c r="I32" s="36">
        <f t="shared" si="3"/>
        <v>0</v>
      </c>
      <c r="J32" s="111">
        <f t="shared" si="10"/>
        <v>3.8171511421138032E-2</v>
      </c>
    </row>
    <row r="33" spans="1:10" ht="13.5" thickBot="1" x14ac:dyDescent="0.25">
      <c r="A33" s="112" t="s">
        <v>46</v>
      </c>
      <c r="B33" s="113">
        <f>B4</f>
        <v>175000</v>
      </c>
      <c r="C33" s="114">
        <v>7.0000000000000001E-3</v>
      </c>
      <c r="D33" s="115">
        <f>B33*C33</f>
        <v>1225</v>
      </c>
      <c r="E33" s="116">
        <f t="shared" si="4"/>
        <v>175000</v>
      </c>
      <c r="F33" s="114">
        <f>C33</f>
        <v>7.0000000000000001E-3</v>
      </c>
      <c r="G33" s="115">
        <f>E33*F33</f>
        <v>1225</v>
      </c>
      <c r="H33" s="115">
        <f t="shared" si="2"/>
        <v>0</v>
      </c>
      <c r="I33" s="117">
        <f t="shared" si="3"/>
        <v>0</v>
      </c>
      <c r="J33" s="118">
        <f t="shared" si="10"/>
        <v>3.7415564305576389E-2</v>
      </c>
    </row>
    <row r="34" spans="1:10" x14ac:dyDescent="0.2">
      <c r="A34" s="37" t="s">
        <v>111</v>
      </c>
      <c r="B34" s="38"/>
      <c r="C34" s="39"/>
      <c r="D34" s="39">
        <f>SUM(D15,D23,D26,D32,D33)</f>
        <v>28821.982499999998</v>
      </c>
      <c r="E34" s="38"/>
      <c r="F34" s="39"/>
      <c r="G34" s="39">
        <f>SUM(G15,G23,G26,G32,G33)</f>
        <v>28973.792500000003</v>
      </c>
      <c r="H34" s="39">
        <f t="shared" si="2"/>
        <v>151.81000000000495</v>
      </c>
      <c r="I34" s="40">
        <f>IF(ISERROR(H34/D34),0,(H34/D34))</f>
        <v>5.2671602309107279E-3</v>
      </c>
      <c r="J34" s="41">
        <f t="shared" si="10"/>
        <v>0.88495575221238931</v>
      </c>
    </row>
    <row r="35" spans="1:10" x14ac:dyDescent="0.2">
      <c r="A35" s="46" t="s">
        <v>102</v>
      </c>
      <c r="B35" s="43"/>
      <c r="C35" s="26">
        <v>0.13</v>
      </c>
      <c r="D35" s="26">
        <f>D34*C35</f>
        <v>3746.8577249999998</v>
      </c>
      <c r="E35" s="26"/>
      <c r="F35" s="26">
        <f>C35</f>
        <v>0.13</v>
      </c>
      <c r="G35" s="26">
        <f>G34*F35</f>
        <v>3766.5930250000006</v>
      </c>
      <c r="H35" s="26">
        <f t="shared" si="2"/>
        <v>19.735300000000734</v>
      </c>
      <c r="I35" s="44">
        <f t="shared" ref="I35:I38" si="11">IF(ISERROR(H35/D35),0,(H35/D35))</f>
        <v>5.2671602309107522E-3</v>
      </c>
      <c r="J35" s="45">
        <f t="shared" si="10"/>
        <v>0.11504424778761062</v>
      </c>
    </row>
    <row r="36" spans="1:10" x14ac:dyDescent="0.2">
      <c r="A36" s="46" t="s">
        <v>103</v>
      </c>
      <c r="B36" s="24"/>
      <c r="C36" s="25"/>
      <c r="D36" s="25">
        <f>SUM(D34:D35)</f>
        <v>32568.840225</v>
      </c>
      <c r="E36" s="25"/>
      <c r="F36" s="25"/>
      <c r="G36" s="25">
        <f>SUM(G34:G35)</f>
        <v>32740.385525000005</v>
      </c>
      <c r="H36" s="25">
        <f t="shared" si="2"/>
        <v>171.54530000000523</v>
      </c>
      <c r="I36" s="27">
        <f t="shared" si="11"/>
        <v>5.2671602309107167E-3</v>
      </c>
      <c r="J36" s="47">
        <f t="shared" si="10"/>
        <v>1</v>
      </c>
    </row>
    <row r="37" spans="1:10" x14ac:dyDescent="0.2">
      <c r="A37" s="46" t="s">
        <v>104</v>
      </c>
      <c r="B37" s="43"/>
      <c r="C37" s="26">
        <v>0</v>
      </c>
      <c r="D37" s="26">
        <f>D34*C37</f>
        <v>0</v>
      </c>
      <c r="E37" s="26"/>
      <c r="F37" s="26">
        <f>C37</f>
        <v>0</v>
      </c>
      <c r="G37" s="26">
        <f>G34*F37</f>
        <v>0</v>
      </c>
      <c r="H37" s="26">
        <f t="shared" si="2"/>
        <v>0</v>
      </c>
      <c r="I37" s="44">
        <f t="shared" si="11"/>
        <v>0</v>
      </c>
      <c r="J37" s="45">
        <f t="shared" si="10"/>
        <v>0</v>
      </c>
    </row>
    <row r="38" spans="1:10" ht="13.5" thickBot="1" x14ac:dyDescent="0.25">
      <c r="A38" s="46" t="s">
        <v>105</v>
      </c>
      <c r="B38" s="49"/>
      <c r="C38" s="50"/>
      <c r="D38" s="50">
        <f>SUM(D36:D37)</f>
        <v>32568.840225</v>
      </c>
      <c r="E38" s="50"/>
      <c r="F38" s="50"/>
      <c r="G38" s="50">
        <f>SUM(G36:G37)</f>
        <v>32740.385525000005</v>
      </c>
      <c r="H38" s="50">
        <f t="shared" si="2"/>
        <v>171.54530000000523</v>
      </c>
      <c r="I38" s="51">
        <f t="shared" si="11"/>
        <v>5.2671602309107167E-3</v>
      </c>
      <c r="J38" s="52">
        <f t="shared" si="10"/>
        <v>1</v>
      </c>
    </row>
    <row r="39" spans="1:10" x14ac:dyDescent="0.2">
      <c r="A39" s="170"/>
      <c r="F39" s="69"/>
    </row>
    <row r="40" spans="1:10" x14ac:dyDescent="0.2">
      <c r="A40" s="171"/>
      <c r="F40" s="69"/>
    </row>
    <row r="41" spans="1:10" x14ac:dyDescent="0.2">
      <c r="A41" s="171"/>
    </row>
    <row r="42" spans="1:10" x14ac:dyDescent="0.2">
      <c r="A42" s="171"/>
    </row>
    <row r="43" spans="1:10" x14ac:dyDescent="0.2">
      <c r="A43" s="171"/>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pageSetUpPr fitToPage="1"/>
  </sheetPr>
  <dimension ref="A1:K68"/>
  <sheetViews>
    <sheetView tabSelected="1" topLeftCell="A16" zoomScaleNormal="100" zoomScaleSheetLayoutView="100" workbookViewId="0">
      <selection activeCell="C3" sqref="C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117</v>
      </c>
      <c r="B1" s="188"/>
      <c r="C1" s="188"/>
      <c r="D1" s="188"/>
      <c r="E1" s="188"/>
      <c r="F1" s="188"/>
      <c r="G1" s="188"/>
      <c r="H1" s="188"/>
      <c r="I1" s="188"/>
      <c r="J1" s="188"/>
      <c r="K1" s="189"/>
    </row>
    <row r="3" spans="1:11" x14ac:dyDescent="0.2">
      <c r="A3" s="13" t="s">
        <v>13</v>
      </c>
      <c r="B3" s="13" t="s">
        <v>0</v>
      </c>
    </row>
    <row r="4" spans="1:11" x14ac:dyDescent="0.2">
      <c r="A4" s="15" t="s">
        <v>62</v>
      </c>
      <c r="B4" s="15">
        <v>350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68">
        <f>B4*B6</f>
        <v>369.95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350</v>
      </c>
      <c r="C12" s="103">
        <v>0.10299999999999999</v>
      </c>
      <c r="D12" s="104">
        <f>B12*C12</f>
        <v>36.049999999999997</v>
      </c>
      <c r="E12" s="102">
        <f>B12</f>
        <v>350</v>
      </c>
      <c r="F12" s="103">
        <f>C12</f>
        <v>0.10299999999999999</v>
      </c>
      <c r="G12" s="104">
        <f>E12*F12</f>
        <v>36.049999999999997</v>
      </c>
      <c r="H12" s="104">
        <f>G12-D12</f>
        <v>0</v>
      </c>
      <c r="I12" s="105">
        <f>IF(ISERROR(H12/D12),0,(H12/D12))</f>
        <v>0</v>
      </c>
      <c r="J12" s="105">
        <f>G12/$G$46</f>
        <v>0.41416250795336268</v>
      </c>
      <c r="K12" s="106"/>
    </row>
    <row r="13" spans="1:11" x14ac:dyDescent="0.2">
      <c r="A13" s="107" t="s">
        <v>32</v>
      </c>
      <c r="B13" s="73">
        <f>IF(B4&gt;B7,(B4)-B7,0)</f>
        <v>0</v>
      </c>
      <c r="C13" s="21">
        <v>0.121</v>
      </c>
      <c r="D13" s="22">
        <f>B13*C13</f>
        <v>0</v>
      </c>
      <c r="E13" s="73">
        <f t="shared" ref="E13:E41"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36.049999999999997</v>
      </c>
      <c r="E14" s="76"/>
      <c r="F14" s="25"/>
      <c r="G14" s="25">
        <f>SUM(G12:G13)</f>
        <v>36.049999999999997</v>
      </c>
      <c r="H14" s="25">
        <f t="shared" si="1"/>
        <v>0</v>
      </c>
      <c r="I14" s="27">
        <f t="shared" si="2"/>
        <v>0</v>
      </c>
      <c r="J14" s="27">
        <f>G14/$G$46</f>
        <v>0.41416250795336268</v>
      </c>
      <c r="K14" s="108"/>
    </row>
    <row r="15" spans="1:11" s="1" customFormat="1" x14ac:dyDescent="0.2">
      <c r="A15" s="109" t="s">
        <v>34</v>
      </c>
      <c r="B15" s="75">
        <f>B4*0.65</f>
        <v>227.5</v>
      </c>
      <c r="C15" s="28">
        <v>8.6999999999999994E-2</v>
      </c>
      <c r="D15" s="22">
        <f>B15*C15</f>
        <v>19.792499999999997</v>
      </c>
      <c r="E15" s="73">
        <f t="shared" ref="E15:F17" si="3">B15</f>
        <v>227.5</v>
      </c>
      <c r="F15" s="28">
        <f t="shared" si="3"/>
        <v>8.6999999999999994E-2</v>
      </c>
      <c r="G15" s="22">
        <f>E15*F15</f>
        <v>19.792499999999997</v>
      </c>
      <c r="H15" s="22">
        <f t="shared" si="1"/>
        <v>0</v>
      </c>
      <c r="I15" s="23">
        <f t="shared" si="2"/>
        <v>0</v>
      </c>
      <c r="J15" s="23"/>
      <c r="K15" s="108">
        <f t="shared" ref="K15:K26" si="4">G15/$G$51</f>
        <v>0.21918070156084518</v>
      </c>
    </row>
    <row r="16" spans="1:11" s="1" customFormat="1" x14ac:dyDescent="0.2">
      <c r="A16" s="109" t="s">
        <v>35</v>
      </c>
      <c r="B16" s="75">
        <f>B4*0.17</f>
        <v>59.500000000000007</v>
      </c>
      <c r="C16" s="28">
        <v>0.13200000000000001</v>
      </c>
      <c r="D16" s="22">
        <f>B16*C16</f>
        <v>7.854000000000001</v>
      </c>
      <c r="E16" s="73">
        <f t="shared" si="3"/>
        <v>59.500000000000007</v>
      </c>
      <c r="F16" s="28">
        <f t="shared" si="3"/>
        <v>0.13200000000000001</v>
      </c>
      <c r="G16" s="22">
        <f>E16*F16</f>
        <v>7.854000000000001</v>
      </c>
      <c r="H16" s="22">
        <f t="shared" si="1"/>
        <v>0</v>
      </c>
      <c r="I16" s="23">
        <f t="shared" si="2"/>
        <v>0</v>
      </c>
      <c r="J16" s="23"/>
      <c r="K16" s="108">
        <f t="shared" si="4"/>
        <v>8.6974623218839392E-2</v>
      </c>
    </row>
    <row r="17" spans="1:11" s="1" customFormat="1" x14ac:dyDescent="0.2">
      <c r="A17" s="109" t="s">
        <v>36</v>
      </c>
      <c r="B17" s="75">
        <f>B4*0.18</f>
        <v>63</v>
      </c>
      <c r="C17" s="28">
        <v>0.18</v>
      </c>
      <c r="D17" s="22">
        <f>B17*C17</f>
        <v>11.34</v>
      </c>
      <c r="E17" s="73">
        <f t="shared" si="3"/>
        <v>63</v>
      </c>
      <c r="F17" s="28">
        <f t="shared" si="3"/>
        <v>0.18</v>
      </c>
      <c r="G17" s="22">
        <f>E17*F17</f>
        <v>11.34</v>
      </c>
      <c r="H17" s="22">
        <f t="shared" si="1"/>
        <v>0</v>
      </c>
      <c r="I17" s="23">
        <f t="shared" si="2"/>
        <v>0</v>
      </c>
      <c r="J17" s="23"/>
      <c r="K17" s="108">
        <f t="shared" si="4"/>
        <v>0.12557833298976809</v>
      </c>
    </row>
    <row r="18" spans="1:11" s="1" customFormat="1" x14ac:dyDescent="0.2">
      <c r="A18" s="61" t="s">
        <v>37</v>
      </c>
      <c r="B18" s="29"/>
      <c r="C18" s="30"/>
      <c r="D18" s="30">
        <f>SUM(D15:D17)</f>
        <v>38.986499999999992</v>
      </c>
      <c r="E18" s="77"/>
      <c r="F18" s="30"/>
      <c r="G18" s="30">
        <f>SUM(G15:G17)</f>
        <v>38.986499999999992</v>
      </c>
      <c r="H18" s="31">
        <f t="shared" si="1"/>
        <v>0</v>
      </c>
      <c r="I18" s="32">
        <f t="shared" si="2"/>
        <v>0</v>
      </c>
      <c r="J18" s="33">
        <f t="shared" ref="J18:J26" si="5">G18/$G$46</f>
        <v>0.44789865787305888</v>
      </c>
      <c r="K18" s="62">
        <f t="shared" si="4"/>
        <v>0.43173365776945261</v>
      </c>
    </row>
    <row r="19" spans="1:11" x14ac:dyDescent="0.2">
      <c r="A19" s="107" t="s">
        <v>38</v>
      </c>
      <c r="B19" s="73">
        <v>1</v>
      </c>
      <c r="C19" s="122">
        <f>VLOOKUP($B$3,'Data for Bill Impacts'!$A$3:$Y$15,7,0)</f>
        <v>31.3</v>
      </c>
      <c r="D19" s="22">
        <f>B19*C19</f>
        <v>31.3</v>
      </c>
      <c r="E19" s="73">
        <f t="shared" si="0"/>
        <v>1</v>
      </c>
      <c r="F19" s="122">
        <f>VLOOKUP($B$3,'Data for Bill Impacts'!$A$3:$Y$15,17,0)</f>
        <v>35.880000000000003</v>
      </c>
      <c r="G19" s="22">
        <f>E19*F19</f>
        <v>35.880000000000003</v>
      </c>
      <c r="H19" s="22">
        <f t="shared" si="1"/>
        <v>4.5800000000000018</v>
      </c>
      <c r="I19" s="23">
        <f t="shared" si="2"/>
        <v>0.14632587859424925</v>
      </c>
      <c r="J19" s="23">
        <f t="shared" si="5"/>
        <v>0.41220945313083646</v>
      </c>
      <c r="K19" s="108">
        <f t="shared" si="4"/>
        <v>0.39733250332212339</v>
      </c>
    </row>
    <row r="20" spans="1:11" hidden="1" x14ac:dyDescent="0.2">
      <c r="A20" s="107" t="s">
        <v>83</v>
      </c>
      <c r="B20" s="73">
        <v>1</v>
      </c>
      <c r="C20" s="78">
        <f>VLOOKUP($B$3,'Data for Bill Impacts'!$A$3:$Y$15,8,0)</f>
        <v>0</v>
      </c>
      <c r="D20" s="22">
        <f>B20*C20</f>
        <v>0</v>
      </c>
      <c r="E20" s="73">
        <f t="shared" si="0"/>
        <v>1</v>
      </c>
      <c r="F20" s="78">
        <v>0</v>
      </c>
      <c r="G20" s="22">
        <f t="shared" ref="G20:G22" si="6">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7">B21*C21</f>
        <v>0</v>
      </c>
      <c r="E21" s="73">
        <f t="shared" si="0"/>
        <v>1</v>
      </c>
      <c r="F21" s="122">
        <f>VLOOKUP($B$3,'Data for Bill Impacts'!$A$3:$Y$15,12,0)</f>
        <v>0</v>
      </c>
      <c r="G21" s="22">
        <f t="shared" si="6"/>
        <v>0</v>
      </c>
      <c r="H21" s="22">
        <f t="shared" ref="H21:H22" si="8">G21-D21</f>
        <v>0</v>
      </c>
      <c r="I21" s="23">
        <f t="shared" ref="I21:I22" si="9">IF(ISERROR(H21/D21),0,(H21/D21))</f>
        <v>0</v>
      </c>
      <c r="J21" s="23">
        <f t="shared" si="5"/>
        <v>0</v>
      </c>
      <c r="K21" s="108">
        <f t="shared" si="4"/>
        <v>0</v>
      </c>
    </row>
    <row r="22" spans="1:11" x14ac:dyDescent="0.2">
      <c r="A22" s="107" t="s">
        <v>85</v>
      </c>
      <c r="B22" s="73">
        <v>1</v>
      </c>
      <c r="C22" s="78">
        <f>VLOOKUP($B$3,'Data for Bill Impacts'!$A$3:$Y$15,13,0)</f>
        <v>0.01</v>
      </c>
      <c r="D22" s="22">
        <f t="shared" si="7"/>
        <v>0.01</v>
      </c>
      <c r="E22" s="73">
        <f t="shared" si="0"/>
        <v>1</v>
      </c>
      <c r="F22" s="122">
        <f>VLOOKUP($B$3,'Data for Bill Impacts'!$A$3:$Y$15,22,0)</f>
        <v>0.01</v>
      </c>
      <c r="G22" s="22">
        <f t="shared" si="6"/>
        <v>0.01</v>
      </c>
      <c r="H22" s="22">
        <f t="shared" si="8"/>
        <v>0</v>
      </c>
      <c r="I22" s="23">
        <f t="shared" si="9"/>
        <v>0</v>
      </c>
      <c r="J22" s="23">
        <f t="shared" si="5"/>
        <v>1.1488557779566233E-4</v>
      </c>
      <c r="K22" s="108">
        <f t="shared" si="4"/>
        <v>1.1073927071408121E-4</v>
      </c>
    </row>
    <row r="23" spans="1:11" x14ac:dyDescent="0.2">
      <c r="A23" s="107" t="s">
        <v>39</v>
      </c>
      <c r="B23" s="73">
        <f>IF($B$9="kWh",$B$4,$B$5)</f>
        <v>350</v>
      </c>
      <c r="C23" s="78">
        <f>VLOOKUP($B$3,'Data for Bill Impacts'!$A$3:$Y$15,10,0)</f>
        <v>4.7000000000000002E-3</v>
      </c>
      <c r="D23" s="22">
        <f>B23*C23</f>
        <v>1.645</v>
      </c>
      <c r="E23" s="73">
        <f t="shared" si="0"/>
        <v>350</v>
      </c>
      <c r="F23" s="126">
        <f>VLOOKUP($B$3,'Data for Bill Impacts'!$A$3:$Y$15,19,0)</f>
        <v>0</v>
      </c>
      <c r="G23" s="22">
        <f>E23*F23</f>
        <v>0</v>
      </c>
      <c r="H23" s="22">
        <f t="shared" si="1"/>
        <v>-1.645</v>
      </c>
      <c r="I23" s="23">
        <f t="shared" si="2"/>
        <v>-1</v>
      </c>
      <c r="J23" s="23">
        <f t="shared" si="5"/>
        <v>0</v>
      </c>
      <c r="K23" s="108">
        <f t="shared" si="4"/>
        <v>0</v>
      </c>
    </row>
    <row r="24" spans="1:11" x14ac:dyDescent="0.2">
      <c r="A24" s="107" t="s">
        <v>121</v>
      </c>
      <c r="B24" s="73">
        <f>IF($B$9="kWh",$B$4,$B$5)</f>
        <v>350</v>
      </c>
      <c r="C24" s="126">
        <f>VLOOKUP($B$3,'Data for Bill Impacts'!$A$3:$Y$15,14,0)</f>
        <v>2.0000000000000001E-4</v>
      </c>
      <c r="D24" s="22">
        <f>B24*C24</f>
        <v>7.0000000000000007E-2</v>
      </c>
      <c r="E24" s="73">
        <f>B24</f>
        <v>350</v>
      </c>
      <c r="F24" s="126">
        <f>VLOOKUP($B$3,'Data for Bill Impacts'!$A$3:$Y$15,23,0)</f>
        <v>2.0000000000000001E-4</v>
      </c>
      <c r="G24" s="22">
        <f>E24*F24</f>
        <v>7.0000000000000007E-2</v>
      </c>
      <c r="H24" s="22">
        <f t="shared" ref="H24" si="10">G24-D24</f>
        <v>0</v>
      </c>
      <c r="I24" s="23">
        <f>IF(ISERROR(H24/D24),0,(H24/D24))</f>
        <v>0</v>
      </c>
      <c r="J24" s="23">
        <f t="shared" si="5"/>
        <v>8.0419904456963641E-4</v>
      </c>
      <c r="K24" s="108">
        <f t="shared" si="4"/>
        <v>7.7517489499856853E-4</v>
      </c>
    </row>
    <row r="25" spans="1:11" s="1" customFormat="1" x14ac:dyDescent="0.2">
      <c r="A25" s="110" t="s">
        <v>72</v>
      </c>
      <c r="B25" s="74"/>
      <c r="C25" s="35"/>
      <c r="D25" s="35">
        <f>SUM(D19:D24)</f>
        <v>33.025000000000006</v>
      </c>
      <c r="E25" s="73"/>
      <c r="F25" s="35"/>
      <c r="G25" s="35">
        <f>SUM(G19:G24)</f>
        <v>35.96</v>
      </c>
      <c r="H25" s="35">
        <f t="shared" si="1"/>
        <v>2.9349999999999952</v>
      </c>
      <c r="I25" s="36">
        <f t="shared" si="2"/>
        <v>8.8872066616199688E-2</v>
      </c>
      <c r="J25" s="36">
        <f t="shared" si="5"/>
        <v>0.41312853775320174</v>
      </c>
      <c r="K25" s="111">
        <f t="shared" si="4"/>
        <v>0.39821841748783604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9.0759606458573252E-3</v>
      </c>
      <c r="K26" s="108">
        <f t="shared" si="4"/>
        <v>8.7484023864124166E-3</v>
      </c>
    </row>
    <row r="27" spans="1:11" s="1" customFormat="1" x14ac:dyDescent="0.2">
      <c r="A27" s="119" t="s">
        <v>75</v>
      </c>
      <c r="B27" s="120">
        <f>B8-B4</f>
        <v>19.949999999999989</v>
      </c>
      <c r="C27" s="121">
        <f>IF(B4&gt;B7,C13,C12)</f>
        <v>0.10299999999999999</v>
      </c>
      <c r="D27" s="22">
        <f>B27*C27</f>
        <v>2.0548499999999987</v>
      </c>
      <c r="E27" s="73">
        <f>B27</f>
        <v>19.949999999999989</v>
      </c>
      <c r="F27" s="121">
        <f>C27</f>
        <v>0.10299999999999999</v>
      </c>
      <c r="G27" s="22">
        <f>E27*F27</f>
        <v>2.0548499999999987</v>
      </c>
      <c r="H27" s="22">
        <f t="shared" ref="H27:H29" si="11">G27-D27</f>
        <v>0</v>
      </c>
      <c r="I27" s="23">
        <f>IF(ISERROR(H27/D27),0,(H27/D27))</f>
        <v>0</v>
      </c>
      <c r="J27" s="23">
        <f t="shared" ref="J27:J29" si="12">G27/$G$46</f>
        <v>2.3607262953341659E-2</v>
      </c>
      <c r="K27" s="108">
        <f t="shared" ref="K27:K29" si="13">G27/$G$51</f>
        <v>2.2755259042682961E-2</v>
      </c>
    </row>
    <row r="28" spans="1:11" s="1" customFormat="1" x14ac:dyDescent="0.2">
      <c r="A28" s="119" t="s">
        <v>74</v>
      </c>
      <c r="B28" s="120">
        <f>B8-B4</f>
        <v>19.949999999999989</v>
      </c>
      <c r="C28" s="121">
        <f>0.65*C15+0.17*C16+0.18*C17</f>
        <v>0.11139</v>
      </c>
      <c r="D28" s="22">
        <f>B28*C28</f>
        <v>2.2222304999999989</v>
      </c>
      <c r="E28" s="73">
        <f>B28</f>
        <v>19.949999999999989</v>
      </c>
      <c r="F28" s="121">
        <f>C28</f>
        <v>0.11139</v>
      </c>
      <c r="G28" s="22">
        <f>E28*F28</f>
        <v>2.2222304999999989</v>
      </c>
      <c r="H28" s="22">
        <f t="shared" ref="H28" si="14">G28-D28</f>
        <v>0</v>
      </c>
      <c r="I28" s="23">
        <f>IF(ISERROR(H28/D28),0,(H28/D28))</f>
        <v>0</v>
      </c>
      <c r="J28" s="23">
        <f t="shared" ref="J28" si="15">G28/$G$46</f>
        <v>2.5530223498764347E-2</v>
      </c>
      <c r="K28" s="108">
        <f t="shared" ref="K28" si="16">G28/$G$51</f>
        <v>2.4608818492858793E-2</v>
      </c>
    </row>
    <row r="29" spans="1:11" s="1" customFormat="1" x14ac:dyDescent="0.2">
      <c r="A29" s="110" t="s">
        <v>78</v>
      </c>
      <c r="B29" s="74"/>
      <c r="C29" s="35"/>
      <c r="D29" s="35">
        <f>SUM(D25,D26:D27)</f>
        <v>35.869850000000007</v>
      </c>
      <c r="E29" s="73"/>
      <c r="F29" s="35"/>
      <c r="G29" s="35">
        <f>SUM(G25,G26:G27)</f>
        <v>38.804850000000002</v>
      </c>
      <c r="H29" s="35">
        <f t="shared" si="11"/>
        <v>2.9349999999999952</v>
      </c>
      <c r="I29" s="36">
        <f>IF(ISERROR(H29/D29),0,(H29/D29))</f>
        <v>8.1823592794505545E-2</v>
      </c>
      <c r="J29" s="36">
        <f t="shared" si="12"/>
        <v>0.44581176135240075</v>
      </c>
      <c r="K29" s="111">
        <f t="shared" si="13"/>
        <v>0.42972207891693143</v>
      </c>
    </row>
    <row r="30" spans="1:11" s="1" customFormat="1" x14ac:dyDescent="0.2">
      <c r="A30" s="110" t="s">
        <v>77</v>
      </c>
      <c r="B30" s="74"/>
      <c r="C30" s="35"/>
      <c r="D30" s="35">
        <f>SUM(D25,D26,D28)</f>
        <v>36.037230500000007</v>
      </c>
      <c r="E30" s="73"/>
      <c r="F30" s="35"/>
      <c r="G30" s="35">
        <f>SUM(G25,G26,G28)</f>
        <v>38.972230500000002</v>
      </c>
      <c r="H30" s="35">
        <f t="shared" ref="H30" si="17">G30-D30</f>
        <v>2.9349999999999952</v>
      </c>
      <c r="I30" s="36">
        <f>IF(ISERROR(H30/D30),0,(H30/D30))</f>
        <v>8.1443550441535589E-2</v>
      </c>
      <c r="J30" s="36">
        <f t="shared" ref="J30" si="18">G30/$G$46</f>
        <v>0.44773472189782343</v>
      </c>
      <c r="K30" s="111">
        <f t="shared" ref="K30" si="19">G30/$G$51</f>
        <v>0.43157563836710727</v>
      </c>
    </row>
    <row r="31" spans="1:11" x14ac:dyDescent="0.2">
      <c r="A31" s="107" t="s">
        <v>40</v>
      </c>
      <c r="B31" s="73">
        <f>B8</f>
        <v>369.95</v>
      </c>
      <c r="C31" s="126">
        <f>VLOOKUP($B$3,'Data for Bill Impacts'!$A$3:$Y$15,15,0)</f>
        <v>7.8279999999999999E-3</v>
      </c>
      <c r="D31" s="22">
        <f>B31*C31</f>
        <v>2.8959685999999998</v>
      </c>
      <c r="E31" s="73">
        <f t="shared" si="0"/>
        <v>369.95</v>
      </c>
      <c r="F31" s="126">
        <f>VLOOKUP($B$3,'Data for Bill Impacts'!$A$3:$Y$15,24,0)</f>
        <v>7.8279999999999999E-3</v>
      </c>
      <c r="G31" s="22">
        <f>E31*F31</f>
        <v>2.8959685999999998</v>
      </c>
      <c r="H31" s="22">
        <f t="shared" si="1"/>
        <v>0</v>
      </c>
      <c r="I31" s="23">
        <f t="shared" si="2"/>
        <v>0</v>
      </c>
      <c r="J31" s="23">
        <f t="shared" ref="J31:J46" si="20">G31/$G$46</f>
        <v>3.3270502588909533E-2</v>
      </c>
      <c r="K31" s="108">
        <f t="shared" ref="K31:K41" si="21">G31/$G$51</f>
        <v>3.2069745077487874E-2</v>
      </c>
    </row>
    <row r="32" spans="1:11" x14ac:dyDescent="0.2">
      <c r="A32" s="107" t="s">
        <v>41</v>
      </c>
      <c r="B32" s="73">
        <f>B8</f>
        <v>369.95</v>
      </c>
      <c r="C32" s="126">
        <f>VLOOKUP($B$3,'Data for Bill Impacts'!$A$3:$Y$15,16,0)</f>
        <v>6.4380000000000001E-3</v>
      </c>
      <c r="D32" s="22">
        <f>B32*C32</f>
        <v>2.3817381000000002</v>
      </c>
      <c r="E32" s="73">
        <f t="shared" si="0"/>
        <v>369.95</v>
      </c>
      <c r="F32" s="126">
        <f>VLOOKUP($B$3,'Data for Bill Impacts'!$A$3:$Y$15,25,0)</f>
        <v>6.4380000000000001E-3</v>
      </c>
      <c r="G32" s="22">
        <f>E32*F32</f>
        <v>2.3817381000000002</v>
      </c>
      <c r="H32" s="22">
        <f t="shared" si="1"/>
        <v>0</v>
      </c>
      <c r="I32" s="23">
        <f t="shared" si="2"/>
        <v>0</v>
      </c>
      <c r="J32" s="23">
        <f t="shared" si="20"/>
        <v>2.7362735777644302E-2</v>
      </c>
      <c r="K32" s="108">
        <f t="shared" si="21"/>
        <v>2.6375194022594143E-2</v>
      </c>
    </row>
    <row r="33" spans="1:11" s="1" customFormat="1" x14ac:dyDescent="0.2">
      <c r="A33" s="110" t="s">
        <v>76</v>
      </c>
      <c r="B33" s="74"/>
      <c r="C33" s="35"/>
      <c r="D33" s="35">
        <f>SUM(D31:D32)</f>
        <v>5.2777066999999995</v>
      </c>
      <c r="E33" s="73"/>
      <c r="F33" s="35"/>
      <c r="G33" s="35">
        <f>SUM(G31:G32)</f>
        <v>5.2777066999999995</v>
      </c>
      <c r="H33" s="35">
        <f t="shared" si="1"/>
        <v>0</v>
      </c>
      <c r="I33" s="36">
        <f t="shared" si="2"/>
        <v>0</v>
      </c>
      <c r="J33" s="36">
        <f t="shared" si="20"/>
        <v>6.0633238366553828E-2</v>
      </c>
      <c r="K33" s="111">
        <f t="shared" si="21"/>
        <v>5.8444939100082013E-2</v>
      </c>
    </row>
    <row r="34" spans="1:11" s="1" customFormat="1" x14ac:dyDescent="0.2">
      <c r="A34" s="110" t="s">
        <v>91</v>
      </c>
      <c r="B34" s="74"/>
      <c r="C34" s="35"/>
      <c r="D34" s="35">
        <f>D29+D33</f>
        <v>41.14755670000001</v>
      </c>
      <c r="E34" s="73"/>
      <c r="F34" s="35"/>
      <c r="G34" s="35">
        <f>G29+G33</f>
        <v>44.082556699999998</v>
      </c>
      <c r="H34" s="35">
        <f t="shared" si="1"/>
        <v>2.9349999999999881</v>
      </c>
      <c r="I34" s="36">
        <f t="shared" si="2"/>
        <v>7.1328658014826615E-2</v>
      </c>
      <c r="J34" s="36">
        <f t="shared" si="20"/>
        <v>0.50644499971895451</v>
      </c>
      <c r="K34" s="111">
        <f t="shared" si="21"/>
        <v>0.4881670180170134</v>
      </c>
    </row>
    <row r="35" spans="1:11" s="1" customFormat="1" x14ac:dyDescent="0.2">
      <c r="A35" s="110" t="s">
        <v>92</v>
      </c>
      <c r="B35" s="74"/>
      <c r="C35" s="35"/>
      <c r="D35" s="35">
        <f>D30+D33</f>
        <v>41.314937200000003</v>
      </c>
      <c r="E35" s="73"/>
      <c r="F35" s="35"/>
      <c r="G35" s="35">
        <f>G30+G33</f>
        <v>44.249937200000005</v>
      </c>
      <c r="H35" s="35">
        <f t="shared" ref="H35" si="22">G35-D35</f>
        <v>2.9350000000000023</v>
      </c>
      <c r="I35" s="36">
        <f t="shared" ref="I35" si="23">IF(ISERROR(H35/D35),0,(H35/D35))</f>
        <v>7.1039681986978839E-2</v>
      </c>
      <c r="J35" s="36">
        <f t="shared" ref="J35" si="24">G35/$G$46</f>
        <v>0.50836796026437736</v>
      </c>
      <c r="K35" s="111">
        <f t="shared" ref="K35" si="25">G35/$G$51</f>
        <v>0.4900205774671893</v>
      </c>
    </row>
    <row r="36" spans="1:11" x14ac:dyDescent="0.2">
      <c r="A36" s="107" t="s">
        <v>42</v>
      </c>
      <c r="B36" s="73">
        <f>B8</f>
        <v>369.95</v>
      </c>
      <c r="C36" s="34">
        <v>3.5999999999999999E-3</v>
      </c>
      <c r="D36" s="22">
        <f>B36*C36</f>
        <v>1.33182</v>
      </c>
      <c r="E36" s="73">
        <f t="shared" si="0"/>
        <v>369.95</v>
      </c>
      <c r="F36" s="34">
        <v>3.5999999999999999E-3</v>
      </c>
      <c r="G36" s="22">
        <f>E36*F36</f>
        <v>1.33182</v>
      </c>
      <c r="H36" s="22">
        <f t="shared" si="1"/>
        <v>0</v>
      </c>
      <c r="I36" s="23">
        <f t="shared" si="2"/>
        <v>0</v>
      </c>
      <c r="J36" s="23">
        <f t="shared" si="20"/>
        <v>1.5300691021981901E-2</v>
      </c>
      <c r="K36" s="108">
        <f t="shared" si="21"/>
        <v>1.4748477552242763E-2</v>
      </c>
    </row>
    <row r="37" spans="1:11" x14ac:dyDescent="0.2">
      <c r="A37" s="107" t="s">
        <v>43</v>
      </c>
      <c r="B37" s="73">
        <f>B8</f>
        <v>369.95</v>
      </c>
      <c r="C37" s="34">
        <v>2.0999999999999999E-3</v>
      </c>
      <c r="D37" s="22">
        <f>B37*C37</f>
        <v>0.77689499999999989</v>
      </c>
      <c r="E37" s="73">
        <f t="shared" si="0"/>
        <v>369.95</v>
      </c>
      <c r="F37" s="34">
        <v>2.0999999999999999E-3</v>
      </c>
      <c r="G37" s="22">
        <f>E37*F37</f>
        <v>0.77689499999999989</v>
      </c>
      <c r="H37" s="22">
        <f>G37-D37</f>
        <v>0</v>
      </c>
      <c r="I37" s="23">
        <f t="shared" si="2"/>
        <v>0</v>
      </c>
      <c r="J37" s="23">
        <f t="shared" si="20"/>
        <v>8.9254030961561075E-3</v>
      </c>
      <c r="K37" s="108">
        <f t="shared" si="21"/>
        <v>8.6032785721416108E-3</v>
      </c>
    </row>
    <row r="38" spans="1:11" x14ac:dyDescent="0.2">
      <c r="A38" s="107" t="s">
        <v>96</v>
      </c>
      <c r="B38" s="73">
        <f>B8</f>
        <v>369.95</v>
      </c>
      <c r="C38" s="34">
        <v>1.1000000000000001E-3</v>
      </c>
      <c r="D38" s="22">
        <f>B38*C38</f>
        <v>0.406945</v>
      </c>
      <c r="E38" s="73">
        <f t="shared" si="0"/>
        <v>369.95</v>
      </c>
      <c r="F38" s="34">
        <v>1.1000000000000001E-3</v>
      </c>
      <c r="G38" s="22">
        <f>E38*F38</f>
        <v>0.406945</v>
      </c>
      <c r="H38" s="22">
        <f>G38-D38</f>
        <v>0</v>
      </c>
      <c r="I38" s="23">
        <f t="shared" ref="I38" si="26">IF(ISERROR(H38/D38),0,(H38/D38))</f>
        <v>0</v>
      </c>
      <c r="J38" s="23">
        <f t="shared" ref="J38" si="27">G38/$G$46</f>
        <v>4.6752111456055808E-3</v>
      </c>
      <c r="K38" s="108">
        <f t="shared" ref="K38" si="28">G38/$G$51</f>
        <v>4.5064792520741774E-3</v>
      </c>
    </row>
    <row r="39" spans="1:11" x14ac:dyDescent="0.2">
      <c r="A39" s="107" t="s">
        <v>44</v>
      </c>
      <c r="B39" s="73">
        <v>1</v>
      </c>
      <c r="C39" s="22">
        <v>0.25</v>
      </c>
      <c r="D39" s="22">
        <f>B39*C39</f>
        <v>0.25</v>
      </c>
      <c r="E39" s="73">
        <f t="shared" si="0"/>
        <v>1</v>
      </c>
      <c r="F39" s="22">
        <f>C39</f>
        <v>0.25</v>
      </c>
      <c r="G39" s="22">
        <f>E39*F39</f>
        <v>0.25</v>
      </c>
      <c r="H39" s="22">
        <f t="shared" si="1"/>
        <v>0</v>
      </c>
      <c r="I39" s="23">
        <f t="shared" si="2"/>
        <v>0</v>
      </c>
      <c r="J39" s="23">
        <f t="shared" si="20"/>
        <v>2.8721394448915582E-3</v>
      </c>
      <c r="K39" s="108">
        <f t="shared" si="21"/>
        <v>2.7684817678520304E-3</v>
      </c>
    </row>
    <row r="40" spans="1:11" s="1" customFormat="1" x14ac:dyDescent="0.2">
      <c r="A40" s="110" t="s">
        <v>45</v>
      </c>
      <c r="B40" s="74"/>
      <c r="C40" s="35"/>
      <c r="D40" s="35">
        <f>SUM(D36:D39)</f>
        <v>2.76566</v>
      </c>
      <c r="E40" s="73"/>
      <c r="F40" s="35"/>
      <c r="G40" s="35">
        <f>SUM(G36:G39)</f>
        <v>2.76566</v>
      </c>
      <c r="H40" s="35">
        <f t="shared" si="1"/>
        <v>0</v>
      </c>
      <c r="I40" s="36">
        <f t="shared" si="2"/>
        <v>0</v>
      </c>
      <c r="J40" s="36">
        <f t="shared" si="20"/>
        <v>3.1773444708635148E-2</v>
      </c>
      <c r="K40" s="111">
        <f t="shared" si="21"/>
        <v>3.0626717144310582E-2</v>
      </c>
    </row>
    <row r="41" spans="1:11" s="1" customFormat="1" ht="13.5" thickBot="1" x14ac:dyDescent="0.25">
      <c r="A41" s="112" t="s">
        <v>46</v>
      </c>
      <c r="B41" s="113">
        <f>B4</f>
        <v>350</v>
      </c>
      <c r="C41" s="114">
        <v>0</v>
      </c>
      <c r="D41" s="115">
        <f>B41*C41</f>
        <v>0</v>
      </c>
      <c r="E41" s="116">
        <f t="shared" si="0"/>
        <v>350</v>
      </c>
      <c r="F41" s="114">
        <f>C41</f>
        <v>0</v>
      </c>
      <c r="G41" s="115">
        <f>E41*F41</f>
        <v>0</v>
      </c>
      <c r="H41" s="115">
        <f t="shared" si="1"/>
        <v>0</v>
      </c>
      <c r="I41" s="117">
        <f t="shared" si="2"/>
        <v>0</v>
      </c>
      <c r="J41" s="117">
        <f t="shared" si="20"/>
        <v>0</v>
      </c>
      <c r="K41" s="118">
        <f t="shared" si="21"/>
        <v>0</v>
      </c>
    </row>
    <row r="42" spans="1:11" s="1" customFormat="1" x14ac:dyDescent="0.2">
      <c r="A42" s="37" t="s">
        <v>101</v>
      </c>
      <c r="B42" s="38"/>
      <c r="C42" s="39"/>
      <c r="D42" s="39">
        <f>SUM(D14,D25,D26,D27,D33,D40,D41)</f>
        <v>79.963216700000004</v>
      </c>
      <c r="E42" s="38"/>
      <c r="F42" s="39"/>
      <c r="G42" s="39">
        <f>SUM(G14,G25,G26,G27,G33,G40,G41)</f>
        <v>82.898216699999992</v>
      </c>
      <c r="H42" s="39">
        <f t="shared" si="1"/>
        <v>2.9349999999999881</v>
      </c>
      <c r="I42" s="40">
        <f>IF(ISERROR(H42/D42),0,(H42/D42))</f>
        <v>3.6704376351082785E-2</v>
      </c>
      <c r="J42" s="40">
        <f t="shared" si="20"/>
        <v>0.95238095238095233</v>
      </c>
      <c r="K42" s="41"/>
    </row>
    <row r="43" spans="1:11" x14ac:dyDescent="0.2">
      <c r="A43" s="154" t="s">
        <v>102</v>
      </c>
      <c r="B43" s="43"/>
      <c r="C43" s="26">
        <v>0.13</v>
      </c>
      <c r="D43" s="26">
        <f>D42*C43</f>
        <v>10.395218171000002</v>
      </c>
      <c r="E43" s="26"/>
      <c r="F43" s="26">
        <f>C43</f>
        <v>0.13</v>
      </c>
      <c r="G43" s="26">
        <f>G42*F43</f>
        <v>10.776768170999999</v>
      </c>
      <c r="H43" s="26">
        <f t="shared" si="1"/>
        <v>0.38154999999999717</v>
      </c>
      <c r="I43" s="44">
        <f t="shared" si="2"/>
        <v>3.670437635108266E-2</v>
      </c>
      <c r="J43" s="44">
        <f t="shared" si="20"/>
        <v>0.1238095238095238</v>
      </c>
      <c r="K43" s="45"/>
    </row>
    <row r="44" spans="1:11" s="1" customFormat="1" x14ac:dyDescent="0.2">
      <c r="A44" s="46" t="s">
        <v>103</v>
      </c>
      <c r="B44" s="24"/>
      <c r="C44" s="25"/>
      <c r="D44" s="25">
        <f>SUM(D42:D43)</f>
        <v>90.358434871</v>
      </c>
      <c r="E44" s="25"/>
      <c r="F44" s="25"/>
      <c r="G44" s="25">
        <f>SUM(G42:G43)</f>
        <v>93.674984870999992</v>
      </c>
      <c r="H44" s="25">
        <f t="shared" si="1"/>
        <v>3.3165499999999923</v>
      </c>
      <c r="I44" s="27">
        <f t="shared" si="2"/>
        <v>3.6704376351082847E-2</v>
      </c>
      <c r="J44" s="27">
        <f t="shared" si="20"/>
        <v>1.0761904761904761</v>
      </c>
      <c r="K44" s="47"/>
    </row>
    <row r="45" spans="1:11" x14ac:dyDescent="0.2">
      <c r="A45" s="42" t="s">
        <v>104</v>
      </c>
      <c r="B45" s="43"/>
      <c r="C45" s="26">
        <v>-0.08</v>
      </c>
      <c r="D45" s="26">
        <f>D42*C45</f>
        <v>-6.3970573360000005</v>
      </c>
      <c r="E45" s="26"/>
      <c r="F45" s="26">
        <f>C45</f>
        <v>-0.08</v>
      </c>
      <c r="G45" s="26">
        <f>G42*F45</f>
        <v>-6.6318573359999995</v>
      </c>
      <c r="H45" s="26">
        <f t="shared" si="1"/>
        <v>-0.23479999999999901</v>
      </c>
      <c r="I45" s="44">
        <f t="shared" si="2"/>
        <v>3.6704376351082778E-2</v>
      </c>
      <c r="J45" s="44">
        <f t="shared" si="20"/>
        <v>-7.6190476190476183E-2</v>
      </c>
      <c r="K45" s="45"/>
    </row>
    <row r="46" spans="1:11" s="1" customFormat="1" ht="13.5" thickBot="1" x14ac:dyDescent="0.25">
      <c r="A46" s="48" t="s">
        <v>105</v>
      </c>
      <c r="B46" s="49"/>
      <c r="C46" s="50"/>
      <c r="D46" s="50">
        <f>SUM(D44:D45)</f>
        <v>83.961377534999997</v>
      </c>
      <c r="E46" s="50"/>
      <c r="F46" s="50"/>
      <c r="G46" s="50">
        <f>SUM(G44:G45)</f>
        <v>87.043127534999996</v>
      </c>
      <c r="H46" s="50">
        <f t="shared" si="1"/>
        <v>3.0817499999999995</v>
      </c>
      <c r="I46" s="51">
        <f t="shared" si="2"/>
        <v>3.670437635108293E-2</v>
      </c>
      <c r="J46" s="51">
        <f t="shared" si="20"/>
        <v>1</v>
      </c>
      <c r="K46" s="52"/>
    </row>
    <row r="47" spans="1:11" x14ac:dyDescent="0.2">
      <c r="A47" s="53" t="s">
        <v>106</v>
      </c>
      <c r="B47" s="54"/>
      <c r="C47" s="55"/>
      <c r="D47" s="55">
        <f>SUM(D18,D25,D26,D28,D33,D40,D41)</f>
        <v>83.067097199999992</v>
      </c>
      <c r="E47" s="55"/>
      <c r="F47" s="55"/>
      <c r="G47" s="55">
        <f>SUM(G18,G25,G26,G28,G33,G40,G41)</f>
        <v>86.00209719999998</v>
      </c>
      <c r="H47" s="55">
        <f>G47-D47</f>
        <v>2.9349999999999881</v>
      </c>
      <c r="I47" s="56">
        <f>IF(ISERROR(H47/D47),0,(H47/D47))</f>
        <v>3.5332882680773253E-2</v>
      </c>
      <c r="J47" s="56"/>
      <c r="K47" s="57">
        <f>G47/$G$51</f>
        <v>0.95238095238095233</v>
      </c>
    </row>
    <row r="48" spans="1:11" x14ac:dyDescent="0.2">
      <c r="A48" s="155" t="s">
        <v>102</v>
      </c>
      <c r="B48" s="59"/>
      <c r="C48" s="31">
        <v>0.13</v>
      </c>
      <c r="D48" s="31">
        <f>D47*C48</f>
        <v>10.798722635999999</v>
      </c>
      <c r="E48" s="31"/>
      <c r="F48" s="31">
        <f>C48</f>
        <v>0.13</v>
      </c>
      <c r="G48" s="31">
        <f>G47*F48</f>
        <v>11.180272635999998</v>
      </c>
      <c r="H48" s="31">
        <f>G48-D48</f>
        <v>0.38154999999999895</v>
      </c>
      <c r="I48" s="32">
        <f>IF(ISERROR(H48/D48),0,(H48/D48))</f>
        <v>3.5332882680773302E-2</v>
      </c>
      <c r="J48" s="32"/>
      <c r="K48" s="60">
        <f>G48/$G$51</f>
        <v>0.12380952380952381</v>
      </c>
    </row>
    <row r="49" spans="1:11" x14ac:dyDescent="0.2">
      <c r="A49" s="61" t="s">
        <v>107</v>
      </c>
      <c r="B49" s="29"/>
      <c r="C49" s="30"/>
      <c r="D49" s="30">
        <f>SUM(D47:D48)</f>
        <v>93.865819835999986</v>
      </c>
      <c r="E49" s="30"/>
      <c r="F49" s="30"/>
      <c r="G49" s="30">
        <f>SUM(G47:G48)</f>
        <v>97.182369835999978</v>
      </c>
      <c r="H49" s="30">
        <f>G49-D49</f>
        <v>3.3165499999999923</v>
      </c>
      <c r="I49" s="33">
        <f>IF(ISERROR(H49/D49),0,(H49/D49))</f>
        <v>3.5332882680773316E-2</v>
      </c>
      <c r="J49" s="33"/>
      <c r="K49" s="62">
        <f>G49/$G$51</f>
        <v>1.0761904761904761</v>
      </c>
    </row>
    <row r="50" spans="1:11" x14ac:dyDescent="0.2">
      <c r="A50" s="58" t="s">
        <v>104</v>
      </c>
      <c r="B50" s="59"/>
      <c r="C50" s="31">
        <v>-0.08</v>
      </c>
      <c r="D50" s="31">
        <f>D47*C50</f>
        <v>-6.6453677759999996</v>
      </c>
      <c r="E50" s="31"/>
      <c r="F50" s="31">
        <f>C50</f>
        <v>-0.08</v>
      </c>
      <c r="G50" s="31">
        <f>G47*F50</f>
        <v>-6.8801677759999986</v>
      </c>
      <c r="H50" s="31">
        <f>G50-D50</f>
        <v>-0.23479999999999901</v>
      </c>
      <c r="I50" s="32">
        <f>IF(ISERROR(H50/D50),0,(H50/D50))</f>
        <v>3.5332882680773246E-2</v>
      </c>
      <c r="J50" s="32"/>
      <c r="K50" s="60">
        <f>G50/$G$51</f>
        <v>-7.6190476190476183E-2</v>
      </c>
    </row>
    <row r="51" spans="1:11" ht="13.5" thickBot="1" x14ac:dyDescent="0.25">
      <c r="A51" s="63" t="s">
        <v>116</v>
      </c>
      <c r="B51" s="64"/>
      <c r="C51" s="65"/>
      <c r="D51" s="65">
        <f>SUM(D49:D50)</f>
        <v>87.220452059999985</v>
      </c>
      <c r="E51" s="65"/>
      <c r="F51" s="65"/>
      <c r="G51" s="65">
        <f>SUM(G49:G50)</f>
        <v>90.302202059999985</v>
      </c>
      <c r="H51" s="65">
        <f>G51-D51</f>
        <v>3.0817499999999995</v>
      </c>
      <c r="I51" s="66">
        <f>IF(ISERROR(H51/D51),0,(H51/D51))</f>
        <v>3.5332882680773392E-2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tint="0.499984740745262"/>
    <pageSetUpPr fitToPage="1"/>
  </sheetPr>
  <dimension ref="A1:J43"/>
  <sheetViews>
    <sheetView tabSelected="1" view="pageBreakPreview" zoomScaleNormal="100" zoomScaleSheetLayoutView="100" workbookViewId="0">
      <selection activeCell="C3" sqref="C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117</v>
      </c>
      <c r="B1" s="188"/>
      <c r="C1" s="188"/>
      <c r="D1" s="188"/>
      <c r="E1" s="188"/>
      <c r="F1" s="188"/>
      <c r="G1" s="188"/>
      <c r="H1" s="188"/>
      <c r="I1" s="188"/>
      <c r="J1" s="189"/>
    </row>
    <row r="3" spans="1:10" x14ac:dyDescent="0.2">
      <c r="A3" s="13" t="s">
        <v>13</v>
      </c>
      <c r="B3" s="13" t="s">
        <v>5</v>
      </c>
    </row>
    <row r="4" spans="1:10" x14ac:dyDescent="0.2">
      <c r="A4" s="15" t="s">
        <v>62</v>
      </c>
      <c r="B4" s="79">
        <v>15000</v>
      </c>
    </row>
    <row r="5" spans="1:10" x14ac:dyDescent="0.2">
      <c r="A5" s="15" t="s">
        <v>16</v>
      </c>
      <c r="B5" s="79">
        <v>60</v>
      </c>
    </row>
    <row r="6" spans="1:10" x14ac:dyDescent="0.2">
      <c r="A6" s="15" t="s">
        <v>20</v>
      </c>
      <c r="B6" s="80">
        <f>VLOOKUP($B$3,'Data for Bill Impacts'!$A$3:$Y$15,2,0)</f>
        <v>1.0609999999999999</v>
      </c>
    </row>
    <row r="7" spans="1:10" x14ac:dyDescent="0.2">
      <c r="A7" s="81" t="s">
        <v>48</v>
      </c>
      <c r="B7" s="82">
        <f>B4/(B5*730)</f>
        <v>0.34246575342465752</v>
      </c>
    </row>
    <row r="8" spans="1:10" x14ac:dyDescent="0.2">
      <c r="A8" s="15" t="s">
        <v>15</v>
      </c>
      <c r="B8" s="79">
        <f>VLOOKUP($B$3,'Data for Bill Impacts'!$A$3:$Y$15,4,0)</f>
        <v>0</v>
      </c>
    </row>
    <row r="9" spans="1:10" x14ac:dyDescent="0.2">
      <c r="A9" s="15" t="s">
        <v>82</v>
      </c>
      <c r="B9" s="79">
        <f>B4*B6</f>
        <v>15915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15915</v>
      </c>
      <c r="C13" s="103">
        <v>0.10299999999999999</v>
      </c>
      <c r="D13" s="104">
        <f>B13*C13</f>
        <v>1639.2449999999999</v>
      </c>
      <c r="E13" s="102">
        <f>B13</f>
        <v>15915</v>
      </c>
      <c r="F13" s="103">
        <f>C13</f>
        <v>0.10299999999999999</v>
      </c>
      <c r="G13" s="104">
        <f>E13*F13</f>
        <v>1639.2449999999999</v>
      </c>
      <c r="H13" s="104">
        <f>G13-D13</f>
        <v>0</v>
      </c>
      <c r="I13" s="105">
        <f>IF(ISERROR(H13/D13),0,(H13/D13))</f>
        <v>0</v>
      </c>
      <c r="J13" s="124">
        <f t="shared" ref="J13:J21" si="0">G13/$G$38</f>
        <v>0.44754602478903999</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1639.2449999999999</v>
      </c>
      <c r="E15" s="76"/>
      <c r="F15" s="25"/>
      <c r="G15" s="25">
        <f>SUM(G13:G14)</f>
        <v>1639.2449999999999</v>
      </c>
      <c r="H15" s="25">
        <f t="shared" si="2"/>
        <v>0</v>
      </c>
      <c r="I15" s="27">
        <f t="shared" si="3"/>
        <v>0</v>
      </c>
      <c r="J15" s="47">
        <f t="shared" si="0"/>
        <v>0.44754602478903999</v>
      </c>
    </row>
    <row r="16" spans="1:10" s="1" customFormat="1" x14ac:dyDescent="0.2">
      <c r="A16" s="107" t="s">
        <v>38</v>
      </c>
      <c r="B16" s="73">
        <v>1</v>
      </c>
      <c r="C16" s="78">
        <f>VLOOKUP($B$3,'Data for Bill Impacts'!$A$3:$Y$15,7,0)</f>
        <v>104.42</v>
      </c>
      <c r="D16" s="22">
        <f>B16*C16</f>
        <v>104.42</v>
      </c>
      <c r="E16" s="73">
        <f t="shared" ref="E16:E33" si="4">B16</f>
        <v>1</v>
      </c>
      <c r="F16" s="78">
        <f>VLOOKUP($B$3,'Data for Bill Impacts'!$A$3:$Y$15,17,0)</f>
        <v>106.28</v>
      </c>
      <c r="G16" s="22">
        <f>E16*F16</f>
        <v>106.28</v>
      </c>
      <c r="H16" s="22">
        <f t="shared" si="2"/>
        <v>1.8599999999999994</v>
      </c>
      <c r="I16" s="23">
        <f t="shared" si="3"/>
        <v>1.7812679563302045E-2</v>
      </c>
      <c r="J16" s="125">
        <f t="shared" si="0"/>
        <v>2.9016523774407835E-2</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v>0</v>
      </c>
      <c r="D18" s="22">
        <f t="shared" ref="D18:D19" si="6">B18*C18</f>
        <v>0</v>
      </c>
      <c r="E18" s="73">
        <f t="shared" si="4"/>
        <v>1</v>
      </c>
      <c r="F18" s="78">
        <v>0</v>
      </c>
      <c r="G18" s="22">
        <f t="shared" si="5"/>
        <v>0</v>
      </c>
      <c r="H18" s="22">
        <f t="shared" ref="H18" si="7">G18-D18</f>
        <v>0</v>
      </c>
      <c r="I18" s="23">
        <f t="shared" ref="I18" si="8">IF(ISERROR(H18/D18),0,(H18/D18))</f>
        <v>0</v>
      </c>
      <c r="J18" s="125">
        <f t="shared" si="0"/>
        <v>0</v>
      </c>
    </row>
    <row r="19" spans="1:10" x14ac:dyDescent="0.2">
      <c r="A19" s="107" t="s">
        <v>85</v>
      </c>
      <c r="B19" s="73">
        <v>1</v>
      </c>
      <c r="C19" s="78">
        <f>VLOOKUP($B$3,'Data for Bill Impacts'!$A$3:$Y$15,13,0)</f>
        <v>-0.02</v>
      </c>
      <c r="D19" s="22">
        <f t="shared" si="6"/>
        <v>-0.02</v>
      </c>
      <c r="E19" s="73">
        <f t="shared" si="4"/>
        <v>1</v>
      </c>
      <c r="F19" s="78">
        <f>VLOOKUP($B$3,'Data for Bill Impacts'!$A$3:$Y$15,22,0)</f>
        <v>-0.02</v>
      </c>
      <c r="G19" s="22">
        <f t="shared" si="5"/>
        <v>-0.02</v>
      </c>
      <c r="H19" s="22">
        <f t="shared" ref="H19" si="9">G19-D19</f>
        <v>0</v>
      </c>
      <c r="I19" s="23">
        <f t="shared" ref="I19" si="10">IF(ISERROR(H19/D19),0,(H19/D19))</f>
        <v>0</v>
      </c>
      <c r="J19" s="125">
        <f t="shared" si="0"/>
        <v>-5.4603921291697098E-6</v>
      </c>
    </row>
    <row r="20" spans="1:10" x14ac:dyDescent="0.2">
      <c r="A20" s="107" t="s">
        <v>39</v>
      </c>
      <c r="B20" s="73">
        <f>IF($B$10="kWh",$B$4,$B$5)</f>
        <v>60</v>
      </c>
      <c r="C20" s="78">
        <f>VLOOKUP($B$3,'Data for Bill Impacts'!$A$3:$Y$15,10,0)</f>
        <v>17.353200000000001</v>
      </c>
      <c r="D20" s="22">
        <f>B20*C20</f>
        <v>1041.192</v>
      </c>
      <c r="E20" s="73">
        <f t="shared" si="4"/>
        <v>60</v>
      </c>
      <c r="F20" s="126">
        <f>VLOOKUP($B$3,'Data for Bill Impacts'!$A$3:$Y$15,19,0)</f>
        <v>17.8734</v>
      </c>
      <c r="G20" s="22">
        <f>E20*F20</f>
        <v>1072.404</v>
      </c>
      <c r="H20" s="22">
        <f t="shared" si="2"/>
        <v>31.211999999999989</v>
      </c>
      <c r="I20" s="23">
        <f t="shared" si="3"/>
        <v>2.9977180001383018E-2</v>
      </c>
      <c r="J20" s="125">
        <f t="shared" si="0"/>
        <v>0.29278731804450564</v>
      </c>
    </row>
    <row r="21" spans="1:10" s="1" customFormat="1" x14ac:dyDescent="0.2">
      <c r="A21" s="107" t="s">
        <v>121</v>
      </c>
      <c r="B21" s="73">
        <f>IF($B$10="kWh",$B$4,$B$5)</f>
        <v>60</v>
      </c>
      <c r="C21" s="126">
        <f>VLOOKUP($B$3,'Data for Bill Impacts'!$A$3:$Y$15,14,0)</f>
        <v>4.7E-2</v>
      </c>
      <c r="D21" s="22">
        <f>B21*C21</f>
        <v>2.82</v>
      </c>
      <c r="E21" s="73">
        <f t="shared" si="4"/>
        <v>60</v>
      </c>
      <c r="F21" s="126">
        <f>VLOOKUP($B$3,'Data for Bill Impacts'!$A$3:$Y$15,23,0)</f>
        <v>4.7E-2</v>
      </c>
      <c r="G21" s="22">
        <f>E21*F21</f>
        <v>2.82</v>
      </c>
      <c r="H21" s="22">
        <f t="shared" si="2"/>
        <v>0</v>
      </c>
      <c r="I21" s="23">
        <f>IF(ISERROR(H21/D21),0,(H21/D21))</f>
        <v>0</v>
      </c>
      <c r="J21" s="125">
        <f t="shared" si="0"/>
        <v>7.6991529021292902E-4</v>
      </c>
    </row>
    <row r="22" spans="1:10" s="1" customFormat="1" x14ac:dyDescent="0.2">
      <c r="A22" s="107" t="s">
        <v>108</v>
      </c>
      <c r="B22" s="73">
        <f>B9</f>
        <v>15915</v>
      </c>
      <c r="C22" s="126">
        <f>VLOOKUP($B$3,'Data for Bill Impacts'!$A$3:$Y$15,20,0)</f>
        <v>1.9E-3</v>
      </c>
      <c r="D22" s="22">
        <f>B22*C22</f>
        <v>30.238499999999998</v>
      </c>
      <c r="E22" s="73">
        <f>B22</f>
        <v>15915</v>
      </c>
      <c r="F22" s="126">
        <f>VLOOKUP($B$3,'Data for Bill Impacts'!$A$3:$Y$15,21,0)</f>
        <v>1.9E-3</v>
      </c>
      <c r="G22" s="22">
        <f>E22*F22</f>
        <v>30.238499999999998</v>
      </c>
      <c r="H22" s="22">
        <f t="shared" ref="H22" si="11">G22-D22</f>
        <v>0</v>
      </c>
      <c r="I22" s="23">
        <f>IF(ISERROR(H22/D22),0,(H22/D22))</f>
        <v>0</v>
      </c>
      <c r="J22" s="125">
        <f t="shared" ref="J22" si="12">G22/$G$38</f>
        <v>8.255703369894913E-3</v>
      </c>
    </row>
    <row r="23" spans="1:10" x14ac:dyDescent="0.2">
      <c r="A23" s="110" t="s">
        <v>79</v>
      </c>
      <c r="B23" s="74"/>
      <c r="C23" s="35"/>
      <c r="D23" s="35">
        <f>SUM(D16:D22)</f>
        <v>1178.6505</v>
      </c>
      <c r="E23" s="73"/>
      <c r="F23" s="35"/>
      <c r="G23" s="35">
        <f>SUM(G16:G22)</f>
        <v>1211.7224999999999</v>
      </c>
      <c r="H23" s="35">
        <f t="shared" si="2"/>
        <v>33.071999999999889</v>
      </c>
      <c r="I23" s="36">
        <f t="shared" si="3"/>
        <v>2.8059208391291474E-2</v>
      </c>
      <c r="J23" s="111">
        <f t="shared" ref="J23:J29" si="13">G23/$G$38</f>
        <v>0.33082400008689211</v>
      </c>
    </row>
    <row r="24" spans="1:10" x14ac:dyDescent="0.2">
      <c r="A24" s="107" t="s">
        <v>40</v>
      </c>
      <c r="B24" s="73">
        <f>B5</f>
        <v>60</v>
      </c>
      <c r="C24" s="126">
        <f>VLOOKUP($B$3,'Data for Bill Impacts'!$A$3:$Y$15,15,0)</f>
        <v>1.6718177000000001</v>
      </c>
      <c r="D24" s="22">
        <f>B24*C24</f>
        <v>100.30906200000001</v>
      </c>
      <c r="E24" s="73">
        <f t="shared" si="4"/>
        <v>60</v>
      </c>
      <c r="F24" s="126">
        <f>VLOOKUP($B$3,'Data for Bill Impacts'!$A$3:$Y$15,24,0)</f>
        <v>1.6718177000000001</v>
      </c>
      <c r="G24" s="22">
        <f>E24*F24</f>
        <v>100.30906200000001</v>
      </c>
      <c r="H24" s="22">
        <f t="shared" si="2"/>
        <v>0</v>
      </c>
      <c r="I24" s="23">
        <f t="shared" si="3"/>
        <v>0</v>
      </c>
      <c r="J24" s="125">
        <f t="shared" si="13"/>
        <v>2.7386340631459824E-2</v>
      </c>
    </row>
    <row r="25" spans="1:10" s="1" customFormat="1" x14ac:dyDescent="0.2">
      <c r="A25" s="107" t="s">
        <v>41</v>
      </c>
      <c r="B25" s="73">
        <f>B5</f>
        <v>60</v>
      </c>
      <c r="C25" s="126">
        <f>VLOOKUP($B$3,'Data for Bill Impacts'!$A$3:$Y$15,16,0)</f>
        <v>1.2769135</v>
      </c>
      <c r="D25" s="22">
        <f>B25*C25</f>
        <v>76.614810000000006</v>
      </c>
      <c r="E25" s="73">
        <f t="shared" si="4"/>
        <v>60</v>
      </c>
      <c r="F25" s="126">
        <f>VLOOKUP($B$3,'Data for Bill Impacts'!$A$3:$Y$15,25,0)</f>
        <v>1.2769135</v>
      </c>
      <c r="G25" s="22">
        <f>E25*F25</f>
        <v>76.614810000000006</v>
      </c>
      <c r="H25" s="22">
        <f t="shared" si="2"/>
        <v>0</v>
      </c>
      <c r="I25" s="23">
        <f t="shared" si="3"/>
        <v>0</v>
      </c>
      <c r="J25" s="125">
        <f t="shared" si="13"/>
        <v>2.0917345275091641E-2</v>
      </c>
    </row>
    <row r="26" spans="1:10" x14ac:dyDescent="0.2">
      <c r="A26" s="110" t="s">
        <v>76</v>
      </c>
      <c r="B26" s="74"/>
      <c r="C26" s="35"/>
      <c r="D26" s="35">
        <f>SUM(D24:D25)</f>
        <v>176.92387200000002</v>
      </c>
      <c r="E26" s="73"/>
      <c r="F26" s="35"/>
      <c r="G26" s="35">
        <f>SUM(G24:G25)</f>
        <v>176.92387200000002</v>
      </c>
      <c r="H26" s="35">
        <f t="shared" si="2"/>
        <v>0</v>
      </c>
      <c r="I26" s="36">
        <f t="shared" si="3"/>
        <v>0</v>
      </c>
      <c r="J26" s="111">
        <f t="shared" si="13"/>
        <v>4.8303685906551465E-2</v>
      </c>
    </row>
    <row r="27" spans="1:10" s="1" customFormat="1" x14ac:dyDescent="0.2">
      <c r="A27" s="110" t="s">
        <v>80</v>
      </c>
      <c r="B27" s="74"/>
      <c r="C27" s="35"/>
      <c r="D27" s="35">
        <f>D23+D26</f>
        <v>1355.574372</v>
      </c>
      <c r="E27" s="73"/>
      <c r="F27" s="35"/>
      <c r="G27" s="35">
        <f>G23+G26</f>
        <v>1388.6463719999999</v>
      </c>
      <c r="H27" s="35">
        <f t="shared" si="2"/>
        <v>33.071999999999889</v>
      </c>
      <c r="I27" s="36">
        <f t="shared" si="3"/>
        <v>2.4397038394290246E-2</v>
      </c>
      <c r="J27" s="111">
        <f t="shared" si="13"/>
        <v>0.3791276859934436</v>
      </c>
    </row>
    <row r="28" spans="1:10" x14ac:dyDescent="0.2">
      <c r="A28" s="107" t="s">
        <v>42</v>
      </c>
      <c r="B28" s="73">
        <f>B9</f>
        <v>15915</v>
      </c>
      <c r="C28" s="34">
        <v>3.5999999999999999E-3</v>
      </c>
      <c r="D28" s="22">
        <f>B28*C28</f>
        <v>57.293999999999997</v>
      </c>
      <c r="E28" s="73">
        <f t="shared" si="4"/>
        <v>15915</v>
      </c>
      <c r="F28" s="34">
        <v>3.5999999999999999E-3</v>
      </c>
      <c r="G28" s="22">
        <f>E28*F28</f>
        <v>57.293999999999997</v>
      </c>
      <c r="H28" s="22">
        <f t="shared" si="2"/>
        <v>0</v>
      </c>
      <c r="I28" s="23">
        <f t="shared" si="3"/>
        <v>0</v>
      </c>
      <c r="J28" s="125">
        <f t="shared" si="13"/>
        <v>1.5642385332432465E-2</v>
      </c>
    </row>
    <row r="29" spans="1:10" x14ac:dyDescent="0.2">
      <c r="A29" s="107" t="s">
        <v>43</v>
      </c>
      <c r="B29" s="73">
        <f>B9</f>
        <v>15915</v>
      </c>
      <c r="C29" s="34">
        <v>2.0999999999999999E-3</v>
      </c>
      <c r="D29" s="22">
        <f>B29*C29</f>
        <v>33.421499999999995</v>
      </c>
      <c r="E29" s="73">
        <f t="shared" si="4"/>
        <v>15915</v>
      </c>
      <c r="F29" s="34">
        <v>2.0999999999999999E-3</v>
      </c>
      <c r="G29" s="22">
        <f>E29*F29</f>
        <v>33.421499999999995</v>
      </c>
      <c r="H29" s="22">
        <f>G29-D29</f>
        <v>0</v>
      </c>
      <c r="I29" s="23">
        <f t="shared" si="3"/>
        <v>0</v>
      </c>
      <c r="J29" s="125">
        <f t="shared" si="13"/>
        <v>9.1247247772522702E-3</v>
      </c>
    </row>
    <row r="30" spans="1:10" x14ac:dyDescent="0.2">
      <c r="A30" s="107" t="s">
        <v>96</v>
      </c>
      <c r="B30" s="73">
        <f>B9</f>
        <v>15915</v>
      </c>
      <c r="C30" s="34">
        <v>1.1000000000000001E-3</v>
      </c>
      <c r="D30" s="22">
        <f>B30*C30</f>
        <v>17.506500000000003</v>
      </c>
      <c r="E30" s="73">
        <f t="shared" si="4"/>
        <v>15915</v>
      </c>
      <c r="F30" s="34">
        <v>1.1000000000000001E-3</v>
      </c>
      <c r="G30" s="22">
        <f>E30*F30</f>
        <v>17.506500000000003</v>
      </c>
      <c r="H30" s="22">
        <f>G30-D30</f>
        <v>0</v>
      </c>
      <c r="I30" s="23">
        <f t="shared" ref="I30" si="14">IF(ISERROR(H30/D30),0,(H30/D30))</f>
        <v>0</v>
      </c>
      <c r="J30" s="125">
        <f t="shared" ref="J30" si="15">G30/$G$38</f>
        <v>4.779617740465477E-3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6">G31/$G$38</f>
        <v>6.8254901614621369E-5</v>
      </c>
    </row>
    <row r="32" spans="1:10" x14ac:dyDescent="0.2">
      <c r="A32" s="110" t="s">
        <v>45</v>
      </c>
      <c r="B32" s="74"/>
      <c r="C32" s="35"/>
      <c r="D32" s="35">
        <f>SUM(D28:D31)</f>
        <v>108.47199999999999</v>
      </c>
      <c r="E32" s="73"/>
      <c r="F32" s="35"/>
      <c r="G32" s="35">
        <f>SUM(G28:G31)</f>
        <v>108.47199999999999</v>
      </c>
      <c r="H32" s="35">
        <f t="shared" si="2"/>
        <v>0</v>
      </c>
      <c r="I32" s="36">
        <f t="shared" si="3"/>
        <v>0</v>
      </c>
      <c r="J32" s="111">
        <f t="shared" si="16"/>
        <v>2.9614982751764836E-2</v>
      </c>
    </row>
    <row r="33" spans="1:10" ht="13.5" thickBot="1" x14ac:dyDescent="0.25">
      <c r="A33" s="112" t="s">
        <v>46</v>
      </c>
      <c r="B33" s="113">
        <f>B4</f>
        <v>15000</v>
      </c>
      <c r="C33" s="114">
        <v>7.0000000000000001E-3</v>
      </c>
      <c r="D33" s="115">
        <f>B33*C33</f>
        <v>105</v>
      </c>
      <c r="E33" s="116">
        <f t="shared" si="4"/>
        <v>15000</v>
      </c>
      <c r="F33" s="114">
        <f>C33</f>
        <v>7.0000000000000001E-3</v>
      </c>
      <c r="G33" s="115">
        <f>E33*F33</f>
        <v>105</v>
      </c>
      <c r="H33" s="115">
        <f t="shared" si="2"/>
        <v>0</v>
      </c>
      <c r="I33" s="117">
        <f t="shared" si="3"/>
        <v>0</v>
      </c>
      <c r="J33" s="118">
        <f t="shared" si="16"/>
        <v>2.8667058678140976E-2</v>
      </c>
    </row>
    <row r="34" spans="1:10" x14ac:dyDescent="0.2">
      <c r="A34" s="37" t="s">
        <v>111</v>
      </c>
      <c r="B34" s="38"/>
      <c r="C34" s="39"/>
      <c r="D34" s="39">
        <f>SUM(D15,D23,D26,D32,D33)</f>
        <v>3208.2913719999997</v>
      </c>
      <c r="E34" s="38"/>
      <c r="F34" s="39"/>
      <c r="G34" s="39">
        <f>SUM(G15,G23,G26,G32,G33)</f>
        <v>3241.3633719999998</v>
      </c>
      <c r="H34" s="39">
        <f t="shared" si="2"/>
        <v>33.072000000000116</v>
      </c>
      <c r="I34" s="40">
        <f>IF(ISERROR(H34/D34),0,(H34/D34))</f>
        <v>1.0308290664816873E-2</v>
      </c>
      <c r="J34" s="41">
        <f t="shared" si="16"/>
        <v>0.88495575221238942</v>
      </c>
    </row>
    <row r="35" spans="1:10" x14ac:dyDescent="0.2">
      <c r="A35" s="46" t="s">
        <v>102</v>
      </c>
      <c r="B35" s="43"/>
      <c r="C35" s="26">
        <v>0.13</v>
      </c>
      <c r="D35" s="26">
        <f>D34*C35</f>
        <v>417.07787836</v>
      </c>
      <c r="E35" s="26"/>
      <c r="F35" s="26">
        <f>C35</f>
        <v>0.13</v>
      </c>
      <c r="G35" s="26">
        <f>G34*F35</f>
        <v>421.37723835999998</v>
      </c>
      <c r="H35" s="26">
        <f t="shared" si="2"/>
        <v>4.2993599999999788</v>
      </c>
      <c r="I35" s="44">
        <f t="shared" ref="I35:I38" si="17">IF(ISERROR(H35/D35),0,(H35/D35))</f>
        <v>1.0308290664816786E-2</v>
      </c>
      <c r="J35" s="45">
        <f t="shared" si="16"/>
        <v>0.11504424778761062</v>
      </c>
    </row>
    <row r="36" spans="1:10" x14ac:dyDescent="0.2">
      <c r="A36" s="46" t="s">
        <v>103</v>
      </c>
      <c r="B36" s="24"/>
      <c r="C36" s="25"/>
      <c r="D36" s="25">
        <f>SUM(D34:D35)</f>
        <v>3625.3692503599996</v>
      </c>
      <c r="E36" s="25"/>
      <c r="F36" s="25"/>
      <c r="G36" s="25">
        <f>SUM(G34:G35)</f>
        <v>3662.7406103599997</v>
      </c>
      <c r="H36" s="25">
        <f t="shared" si="2"/>
        <v>37.371360000000095</v>
      </c>
      <c r="I36" s="27">
        <f t="shared" si="17"/>
        <v>1.0308290664816864E-2</v>
      </c>
      <c r="J36" s="47">
        <f t="shared" si="16"/>
        <v>1</v>
      </c>
    </row>
    <row r="37" spans="1:10" x14ac:dyDescent="0.2">
      <c r="A37" s="46" t="s">
        <v>104</v>
      </c>
      <c r="B37" s="43"/>
      <c r="C37" s="26">
        <v>0</v>
      </c>
      <c r="D37" s="26">
        <f>D34*C37</f>
        <v>0</v>
      </c>
      <c r="E37" s="26"/>
      <c r="F37" s="26">
        <f>C37</f>
        <v>0</v>
      </c>
      <c r="G37" s="26">
        <f>G34*F37</f>
        <v>0</v>
      </c>
      <c r="H37" s="26">
        <f t="shared" si="2"/>
        <v>0</v>
      </c>
      <c r="I37" s="44">
        <f t="shared" si="17"/>
        <v>0</v>
      </c>
      <c r="J37" s="45">
        <f t="shared" si="16"/>
        <v>0</v>
      </c>
    </row>
    <row r="38" spans="1:10" ht="13.5" thickBot="1" x14ac:dyDescent="0.25">
      <c r="A38" s="46" t="s">
        <v>105</v>
      </c>
      <c r="B38" s="49"/>
      <c r="C38" s="50"/>
      <c r="D38" s="50">
        <f>SUM(D36:D37)</f>
        <v>3625.3692503599996</v>
      </c>
      <c r="E38" s="50"/>
      <c r="F38" s="50"/>
      <c r="G38" s="50">
        <f>SUM(G36:G37)</f>
        <v>3662.7406103599997</v>
      </c>
      <c r="H38" s="50">
        <f t="shared" si="2"/>
        <v>37.371360000000095</v>
      </c>
      <c r="I38" s="51">
        <f t="shared" si="17"/>
        <v>1.0308290664816864E-2</v>
      </c>
      <c r="J38" s="52">
        <f t="shared" si="16"/>
        <v>1</v>
      </c>
    </row>
    <row r="39" spans="1:10" x14ac:dyDescent="0.2">
      <c r="A39" s="170"/>
      <c r="F39" s="69"/>
    </row>
    <row r="40" spans="1:10" x14ac:dyDescent="0.2">
      <c r="A40" s="171"/>
      <c r="F40" s="69"/>
    </row>
    <row r="41" spans="1:10" x14ac:dyDescent="0.2">
      <c r="A41" s="171"/>
    </row>
    <row r="42" spans="1:10" x14ac:dyDescent="0.2">
      <c r="A42" s="171"/>
    </row>
    <row r="43" spans="1:10" x14ac:dyDescent="0.2">
      <c r="A43" s="171"/>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1" tint="0.499984740745262"/>
    <pageSetUpPr fitToPage="1"/>
  </sheetPr>
  <dimension ref="A1:J43"/>
  <sheetViews>
    <sheetView tabSelected="1" view="pageBreakPreview" topLeftCell="A10" zoomScaleNormal="100" zoomScaleSheetLayoutView="100" workbookViewId="0">
      <selection activeCell="C3" sqref="C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119</v>
      </c>
      <c r="B1" s="188"/>
      <c r="C1" s="188"/>
      <c r="D1" s="188"/>
      <c r="E1" s="188"/>
      <c r="F1" s="188"/>
      <c r="G1" s="188"/>
      <c r="H1" s="188"/>
      <c r="I1" s="188"/>
      <c r="J1" s="189"/>
    </row>
    <row r="3" spans="1:10" x14ac:dyDescent="0.2">
      <c r="A3" s="13" t="s">
        <v>13</v>
      </c>
      <c r="B3" s="13" t="s">
        <v>5</v>
      </c>
    </row>
    <row r="4" spans="1:10" x14ac:dyDescent="0.2">
      <c r="A4" s="15" t="s">
        <v>62</v>
      </c>
      <c r="B4" s="79">
        <f>VLOOKUP(B3,'Data for Bill Impacts'!A19:D31,3,FALSE)</f>
        <v>36104</v>
      </c>
    </row>
    <row r="5" spans="1:10" x14ac:dyDescent="0.2">
      <c r="A5" s="15" t="s">
        <v>16</v>
      </c>
      <c r="B5" s="79">
        <f>VLOOKUP(B3,'Data for Bill Impacts'!A19:D31,4,FALSE)</f>
        <v>124</v>
      </c>
    </row>
    <row r="6" spans="1:10" x14ac:dyDescent="0.2">
      <c r="A6" s="15" t="s">
        <v>20</v>
      </c>
      <c r="B6" s="80">
        <f>VLOOKUP($B$3,'Data for Bill Impacts'!$A$3:$Y$15,2,0)</f>
        <v>1.0609999999999999</v>
      </c>
    </row>
    <row r="7" spans="1:10" x14ac:dyDescent="0.2">
      <c r="A7" s="81" t="s">
        <v>48</v>
      </c>
      <c r="B7" s="82">
        <f>B4/(B5*730)</f>
        <v>0.39885108263367214</v>
      </c>
    </row>
    <row r="8" spans="1:10" x14ac:dyDescent="0.2">
      <c r="A8" s="15" t="s">
        <v>15</v>
      </c>
      <c r="B8" s="79">
        <f>VLOOKUP($B$3,'Data for Bill Impacts'!$A$3:$Y$15,4,0)</f>
        <v>0</v>
      </c>
    </row>
    <row r="9" spans="1:10" x14ac:dyDescent="0.2">
      <c r="A9" s="15" t="s">
        <v>82</v>
      </c>
      <c r="B9" s="79">
        <f>B4*B6</f>
        <v>38306.343999999997</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38306.343999999997</v>
      </c>
      <c r="C13" s="103">
        <v>0.10299999999999999</v>
      </c>
      <c r="D13" s="104">
        <f>B13*C13</f>
        <v>3945.5534319999997</v>
      </c>
      <c r="E13" s="102">
        <f>B13</f>
        <v>38306.343999999997</v>
      </c>
      <c r="F13" s="103">
        <f>C13</f>
        <v>0.10299999999999999</v>
      </c>
      <c r="G13" s="104">
        <f>E13*F13</f>
        <v>3945.5534319999997</v>
      </c>
      <c r="H13" s="104">
        <f>G13-D13</f>
        <v>0</v>
      </c>
      <c r="I13" s="105">
        <f>IF(ISERROR(H13/D13),0,(H13/D13))</f>
        <v>0</v>
      </c>
      <c r="J13" s="124">
        <f t="shared" ref="J13:J21" si="0">G13/$G$38</f>
        <v>0.48321656334850666</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3945.5534319999997</v>
      </c>
      <c r="E15" s="76"/>
      <c r="F15" s="25"/>
      <c r="G15" s="25">
        <f>SUM(G13:G14)</f>
        <v>3945.5534319999997</v>
      </c>
      <c r="H15" s="25">
        <f t="shared" si="2"/>
        <v>0</v>
      </c>
      <c r="I15" s="27">
        <f t="shared" si="3"/>
        <v>0</v>
      </c>
      <c r="J15" s="47">
        <f t="shared" si="0"/>
        <v>0.48321656334850666</v>
      </c>
    </row>
    <row r="16" spans="1:10" s="1" customFormat="1" x14ac:dyDescent="0.2">
      <c r="A16" s="107" t="s">
        <v>38</v>
      </c>
      <c r="B16" s="73">
        <v>1</v>
      </c>
      <c r="C16" s="78">
        <f>VLOOKUP($B$3,'Data for Bill Impacts'!$A$3:$Y$15,7,0)</f>
        <v>104.42</v>
      </c>
      <c r="D16" s="22">
        <f>B16*C16</f>
        <v>104.42</v>
      </c>
      <c r="E16" s="73">
        <f t="shared" ref="E16:E33" si="4">B16</f>
        <v>1</v>
      </c>
      <c r="F16" s="78">
        <f>VLOOKUP($B$3,'Data for Bill Impacts'!$A$3:$Y$15,17,0)</f>
        <v>106.28</v>
      </c>
      <c r="G16" s="22">
        <f>E16*F16</f>
        <v>106.28</v>
      </c>
      <c r="H16" s="22">
        <f t="shared" si="2"/>
        <v>1.8599999999999994</v>
      </c>
      <c r="I16" s="23">
        <f t="shared" si="3"/>
        <v>1.7812679563302045E-2</v>
      </c>
      <c r="J16" s="125">
        <f t="shared" si="0"/>
        <v>1.30162364387616E-2</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v>0</v>
      </c>
      <c r="D18" s="22">
        <f t="shared" ref="D18:D19" si="6">B18*C18</f>
        <v>0</v>
      </c>
      <c r="E18" s="73">
        <f t="shared" si="4"/>
        <v>1</v>
      </c>
      <c r="F18" s="78">
        <v>0</v>
      </c>
      <c r="G18" s="22">
        <f t="shared" si="5"/>
        <v>0</v>
      </c>
      <c r="H18" s="22">
        <f t="shared" si="2"/>
        <v>0</v>
      </c>
      <c r="I18" s="23">
        <f t="shared" si="3"/>
        <v>0</v>
      </c>
      <c r="J18" s="125">
        <f t="shared" si="0"/>
        <v>0</v>
      </c>
    </row>
    <row r="19" spans="1:10" x14ac:dyDescent="0.2">
      <c r="A19" s="107" t="s">
        <v>85</v>
      </c>
      <c r="B19" s="73">
        <v>1</v>
      </c>
      <c r="C19" s="78">
        <f>VLOOKUP($B$3,'Data for Bill Impacts'!$A$3:$Y$15,13,0)</f>
        <v>-0.02</v>
      </c>
      <c r="D19" s="22">
        <f t="shared" si="6"/>
        <v>-0.02</v>
      </c>
      <c r="E19" s="73">
        <f t="shared" si="4"/>
        <v>1</v>
      </c>
      <c r="F19" s="78">
        <f>VLOOKUP($B$3,'Data for Bill Impacts'!$A$3:$Y$15,22,0)</f>
        <v>-0.02</v>
      </c>
      <c r="G19" s="22">
        <f t="shared" si="5"/>
        <v>-0.02</v>
      </c>
      <c r="H19" s="22">
        <f t="shared" si="2"/>
        <v>0</v>
      </c>
      <c r="I19" s="23">
        <f t="shared" si="3"/>
        <v>0</v>
      </c>
      <c r="J19" s="125">
        <f t="shared" si="0"/>
        <v>-2.449423492427851E-6</v>
      </c>
    </row>
    <row r="20" spans="1:10" x14ac:dyDescent="0.2">
      <c r="A20" s="107" t="s">
        <v>39</v>
      </c>
      <c r="B20" s="73">
        <f>IF($B$10="kWh",$B$4,$B$5)</f>
        <v>124</v>
      </c>
      <c r="C20" s="78">
        <f>VLOOKUP($B$3,'Data for Bill Impacts'!$A$3:$Y$15,10,0)</f>
        <v>17.353200000000001</v>
      </c>
      <c r="D20" s="22">
        <f>B20*C20</f>
        <v>2151.7968000000001</v>
      </c>
      <c r="E20" s="73">
        <f t="shared" si="4"/>
        <v>124</v>
      </c>
      <c r="F20" s="126">
        <f>VLOOKUP($B$3,'Data for Bill Impacts'!$A$3:$Y$15,19,0)</f>
        <v>17.8734</v>
      </c>
      <c r="G20" s="22">
        <f>E20*F20</f>
        <v>2216.3016000000002</v>
      </c>
      <c r="H20" s="22">
        <f t="shared" si="2"/>
        <v>64.504800000000159</v>
      </c>
      <c r="I20" s="23">
        <f t="shared" si="3"/>
        <v>2.9977180001383105E-2</v>
      </c>
      <c r="J20" s="125">
        <f t="shared" si="0"/>
        <v>0.27143306026727176</v>
      </c>
    </row>
    <row r="21" spans="1:10" s="1" customFormat="1" x14ac:dyDescent="0.2">
      <c r="A21" s="107" t="s">
        <v>121</v>
      </c>
      <c r="B21" s="73">
        <f>IF($B$10="kWh",$B$4,$B$5)</f>
        <v>124</v>
      </c>
      <c r="C21" s="126">
        <f>VLOOKUP($B$3,'Data for Bill Impacts'!$A$3:$Y$15,14,0)</f>
        <v>4.7E-2</v>
      </c>
      <c r="D21" s="22">
        <f>B21*C21</f>
        <v>5.8280000000000003</v>
      </c>
      <c r="E21" s="73">
        <f t="shared" si="4"/>
        <v>124</v>
      </c>
      <c r="F21" s="126">
        <f>VLOOKUP($B$3,'Data for Bill Impacts'!$A$3:$Y$15,23,0)</f>
        <v>4.7E-2</v>
      </c>
      <c r="G21" s="22">
        <f>E21*F21</f>
        <v>5.8280000000000003</v>
      </c>
      <c r="H21" s="22">
        <f t="shared" si="2"/>
        <v>0</v>
      </c>
      <c r="I21" s="23">
        <f>IF(ISERROR(H21/D21),0,(H21/D21))</f>
        <v>0</v>
      </c>
      <c r="J21" s="125">
        <f t="shared" si="0"/>
        <v>7.137620056934758E-4</v>
      </c>
    </row>
    <row r="22" spans="1:10" s="1" customFormat="1" x14ac:dyDescent="0.2">
      <c r="A22" s="107" t="s">
        <v>108</v>
      </c>
      <c r="B22" s="73">
        <f>B9</f>
        <v>38306.343999999997</v>
      </c>
      <c r="C22" s="126">
        <f>VLOOKUP($B$3,'Data for Bill Impacts'!$A$3:$Y$15,20,0)</f>
        <v>1.9E-3</v>
      </c>
      <c r="D22" s="22">
        <f>B22*C22</f>
        <v>72.782053599999998</v>
      </c>
      <c r="E22" s="73">
        <f>B22</f>
        <v>38306.343999999997</v>
      </c>
      <c r="F22" s="126">
        <f>VLOOKUP($B$3,'Data for Bill Impacts'!$A$3:$Y$15,21,0)</f>
        <v>1.9E-3</v>
      </c>
      <c r="G22" s="22">
        <f>E22*F22</f>
        <v>72.782053599999998</v>
      </c>
      <c r="H22" s="22">
        <f t="shared" ref="H22" si="7">G22-D22</f>
        <v>0</v>
      </c>
      <c r="I22" s="23">
        <f>IF(ISERROR(H22/D22),0,(H22/D22))</f>
        <v>0</v>
      </c>
      <c r="J22" s="125">
        <f t="shared" ref="J22" si="8">G22/$G$38</f>
        <v>8.9137035957491517E-3</v>
      </c>
    </row>
    <row r="23" spans="1:10" x14ac:dyDescent="0.2">
      <c r="A23" s="110" t="s">
        <v>93</v>
      </c>
      <c r="B23" s="74"/>
      <c r="C23" s="35"/>
      <c r="D23" s="35">
        <f>SUM(D16:D22)</f>
        <v>2334.8068536000001</v>
      </c>
      <c r="E23" s="73"/>
      <c r="F23" s="35"/>
      <c r="G23" s="35">
        <f>SUM(G16:G22)</f>
        <v>2401.1716536000004</v>
      </c>
      <c r="H23" s="35">
        <f t="shared" si="2"/>
        <v>66.364800000000287</v>
      </c>
      <c r="I23" s="36">
        <f t="shared" si="3"/>
        <v>2.8424107072357398E-2</v>
      </c>
      <c r="J23" s="111">
        <f t="shared" ref="J23:J29" si="9">G23/$G$38</f>
        <v>0.29407431288398356</v>
      </c>
    </row>
    <row r="24" spans="1:10" x14ac:dyDescent="0.2">
      <c r="A24" s="107" t="s">
        <v>40</v>
      </c>
      <c r="B24" s="73">
        <f>B5</f>
        <v>124</v>
      </c>
      <c r="C24" s="126">
        <f>VLOOKUP($B$3,'Data for Bill Impacts'!$A$3:$Y$15,15,0)</f>
        <v>1.6718177000000001</v>
      </c>
      <c r="D24" s="22">
        <f>B24*C24</f>
        <v>207.30539480000002</v>
      </c>
      <c r="E24" s="73">
        <f t="shared" si="4"/>
        <v>124</v>
      </c>
      <c r="F24" s="126">
        <f>VLOOKUP($B$3,'Data for Bill Impacts'!$A$3:$Y$15,24,0)</f>
        <v>1.6718177000000001</v>
      </c>
      <c r="G24" s="22">
        <f>E24*F24</f>
        <v>207.30539480000002</v>
      </c>
      <c r="H24" s="22">
        <f t="shared" si="2"/>
        <v>0</v>
      </c>
      <c r="I24" s="23">
        <f t="shared" si="3"/>
        <v>0</v>
      </c>
      <c r="J24" s="125">
        <f t="shared" si="9"/>
        <v>2.5388935206507524E-2</v>
      </c>
    </row>
    <row r="25" spans="1:10" s="1" customFormat="1" x14ac:dyDescent="0.2">
      <c r="A25" s="107" t="s">
        <v>41</v>
      </c>
      <c r="B25" s="73">
        <f>B5</f>
        <v>124</v>
      </c>
      <c r="C25" s="126">
        <f>VLOOKUP($B$3,'Data for Bill Impacts'!$A$3:$Y$15,16,0)</f>
        <v>1.2769135</v>
      </c>
      <c r="D25" s="22">
        <f>B25*C25</f>
        <v>158.33727400000001</v>
      </c>
      <c r="E25" s="73">
        <f t="shared" si="4"/>
        <v>124</v>
      </c>
      <c r="F25" s="126">
        <f>VLOOKUP($B$3,'Data for Bill Impacts'!$A$3:$Y$15,25,0)</f>
        <v>1.2769135</v>
      </c>
      <c r="G25" s="22">
        <f>E25*F25</f>
        <v>158.33727400000001</v>
      </c>
      <c r="H25" s="22">
        <f t="shared" si="2"/>
        <v>0</v>
      </c>
      <c r="I25" s="23">
        <f t="shared" si="3"/>
        <v>0</v>
      </c>
      <c r="J25" s="125">
        <f t="shared" si="9"/>
        <v>1.9391751933129281E-2</v>
      </c>
    </row>
    <row r="26" spans="1:10" x14ac:dyDescent="0.2">
      <c r="A26" s="110" t="s">
        <v>76</v>
      </c>
      <c r="B26" s="74"/>
      <c r="C26" s="35"/>
      <c r="D26" s="35">
        <f>SUM(D24:D25)</f>
        <v>365.64266880000002</v>
      </c>
      <c r="E26" s="73"/>
      <c r="F26" s="35"/>
      <c r="G26" s="35">
        <f>SUM(G24:G25)</f>
        <v>365.64266880000002</v>
      </c>
      <c r="H26" s="35">
        <f t="shared" si="2"/>
        <v>0</v>
      </c>
      <c r="I26" s="36">
        <f t="shared" si="3"/>
        <v>0</v>
      </c>
      <c r="J26" s="111">
        <f t="shared" si="9"/>
        <v>4.4780687139636809E-2</v>
      </c>
    </row>
    <row r="27" spans="1:10" s="1" customFormat="1" x14ac:dyDescent="0.2">
      <c r="A27" s="110" t="s">
        <v>80</v>
      </c>
      <c r="B27" s="74"/>
      <c r="C27" s="35"/>
      <c r="D27" s="35">
        <f>D23+D26</f>
        <v>2700.4495224000002</v>
      </c>
      <c r="E27" s="73"/>
      <c r="F27" s="35"/>
      <c r="G27" s="35">
        <f>G23+G26</f>
        <v>2766.8143224000005</v>
      </c>
      <c r="H27" s="35">
        <f t="shared" si="2"/>
        <v>66.364800000000287</v>
      </c>
      <c r="I27" s="36">
        <f t="shared" si="3"/>
        <v>2.4575463992016842E-2</v>
      </c>
      <c r="J27" s="111">
        <f t="shared" si="9"/>
        <v>0.3388550000236204</v>
      </c>
    </row>
    <row r="28" spans="1:10" x14ac:dyDescent="0.2">
      <c r="A28" s="107" t="s">
        <v>42</v>
      </c>
      <c r="B28" s="73">
        <f>B9</f>
        <v>38306.343999999997</v>
      </c>
      <c r="C28" s="34">
        <v>3.5999999999999999E-3</v>
      </c>
      <c r="D28" s="22">
        <f>B28*C28</f>
        <v>137.90283839999998</v>
      </c>
      <c r="E28" s="73">
        <f t="shared" si="4"/>
        <v>38306.343999999997</v>
      </c>
      <c r="F28" s="34">
        <v>3.5999999999999999E-3</v>
      </c>
      <c r="G28" s="22">
        <f>E28*F28</f>
        <v>137.90283839999998</v>
      </c>
      <c r="H28" s="22">
        <f t="shared" si="2"/>
        <v>0</v>
      </c>
      <c r="I28" s="23">
        <f t="shared" si="3"/>
        <v>0</v>
      </c>
      <c r="J28" s="125">
        <f t="shared" si="9"/>
        <v>1.6889122602472075E-2</v>
      </c>
    </row>
    <row r="29" spans="1:10" x14ac:dyDescent="0.2">
      <c r="A29" s="107" t="s">
        <v>43</v>
      </c>
      <c r="B29" s="73">
        <f>B9</f>
        <v>38306.343999999997</v>
      </c>
      <c r="C29" s="34">
        <v>2.0999999999999999E-3</v>
      </c>
      <c r="D29" s="22">
        <f>B29*C29</f>
        <v>80.443322399999985</v>
      </c>
      <c r="E29" s="73">
        <f t="shared" si="4"/>
        <v>38306.343999999997</v>
      </c>
      <c r="F29" s="34">
        <v>2.0999999999999999E-3</v>
      </c>
      <c r="G29" s="22">
        <f>E29*F29</f>
        <v>80.443322399999985</v>
      </c>
      <c r="H29" s="22">
        <f>G29-D29</f>
        <v>0</v>
      </c>
      <c r="I29" s="23">
        <f t="shared" si="3"/>
        <v>0</v>
      </c>
      <c r="J29" s="125">
        <f t="shared" si="9"/>
        <v>9.851988184775378E-3</v>
      </c>
    </row>
    <row r="30" spans="1:10" x14ac:dyDescent="0.2">
      <c r="A30" s="107" t="s">
        <v>96</v>
      </c>
      <c r="B30" s="73">
        <f>B9</f>
        <v>38306.343999999997</v>
      </c>
      <c r="C30" s="34">
        <v>1.1000000000000001E-3</v>
      </c>
      <c r="D30" s="22">
        <f>B30*C30</f>
        <v>42.136978399999997</v>
      </c>
      <c r="E30" s="73">
        <f t="shared" si="4"/>
        <v>38306.343999999997</v>
      </c>
      <c r="F30" s="34">
        <v>1.1000000000000001E-3</v>
      </c>
      <c r="G30" s="22">
        <f>E30*F30</f>
        <v>42.136978399999997</v>
      </c>
      <c r="H30" s="22">
        <f>G30-D30</f>
        <v>0</v>
      </c>
      <c r="I30" s="23">
        <f t="shared" ref="I30" si="10">IF(ISERROR(H30/D30),0,(H30/D30))</f>
        <v>0</v>
      </c>
      <c r="J30" s="125">
        <f t="shared" ref="J30" si="11">G30/$G$38</f>
        <v>5.1605652396442461E-3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2">G31/$G$38</f>
        <v>3.0617793655348135E-5</v>
      </c>
    </row>
    <row r="32" spans="1:10" x14ac:dyDescent="0.2">
      <c r="A32" s="110" t="s">
        <v>45</v>
      </c>
      <c r="B32" s="74"/>
      <c r="C32" s="35"/>
      <c r="D32" s="35">
        <f>SUM(D28:D31)</f>
        <v>260.73313919999993</v>
      </c>
      <c r="E32" s="73"/>
      <c r="F32" s="35"/>
      <c r="G32" s="35">
        <f>SUM(G28:G31)</f>
        <v>260.73313919999993</v>
      </c>
      <c r="H32" s="35">
        <f t="shared" si="2"/>
        <v>0</v>
      </c>
      <c r="I32" s="36">
        <f t="shared" si="3"/>
        <v>0</v>
      </c>
      <c r="J32" s="111">
        <f t="shared" si="12"/>
        <v>3.1932293820547041E-2</v>
      </c>
    </row>
    <row r="33" spans="1:10" ht="13.5" thickBot="1" x14ac:dyDescent="0.25">
      <c r="A33" s="112" t="s">
        <v>46</v>
      </c>
      <c r="B33" s="113">
        <f>B4</f>
        <v>36104</v>
      </c>
      <c r="C33" s="114">
        <v>7.0000000000000001E-3</v>
      </c>
      <c r="D33" s="115">
        <f>B33*C33</f>
        <v>252.72800000000001</v>
      </c>
      <c r="E33" s="116">
        <f t="shared" si="4"/>
        <v>36104</v>
      </c>
      <c r="F33" s="114">
        <f>C33</f>
        <v>7.0000000000000001E-3</v>
      </c>
      <c r="G33" s="115">
        <f>E33*F33</f>
        <v>252.72800000000001</v>
      </c>
      <c r="H33" s="115">
        <f t="shared" si="2"/>
        <v>0</v>
      </c>
      <c r="I33" s="117">
        <f t="shared" si="3"/>
        <v>0</v>
      </c>
      <c r="J33" s="118">
        <f t="shared" si="12"/>
        <v>3.0951895019715299E-2</v>
      </c>
    </row>
    <row r="34" spans="1:10" x14ac:dyDescent="0.2">
      <c r="A34" s="37" t="s">
        <v>111</v>
      </c>
      <c r="B34" s="38"/>
      <c r="C34" s="39"/>
      <c r="D34" s="39">
        <f>SUM(D15,D23,D26,D32,D33)</f>
        <v>7159.4640935999996</v>
      </c>
      <c r="E34" s="38"/>
      <c r="F34" s="39"/>
      <c r="G34" s="39">
        <f>SUM(G15,G23,G26,G32,G33)</f>
        <v>7225.8288935999999</v>
      </c>
      <c r="H34" s="39">
        <f t="shared" si="2"/>
        <v>66.364800000000287</v>
      </c>
      <c r="I34" s="40">
        <f>IF(ISERROR(H34/D34),0,(H34/D34))</f>
        <v>9.2695206138857823E-3</v>
      </c>
      <c r="J34" s="41">
        <f t="shared" si="12"/>
        <v>0.88495575221238931</v>
      </c>
    </row>
    <row r="35" spans="1:10" x14ac:dyDescent="0.2">
      <c r="A35" s="46" t="s">
        <v>102</v>
      </c>
      <c r="B35" s="43"/>
      <c r="C35" s="26">
        <v>0.13</v>
      </c>
      <c r="D35" s="26">
        <f>D34*C35</f>
        <v>930.73033216800002</v>
      </c>
      <c r="E35" s="26"/>
      <c r="F35" s="26">
        <f>C35</f>
        <v>0.13</v>
      </c>
      <c r="G35" s="26">
        <f>G34*F35</f>
        <v>939.35775616800004</v>
      </c>
      <c r="H35" s="26">
        <f t="shared" si="2"/>
        <v>8.6274240000000191</v>
      </c>
      <c r="I35" s="44">
        <f t="shared" ref="I35:I38" si="13">IF(ISERROR(H35/D35),0,(H35/D35))</f>
        <v>9.2695206138857632E-3</v>
      </c>
      <c r="J35" s="45">
        <f t="shared" si="12"/>
        <v>0.11504424778761062</v>
      </c>
    </row>
    <row r="36" spans="1:10" x14ac:dyDescent="0.2">
      <c r="A36" s="46" t="s">
        <v>103</v>
      </c>
      <c r="B36" s="24"/>
      <c r="C36" s="25"/>
      <c r="D36" s="25">
        <f>SUM(D34:D35)</f>
        <v>8090.1944257679997</v>
      </c>
      <c r="E36" s="25"/>
      <c r="F36" s="25"/>
      <c r="G36" s="25">
        <f>SUM(G34:G35)</f>
        <v>8165.1866497680003</v>
      </c>
      <c r="H36" s="25">
        <f t="shared" si="2"/>
        <v>74.992224000000533</v>
      </c>
      <c r="I36" s="27">
        <f t="shared" si="13"/>
        <v>9.2695206138858083E-3</v>
      </c>
      <c r="J36" s="47">
        <f t="shared" si="12"/>
        <v>1</v>
      </c>
    </row>
    <row r="37" spans="1:10" x14ac:dyDescent="0.2">
      <c r="A37" s="46" t="s">
        <v>104</v>
      </c>
      <c r="B37" s="43"/>
      <c r="C37" s="26">
        <v>0</v>
      </c>
      <c r="D37" s="26">
        <f>D34*C37</f>
        <v>0</v>
      </c>
      <c r="E37" s="26"/>
      <c r="F37" s="26">
        <f>C37</f>
        <v>0</v>
      </c>
      <c r="G37" s="26">
        <f>G34*F37</f>
        <v>0</v>
      </c>
      <c r="H37" s="26">
        <f t="shared" si="2"/>
        <v>0</v>
      </c>
      <c r="I37" s="44">
        <f t="shared" si="13"/>
        <v>0</v>
      </c>
      <c r="J37" s="45">
        <f t="shared" si="12"/>
        <v>0</v>
      </c>
    </row>
    <row r="38" spans="1:10" ht="13.5" thickBot="1" x14ac:dyDescent="0.25">
      <c r="A38" s="46" t="s">
        <v>105</v>
      </c>
      <c r="B38" s="49"/>
      <c r="C38" s="50"/>
      <c r="D38" s="50">
        <f>SUM(D36:D37)</f>
        <v>8090.1944257679997</v>
      </c>
      <c r="E38" s="50"/>
      <c r="F38" s="50"/>
      <c r="G38" s="50">
        <f>SUM(G36:G37)</f>
        <v>8165.1866497680003</v>
      </c>
      <c r="H38" s="50">
        <f t="shared" si="2"/>
        <v>74.992224000000533</v>
      </c>
      <c r="I38" s="51">
        <f t="shared" si="13"/>
        <v>9.2695206138858083E-3</v>
      </c>
      <c r="J38" s="52">
        <f t="shared" si="12"/>
        <v>1</v>
      </c>
    </row>
    <row r="39" spans="1:10" x14ac:dyDescent="0.2">
      <c r="A39" s="170"/>
      <c r="F39" s="69"/>
    </row>
    <row r="40" spans="1:10" x14ac:dyDescent="0.2">
      <c r="A40" s="171"/>
      <c r="F40" s="69"/>
    </row>
    <row r="41" spans="1:10" x14ac:dyDescent="0.2">
      <c r="A41" s="171"/>
    </row>
    <row r="42" spans="1:10" x14ac:dyDescent="0.2">
      <c r="A42" s="171"/>
    </row>
    <row r="43" spans="1:10" x14ac:dyDescent="0.2">
      <c r="A43" s="171"/>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theme="1" tint="0.499984740745262"/>
    <pageSetUpPr fitToPage="1"/>
  </sheetPr>
  <dimension ref="A1:J43"/>
  <sheetViews>
    <sheetView tabSelected="1" view="pageBreakPreview" topLeftCell="A10" zoomScaleNormal="100" zoomScaleSheetLayoutView="100" workbookViewId="0">
      <selection activeCell="C3" sqref="C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9.5703125"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120</v>
      </c>
      <c r="B1" s="188"/>
      <c r="C1" s="188"/>
      <c r="D1" s="188"/>
      <c r="E1" s="188"/>
      <c r="F1" s="188"/>
      <c r="G1" s="188"/>
      <c r="H1" s="188"/>
      <c r="I1" s="188"/>
      <c r="J1" s="189"/>
    </row>
    <row r="3" spans="1:10" x14ac:dyDescent="0.2">
      <c r="A3" s="13" t="s">
        <v>13</v>
      </c>
      <c r="B3" s="13" t="s">
        <v>5</v>
      </c>
    </row>
    <row r="4" spans="1:10" x14ac:dyDescent="0.2">
      <c r="A4" s="15" t="s">
        <v>62</v>
      </c>
      <c r="B4" s="79">
        <v>175000</v>
      </c>
    </row>
    <row r="5" spans="1:10" x14ac:dyDescent="0.2">
      <c r="A5" s="15" t="s">
        <v>16</v>
      </c>
      <c r="B5" s="79">
        <v>500</v>
      </c>
    </row>
    <row r="6" spans="1:10" x14ac:dyDescent="0.2">
      <c r="A6" s="15" t="s">
        <v>20</v>
      </c>
      <c r="B6" s="80">
        <f>VLOOKUP($B$3,'Data for Bill Impacts'!$A$3:$Y$15,2,0)</f>
        <v>1.0609999999999999</v>
      </c>
    </row>
    <row r="7" spans="1:10" x14ac:dyDescent="0.2">
      <c r="A7" s="81" t="s">
        <v>48</v>
      </c>
      <c r="B7" s="82">
        <f>B4/(B5*730)</f>
        <v>0.47945205479452052</v>
      </c>
    </row>
    <row r="8" spans="1:10" x14ac:dyDescent="0.2">
      <c r="A8" s="15" t="s">
        <v>15</v>
      </c>
      <c r="B8" s="79">
        <f>VLOOKUP($B$3,'Data for Bill Impacts'!$A$3:$Y$15,4,0)</f>
        <v>0</v>
      </c>
    </row>
    <row r="9" spans="1:10" x14ac:dyDescent="0.2">
      <c r="A9" s="15" t="s">
        <v>82</v>
      </c>
      <c r="B9" s="79">
        <f>B4*B6</f>
        <v>185675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185675</v>
      </c>
      <c r="C13" s="103">
        <v>0.10299999999999999</v>
      </c>
      <c r="D13" s="104">
        <f>B13*C13</f>
        <v>19124.524999999998</v>
      </c>
      <c r="E13" s="102">
        <f>B13</f>
        <v>185675</v>
      </c>
      <c r="F13" s="103">
        <f>C13</f>
        <v>0.10299999999999999</v>
      </c>
      <c r="G13" s="104">
        <f>E13*F13</f>
        <v>19124.524999999998</v>
      </c>
      <c r="H13" s="104">
        <f>G13-D13</f>
        <v>0</v>
      </c>
      <c r="I13" s="105">
        <f>IF(ISERROR(H13/D13),0,(H13/D13))</f>
        <v>0</v>
      </c>
      <c r="J13" s="124">
        <f t="shared" ref="J13:J29" si="0">G13/$G$38</f>
        <v>0.52065379968826853</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19124.524999999998</v>
      </c>
      <c r="E15" s="76"/>
      <c r="F15" s="25"/>
      <c r="G15" s="25">
        <f>SUM(G13:G14)</f>
        <v>19124.524999999998</v>
      </c>
      <c r="H15" s="25">
        <f t="shared" si="2"/>
        <v>0</v>
      </c>
      <c r="I15" s="27">
        <f t="shared" si="3"/>
        <v>0</v>
      </c>
      <c r="J15" s="47">
        <f t="shared" si="0"/>
        <v>0.52065379968826853</v>
      </c>
    </row>
    <row r="16" spans="1:10" s="1" customFormat="1" x14ac:dyDescent="0.2">
      <c r="A16" s="107" t="s">
        <v>38</v>
      </c>
      <c r="B16" s="73">
        <v>1</v>
      </c>
      <c r="C16" s="78">
        <f>VLOOKUP($B$3,'Data for Bill Impacts'!$A$3:$Y$15,7,0)</f>
        <v>104.42</v>
      </c>
      <c r="D16" s="22">
        <f>B16*C16</f>
        <v>104.42</v>
      </c>
      <c r="E16" s="73">
        <f t="shared" ref="E16:E33" si="4">B16</f>
        <v>1</v>
      </c>
      <c r="F16" s="78">
        <f>VLOOKUP($B$3,'Data for Bill Impacts'!$A$3:$Y$15,17,0)</f>
        <v>106.28</v>
      </c>
      <c r="G16" s="22">
        <f>E16*F16</f>
        <v>106.28</v>
      </c>
      <c r="H16" s="22">
        <f t="shared" si="2"/>
        <v>1.8599999999999994</v>
      </c>
      <c r="I16" s="23">
        <f t="shared" si="3"/>
        <v>1.7812679563302045E-2</v>
      </c>
      <c r="J16" s="125">
        <f t="shared" si="0"/>
        <v>2.8934096836846506E-3</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v>0</v>
      </c>
      <c r="D18" s="22">
        <f t="shared" ref="D18:D19" si="6">B18*C18</f>
        <v>0</v>
      </c>
      <c r="E18" s="73">
        <f t="shared" si="4"/>
        <v>1</v>
      </c>
      <c r="F18" s="78">
        <v>0</v>
      </c>
      <c r="G18" s="22">
        <f t="shared" si="5"/>
        <v>0</v>
      </c>
      <c r="H18" s="22">
        <f t="shared" si="2"/>
        <v>0</v>
      </c>
      <c r="I18" s="23">
        <f t="shared" si="3"/>
        <v>0</v>
      </c>
      <c r="J18" s="125">
        <f t="shared" si="0"/>
        <v>0</v>
      </c>
    </row>
    <row r="19" spans="1:10" x14ac:dyDescent="0.2">
      <c r="A19" s="107" t="s">
        <v>85</v>
      </c>
      <c r="B19" s="73">
        <v>1</v>
      </c>
      <c r="C19" s="78">
        <f>VLOOKUP($B$3,'Data for Bill Impacts'!$A$3:$Y$15,13,0)</f>
        <v>-0.02</v>
      </c>
      <c r="D19" s="22">
        <f t="shared" si="6"/>
        <v>-0.02</v>
      </c>
      <c r="E19" s="73">
        <f t="shared" si="4"/>
        <v>1</v>
      </c>
      <c r="F19" s="78">
        <f>VLOOKUP($B$3,'Data for Bill Impacts'!$A$3:$Y$15,22,0)</f>
        <v>-0.02</v>
      </c>
      <c r="G19" s="22">
        <f t="shared" si="5"/>
        <v>-0.02</v>
      </c>
      <c r="H19" s="22">
        <f t="shared" si="2"/>
        <v>0</v>
      </c>
      <c r="I19" s="23">
        <f t="shared" si="3"/>
        <v>0</v>
      </c>
      <c r="J19" s="125">
        <f t="shared" si="0"/>
        <v>-5.4448808499899332E-7</v>
      </c>
    </row>
    <row r="20" spans="1:10" x14ac:dyDescent="0.2">
      <c r="A20" s="107" t="s">
        <v>39</v>
      </c>
      <c r="B20" s="73">
        <f>IF($B$10="kWh",$B$4,$B$5)</f>
        <v>500</v>
      </c>
      <c r="C20" s="78">
        <f>VLOOKUP($B$3,'Data for Bill Impacts'!$A$3:$Y$15,10,0)</f>
        <v>17.353200000000001</v>
      </c>
      <c r="D20" s="22">
        <f>B20*C20</f>
        <v>8676.6</v>
      </c>
      <c r="E20" s="73">
        <f t="shared" si="4"/>
        <v>500</v>
      </c>
      <c r="F20" s="126">
        <f>VLOOKUP($B$3,'Data for Bill Impacts'!$A$3:$Y$15,19,0)</f>
        <v>17.8734</v>
      </c>
      <c r="G20" s="22">
        <f>E20*F20</f>
        <v>8936.7000000000007</v>
      </c>
      <c r="H20" s="22">
        <f t="shared" si="2"/>
        <v>260.10000000000036</v>
      </c>
      <c r="I20" s="23">
        <f t="shared" si="3"/>
        <v>2.997718000138307E-2</v>
      </c>
      <c r="J20" s="125">
        <f t="shared" si="0"/>
        <v>0.24329633346052518</v>
      </c>
    </row>
    <row r="21" spans="1:10" s="1" customFormat="1" x14ac:dyDescent="0.2">
      <c r="A21" s="107" t="s">
        <v>121</v>
      </c>
      <c r="B21" s="73">
        <f>IF($B$10="kWh",$B$4,$B$5)</f>
        <v>500</v>
      </c>
      <c r="C21" s="126">
        <f>VLOOKUP($B$3,'Data for Bill Impacts'!$A$3:$Y$15,14,0)</f>
        <v>4.7E-2</v>
      </c>
      <c r="D21" s="22">
        <f>B21*C21</f>
        <v>23.5</v>
      </c>
      <c r="E21" s="73">
        <f t="shared" si="4"/>
        <v>500</v>
      </c>
      <c r="F21" s="126">
        <f>VLOOKUP($B$3,'Data for Bill Impacts'!$A$3:$Y$15,23,0)</f>
        <v>4.7E-2</v>
      </c>
      <c r="G21" s="22">
        <f>E21*F21</f>
        <v>23.5</v>
      </c>
      <c r="H21" s="22">
        <f t="shared" si="2"/>
        <v>0</v>
      </c>
      <c r="I21" s="23">
        <f>IF(ISERROR(H21/D21),0,(H21/D21))</f>
        <v>0</v>
      </c>
      <c r="J21" s="125">
        <f t="shared" si="0"/>
        <v>6.3977349987381709E-4</v>
      </c>
    </row>
    <row r="22" spans="1:10" s="1" customFormat="1" x14ac:dyDescent="0.2">
      <c r="A22" s="107" t="s">
        <v>108</v>
      </c>
      <c r="B22" s="73">
        <f>B9</f>
        <v>185675</v>
      </c>
      <c r="C22" s="126">
        <f>VLOOKUP($B$3,'Data for Bill Impacts'!$A$3:$Y$15,20,0)</f>
        <v>1.9E-3</v>
      </c>
      <c r="D22" s="22">
        <f>B22*C22</f>
        <v>352.78250000000003</v>
      </c>
      <c r="E22" s="73">
        <f>B22</f>
        <v>185675</v>
      </c>
      <c r="F22" s="126">
        <f>VLOOKUP($B$3,'Data for Bill Impacts'!$A$3:$Y$15,21,0)</f>
        <v>1.9E-3</v>
      </c>
      <c r="G22" s="22">
        <f>E22*F22</f>
        <v>352.78250000000003</v>
      </c>
      <c r="H22" s="22">
        <f t="shared" ref="H22" si="7">G22-D22</f>
        <v>0</v>
      </c>
      <c r="I22" s="23">
        <f>IF(ISERROR(H22/D22),0,(H22/D22))</f>
        <v>0</v>
      </c>
      <c r="J22" s="125">
        <f t="shared" si="0"/>
        <v>9.6042933923078683E-3</v>
      </c>
    </row>
    <row r="23" spans="1:10" x14ac:dyDescent="0.2">
      <c r="A23" s="110" t="s">
        <v>79</v>
      </c>
      <c r="B23" s="74"/>
      <c r="C23" s="35"/>
      <c r="D23" s="35">
        <f>SUM(D16:D22)</f>
        <v>9157.2824999999993</v>
      </c>
      <c r="E23" s="73"/>
      <c r="F23" s="35"/>
      <c r="G23" s="35">
        <f>SUM(G16:G22)</f>
        <v>9419.2425000000003</v>
      </c>
      <c r="H23" s="35">
        <f t="shared" si="2"/>
        <v>261.96000000000095</v>
      </c>
      <c r="I23" s="36">
        <f t="shared" si="3"/>
        <v>2.8606740045422969E-2</v>
      </c>
      <c r="J23" s="111">
        <f t="shared" si="0"/>
        <v>0.25643326554830653</v>
      </c>
    </row>
    <row r="24" spans="1:10" x14ac:dyDescent="0.2">
      <c r="A24" s="107" t="s">
        <v>40</v>
      </c>
      <c r="B24" s="73">
        <f>B5</f>
        <v>500</v>
      </c>
      <c r="C24" s="126">
        <f>VLOOKUP($B$3,'Data for Bill Impacts'!$A$3:$Y$15,15,0)</f>
        <v>1.6718177000000001</v>
      </c>
      <c r="D24" s="22">
        <f>B24*C24</f>
        <v>835.90885000000003</v>
      </c>
      <c r="E24" s="73">
        <f t="shared" si="4"/>
        <v>500</v>
      </c>
      <c r="F24" s="126">
        <f>VLOOKUP($B$3,'Data for Bill Impacts'!$A$3:$Y$15,24,0)</f>
        <v>1.6718177000000001</v>
      </c>
      <c r="G24" s="22">
        <f>E24*F24</f>
        <v>835.90885000000003</v>
      </c>
      <c r="H24" s="22">
        <f t="shared" si="2"/>
        <v>0</v>
      </c>
      <c r="I24" s="23">
        <f t="shared" si="3"/>
        <v>0</v>
      </c>
      <c r="J24" s="125">
        <f t="shared" si="0"/>
        <v>2.2757120448510536E-2</v>
      </c>
    </row>
    <row r="25" spans="1:10" s="1" customFormat="1" x14ac:dyDescent="0.2">
      <c r="A25" s="107" t="s">
        <v>41</v>
      </c>
      <c r="B25" s="73">
        <f>B5</f>
        <v>500</v>
      </c>
      <c r="C25" s="126">
        <f>VLOOKUP($B$3,'Data for Bill Impacts'!$A$3:$Y$15,16,0)</f>
        <v>1.2769135</v>
      </c>
      <c r="D25" s="22">
        <f>B25*C25</f>
        <v>638.45675000000006</v>
      </c>
      <c r="E25" s="73">
        <f t="shared" si="4"/>
        <v>500</v>
      </c>
      <c r="F25" s="126">
        <f>VLOOKUP($B$3,'Data for Bill Impacts'!$A$3:$Y$15,25,0)</f>
        <v>1.2769135</v>
      </c>
      <c r="G25" s="22">
        <f>E25*F25</f>
        <v>638.45675000000006</v>
      </c>
      <c r="H25" s="22">
        <f t="shared" si="2"/>
        <v>0</v>
      </c>
      <c r="I25" s="23">
        <f t="shared" si="3"/>
        <v>0</v>
      </c>
      <c r="J25" s="125">
        <f t="shared" si="0"/>
        <v>1.7381604658109052E-2</v>
      </c>
    </row>
    <row r="26" spans="1:10" x14ac:dyDescent="0.2">
      <c r="A26" s="110" t="s">
        <v>76</v>
      </c>
      <c r="B26" s="74"/>
      <c r="C26" s="35"/>
      <c r="D26" s="35">
        <f>SUM(D24:D25)</f>
        <v>1474.3656000000001</v>
      </c>
      <c r="E26" s="73"/>
      <c r="F26" s="35"/>
      <c r="G26" s="35">
        <f>SUM(G24:G25)</f>
        <v>1474.3656000000001</v>
      </c>
      <c r="H26" s="35">
        <f t="shared" si="2"/>
        <v>0</v>
      </c>
      <c r="I26" s="36">
        <f t="shared" si="3"/>
        <v>0</v>
      </c>
      <c r="J26" s="111">
        <f t="shared" si="0"/>
        <v>4.0138725106619588E-2</v>
      </c>
    </row>
    <row r="27" spans="1:10" s="1" customFormat="1" x14ac:dyDescent="0.2">
      <c r="A27" s="110" t="s">
        <v>80</v>
      </c>
      <c r="B27" s="74"/>
      <c r="C27" s="35"/>
      <c r="D27" s="35">
        <f>D23+D26</f>
        <v>10631.648099999999</v>
      </c>
      <c r="E27" s="73"/>
      <c r="F27" s="35"/>
      <c r="G27" s="35">
        <f>G23+G26</f>
        <v>10893.608100000001</v>
      </c>
      <c r="H27" s="35">
        <f t="shared" si="2"/>
        <v>261.96000000000276</v>
      </c>
      <c r="I27" s="36">
        <f t="shared" si="3"/>
        <v>2.4639641712746567E-2</v>
      </c>
      <c r="J27" s="111">
        <f t="shared" si="0"/>
        <v>0.29657199065492612</v>
      </c>
    </row>
    <row r="28" spans="1:10" x14ac:dyDescent="0.2">
      <c r="A28" s="107" t="s">
        <v>42</v>
      </c>
      <c r="B28" s="73">
        <f>B9</f>
        <v>185675</v>
      </c>
      <c r="C28" s="34">
        <v>3.5999999999999999E-3</v>
      </c>
      <c r="D28" s="22">
        <f>B28*C28</f>
        <v>668.43</v>
      </c>
      <c r="E28" s="73">
        <f t="shared" si="4"/>
        <v>185675</v>
      </c>
      <c r="F28" s="34">
        <v>3.5999999999999999E-3</v>
      </c>
      <c r="G28" s="22">
        <f>E28*F28</f>
        <v>668.43</v>
      </c>
      <c r="H28" s="22">
        <f t="shared" si="2"/>
        <v>0</v>
      </c>
      <c r="I28" s="23">
        <f t="shared" si="3"/>
        <v>0</v>
      </c>
      <c r="J28" s="125">
        <f t="shared" si="0"/>
        <v>1.8197608532793851E-2</v>
      </c>
    </row>
    <row r="29" spans="1:10" x14ac:dyDescent="0.2">
      <c r="A29" s="107" t="s">
        <v>43</v>
      </c>
      <c r="B29" s="73">
        <f>B9</f>
        <v>185675</v>
      </c>
      <c r="C29" s="34">
        <v>2.0999999999999999E-3</v>
      </c>
      <c r="D29" s="22">
        <f>B29*C29</f>
        <v>389.91749999999996</v>
      </c>
      <c r="E29" s="73">
        <f t="shared" si="4"/>
        <v>185675</v>
      </c>
      <c r="F29" s="34">
        <v>2.0999999999999999E-3</v>
      </c>
      <c r="G29" s="22">
        <f>E29*F29</f>
        <v>389.91749999999996</v>
      </c>
      <c r="H29" s="22">
        <f>G29-D29</f>
        <v>0</v>
      </c>
      <c r="I29" s="23">
        <f t="shared" si="3"/>
        <v>0</v>
      </c>
      <c r="J29" s="125">
        <f t="shared" si="0"/>
        <v>1.0615271644129747E-2</v>
      </c>
    </row>
    <row r="30" spans="1:10" x14ac:dyDescent="0.2">
      <c r="A30" s="107" t="s">
        <v>96</v>
      </c>
      <c r="B30" s="73">
        <f>B9</f>
        <v>185675</v>
      </c>
      <c r="C30" s="34">
        <v>1.1000000000000001E-3</v>
      </c>
      <c r="D30" s="22">
        <f>B30*C30</f>
        <v>204.24250000000001</v>
      </c>
      <c r="E30" s="73">
        <f t="shared" si="4"/>
        <v>185675</v>
      </c>
      <c r="F30" s="34">
        <v>1.1000000000000001E-3</v>
      </c>
      <c r="G30" s="22">
        <f>E30*F30</f>
        <v>204.24250000000001</v>
      </c>
      <c r="H30" s="22">
        <f>G30-D30</f>
        <v>0</v>
      </c>
      <c r="I30" s="23">
        <f t="shared" ref="I30" si="8">IF(ISERROR(H30/D30),0,(H30/D30))</f>
        <v>0</v>
      </c>
      <c r="J30" s="125">
        <f t="shared" ref="J30" si="9">G30/$G$38</f>
        <v>5.5603803850203448E-3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0">G31/$G$38</f>
        <v>6.8061010624874164E-6</v>
      </c>
    </row>
    <row r="32" spans="1:10" x14ac:dyDescent="0.2">
      <c r="A32" s="110" t="s">
        <v>45</v>
      </c>
      <c r="B32" s="74"/>
      <c r="C32" s="35"/>
      <c r="D32" s="35">
        <f>SUM(D28:D31)</f>
        <v>1262.8399999999999</v>
      </c>
      <c r="E32" s="73"/>
      <c r="F32" s="35"/>
      <c r="G32" s="35">
        <f>SUM(G28:G31)</f>
        <v>1262.8399999999999</v>
      </c>
      <c r="H32" s="35">
        <f t="shared" si="2"/>
        <v>0</v>
      </c>
      <c r="I32" s="36">
        <f t="shared" si="3"/>
        <v>0</v>
      </c>
      <c r="J32" s="111">
        <f t="shared" si="10"/>
        <v>3.4380066663006435E-2</v>
      </c>
    </row>
    <row r="33" spans="1:10" ht="13.5" thickBot="1" x14ac:dyDescent="0.25">
      <c r="A33" s="112" t="s">
        <v>46</v>
      </c>
      <c r="B33" s="113">
        <f>B4</f>
        <v>175000</v>
      </c>
      <c r="C33" s="114">
        <v>7.0000000000000001E-3</v>
      </c>
      <c r="D33" s="115">
        <f>B33*C33</f>
        <v>1225</v>
      </c>
      <c r="E33" s="116">
        <f t="shared" si="4"/>
        <v>175000</v>
      </c>
      <c r="F33" s="114">
        <f>C33</f>
        <v>7.0000000000000001E-3</v>
      </c>
      <c r="G33" s="115">
        <f>E33*F33</f>
        <v>1225</v>
      </c>
      <c r="H33" s="115">
        <f t="shared" si="2"/>
        <v>0</v>
      </c>
      <c r="I33" s="117">
        <f t="shared" si="3"/>
        <v>0</v>
      </c>
      <c r="J33" s="118">
        <f t="shared" si="10"/>
        <v>3.3349895206188342E-2</v>
      </c>
    </row>
    <row r="34" spans="1:10" x14ac:dyDescent="0.2">
      <c r="A34" s="37" t="s">
        <v>111</v>
      </c>
      <c r="B34" s="38"/>
      <c r="C34" s="39"/>
      <c r="D34" s="39">
        <f>SUM(D15,D23,D26,D32,D33)</f>
        <v>32244.013099999996</v>
      </c>
      <c r="E34" s="38"/>
      <c r="F34" s="39"/>
      <c r="G34" s="39">
        <f>SUM(G15,G23,G26,G32,G33)</f>
        <v>32505.973099999999</v>
      </c>
      <c r="H34" s="39">
        <f t="shared" si="2"/>
        <v>261.96000000000276</v>
      </c>
      <c r="I34" s="40">
        <f>IF(ISERROR(H34/D34),0,(H34/D34))</f>
        <v>8.1242988950405437E-3</v>
      </c>
      <c r="J34" s="41">
        <f t="shared" si="10"/>
        <v>0.88495575221238942</v>
      </c>
    </row>
    <row r="35" spans="1:10" x14ac:dyDescent="0.2">
      <c r="A35" s="46" t="s">
        <v>102</v>
      </c>
      <c r="B35" s="43"/>
      <c r="C35" s="26">
        <v>0.13</v>
      </c>
      <c r="D35" s="26">
        <f>D34*C35</f>
        <v>4191.7217029999993</v>
      </c>
      <c r="E35" s="26"/>
      <c r="F35" s="26">
        <f>C35</f>
        <v>0.13</v>
      </c>
      <c r="G35" s="26">
        <f>G34*F35</f>
        <v>4225.776503</v>
      </c>
      <c r="H35" s="26">
        <f t="shared" si="2"/>
        <v>34.054800000000796</v>
      </c>
      <c r="I35" s="44">
        <f t="shared" ref="I35:I38" si="11">IF(ISERROR(H35/D35),0,(H35/D35))</f>
        <v>8.1242988950406478E-3</v>
      </c>
      <c r="J35" s="45">
        <f t="shared" si="10"/>
        <v>0.11504424778761063</v>
      </c>
    </row>
    <row r="36" spans="1:10" x14ac:dyDescent="0.2">
      <c r="A36" s="46" t="s">
        <v>103</v>
      </c>
      <c r="B36" s="24"/>
      <c r="C36" s="25"/>
      <c r="D36" s="25">
        <f>SUM(D34:D35)</f>
        <v>36435.734802999999</v>
      </c>
      <c r="E36" s="25"/>
      <c r="F36" s="25"/>
      <c r="G36" s="25">
        <f>SUM(G34:G35)</f>
        <v>36731.749602999997</v>
      </c>
      <c r="H36" s="25">
        <f t="shared" si="2"/>
        <v>296.01479999999719</v>
      </c>
      <c r="I36" s="27">
        <f t="shared" si="11"/>
        <v>8.1242988950403789E-3</v>
      </c>
      <c r="J36" s="47">
        <f t="shared" si="10"/>
        <v>1</v>
      </c>
    </row>
    <row r="37" spans="1:10" x14ac:dyDescent="0.2">
      <c r="A37" s="46" t="s">
        <v>104</v>
      </c>
      <c r="B37" s="43"/>
      <c r="C37" s="26">
        <v>0</v>
      </c>
      <c r="D37" s="26">
        <f>D34*C37</f>
        <v>0</v>
      </c>
      <c r="E37" s="26"/>
      <c r="F37" s="26">
        <f>C37</f>
        <v>0</v>
      </c>
      <c r="G37" s="26">
        <f>G34*F37</f>
        <v>0</v>
      </c>
      <c r="H37" s="26">
        <f t="shared" si="2"/>
        <v>0</v>
      </c>
      <c r="I37" s="44">
        <f t="shared" si="11"/>
        <v>0</v>
      </c>
      <c r="J37" s="45">
        <f t="shared" si="10"/>
        <v>0</v>
      </c>
    </row>
    <row r="38" spans="1:10" ht="13.5" thickBot="1" x14ac:dyDescent="0.25">
      <c r="A38" s="46" t="s">
        <v>105</v>
      </c>
      <c r="B38" s="49"/>
      <c r="C38" s="50"/>
      <c r="D38" s="50">
        <f>SUM(D36:D37)</f>
        <v>36435.734802999999</v>
      </c>
      <c r="E38" s="50"/>
      <c r="F38" s="50"/>
      <c r="G38" s="50">
        <f>SUM(G36:G37)</f>
        <v>36731.749602999997</v>
      </c>
      <c r="H38" s="50">
        <f t="shared" si="2"/>
        <v>296.01479999999719</v>
      </c>
      <c r="I38" s="51">
        <f t="shared" si="11"/>
        <v>8.1242988950403789E-3</v>
      </c>
      <c r="J38" s="52">
        <f t="shared" si="10"/>
        <v>1</v>
      </c>
    </row>
    <row r="39" spans="1:10" x14ac:dyDescent="0.2">
      <c r="A39" s="170"/>
      <c r="F39" s="69"/>
    </row>
    <row r="40" spans="1:10" x14ac:dyDescent="0.2">
      <c r="A40" s="171"/>
      <c r="F40" s="69"/>
    </row>
    <row r="41" spans="1:10" x14ac:dyDescent="0.2">
      <c r="A41" s="171"/>
    </row>
    <row r="42" spans="1:10" x14ac:dyDescent="0.2">
      <c r="A42" s="171"/>
    </row>
    <row r="43" spans="1:10" x14ac:dyDescent="0.2">
      <c r="A43" s="171"/>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5" scale="94"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theme="1" tint="0.499984740745262"/>
    <pageSetUpPr fitToPage="1"/>
  </sheetPr>
  <dimension ref="A1:J43"/>
  <sheetViews>
    <sheetView tabSelected="1" view="pageBreakPreview" topLeftCell="A10" zoomScaleNormal="100" zoomScaleSheetLayoutView="100" workbookViewId="0">
      <selection activeCell="C3" sqref="C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117</v>
      </c>
      <c r="B1" s="188"/>
      <c r="C1" s="188"/>
      <c r="D1" s="188"/>
      <c r="E1" s="188"/>
      <c r="F1" s="188"/>
      <c r="G1" s="188"/>
      <c r="H1" s="188"/>
      <c r="I1" s="188"/>
      <c r="J1" s="189"/>
    </row>
    <row r="3" spans="1:10" x14ac:dyDescent="0.2">
      <c r="A3" s="13" t="s">
        <v>13</v>
      </c>
      <c r="B3" s="13" t="s">
        <v>47</v>
      </c>
    </row>
    <row r="4" spans="1:10" x14ac:dyDescent="0.2">
      <c r="A4" s="15" t="s">
        <v>62</v>
      </c>
      <c r="B4" s="79">
        <v>300</v>
      </c>
    </row>
    <row r="5" spans="1:10" x14ac:dyDescent="0.2">
      <c r="A5" s="15" t="s">
        <v>16</v>
      </c>
      <c r="B5" s="79">
        <v>10</v>
      </c>
    </row>
    <row r="6" spans="1:10" x14ac:dyDescent="0.2">
      <c r="A6" s="15" t="s">
        <v>20</v>
      </c>
      <c r="B6" s="80">
        <f>VLOOKUP($B$3,'Data for Bill Impacts'!$A$3:$Y$15,2,0)</f>
        <v>1.0609999999999999</v>
      </c>
    </row>
    <row r="7" spans="1:10" x14ac:dyDescent="0.2">
      <c r="A7" s="81" t="s">
        <v>48</v>
      </c>
      <c r="B7" s="82">
        <f>B4/(B5*730)</f>
        <v>4.1095890410958902E-2</v>
      </c>
    </row>
    <row r="8" spans="1:10" x14ac:dyDescent="0.2">
      <c r="A8" s="15" t="s">
        <v>15</v>
      </c>
      <c r="B8" s="79">
        <f>VLOOKUP($B$3,'Data for Bill Impacts'!$A$3:$Y$15,4,0)</f>
        <v>0</v>
      </c>
    </row>
    <row r="9" spans="1:10" x14ac:dyDescent="0.2">
      <c r="A9" s="15" t="s">
        <v>82</v>
      </c>
      <c r="B9" s="79">
        <f>B4*B6</f>
        <v>318.29999999999995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318.29999999999995</v>
      </c>
      <c r="C13" s="103">
        <v>0.10299999999999999</v>
      </c>
      <c r="D13" s="104">
        <f>B13*C13</f>
        <v>32.784899999999993</v>
      </c>
      <c r="E13" s="102">
        <f>B13</f>
        <v>318.29999999999995</v>
      </c>
      <c r="F13" s="103">
        <f>C13</f>
        <v>0.10299999999999999</v>
      </c>
      <c r="G13" s="104">
        <f>E13*F13</f>
        <v>32.784899999999993</v>
      </c>
      <c r="H13" s="104">
        <f>G13-D13</f>
        <v>0</v>
      </c>
      <c r="I13" s="105">
        <f>IF(ISERROR(H13/D13),0,(H13/D13))</f>
        <v>0</v>
      </c>
      <c r="J13" s="124">
        <f t="shared" ref="J13:J21" si="0">G13/$G$38</f>
        <v>8.2496078257462746E-2</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32.784899999999993</v>
      </c>
      <c r="E15" s="76"/>
      <c r="F15" s="25"/>
      <c r="G15" s="25">
        <f>SUM(G13:G14)</f>
        <v>32.784899999999993</v>
      </c>
      <c r="H15" s="25">
        <f t="shared" si="2"/>
        <v>0</v>
      </c>
      <c r="I15" s="27">
        <f t="shared" si="3"/>
        <v>0</v>
      </c>
      <c r="J15" s="47">
        <f t="shared" si="0"/>
        <v>8.2496078257462746E-2</v>
      </c>
    </row>
    <row r="16" spans="1:10" s="1" customFormat="1" x14ac:dyDescent="0.2">
      <c r="A16" s="107" t="s">
        <v>38</v>
      </c>
      <c r="B16" s="73">
        <v>1</v>
      </c>
      <c r="C16" s="78">
        <f>VLOOKUP($B$3,'Data for Bill Impacts'!$A$3:$Y$15,7,0)</f>
        <v>198.03</v>
      </c>
      <c r="D16" s="22">
        <f>B16*C16</f>
        <v>198.03</v>
      </c>
      <c r="E16" s="73">
        <f t="shared" ref="E16:E33" si="4">B16</f>
        <v>1</v>
      </c>
      <c r="F16" s="78">
        <f>VLOOKUP($B$3,'Data for Bill Impacts'!$A$3:$Y$15,17,0)</f>
        <v>198.03</v>
      </c>
      <c r="G16" s="22">
        <f>E16*F16</f>
        <v>198.03</v>
      </c>
      <c r="H16" s="22">
        <f t="shared" si="2"/>
        <v>0</v>
      </c>
      <c r="I16" s="23">
        <f t="shared" si="3"/>
        <v>0</v>
      </c>
      <c r="J16" s="125">
        <f t="shared" si="0"/>
        <v>0.4982994725414856</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v>0</v>
      </c>
      <c r="D18" s="22">
        <f t="shared" ref="D18:D19" si="6">B18*C18</f>
        <v>0</v>
      </c>
      <c r="E18" s="73">
        <f t="shared" si="4"/>
        <v>1</v>
      </c>
      <c r="F18" s="78">
        <v>0</v>
      </c>
      <c r="G18" s="22">
        <f t="shared" si="5"/>
        <v>0</v>
      </c>
      <c r="H18" s="22">
        <f t="shared" si="2"/>
        <v>0</v>
      </c>
      <c r="I18" s="23">
        <f t="shared" si="3"/>
        <v>0</v>
      </c>
      <c r="J18" s="125">
        <f t="shared" si="0"/>
        <v>0</v>
      </c>
    </row>
    <row r="19" spans="1:10" x14ac:dyDescent="0.2">
      <c r="A19" s="107" t="s">
        <v>85</v>
      </c>
      <c r="B19" s="73">
        <v>1</v>
      </c>
      <c r="C19" s="78">
        <f>VLOOKUP($B$3,'Data for Bill Impacts'!$A$3:$Y$15,13,0)</f>
        <v>0.01</v>
      </c>
      <c r="D19" s="22">
        <f t="shared" si="6"/>
        <v>0.01</v>
      </c>
      <c r="E19" s="73">
        <f t="shared" si="4"/>
        <v>1</v>
      </c>
      <c r="F19" s="78">
        <f>VLOOKUP($B$3,'Data for Bill Impacts'!$A$3:$Y$15,22,0)</f>
        <v>0.01</v>
      </c>
      <c r="G19" s="22">
        <f t="shared" si="5"/>
        <v>0.01</v>
      </c>
      <c r="H19" s="22">
        <f t="shared" si="2"/>
        <v>0</v>
      </c>
      <c r="I19" s="23">
        <f t="shared" si="3"/>
        <v>0</v>
      </c>
      <c r="J19" s="125">
        <f t="shared" si="0"/>
        <v>2.5162827477729919E-5</v>
      </c>
    </row>
    <row r="20" spans="1:10" x14ac:dyDescent="0.2">
      <c r="A20" s="107" t="s">
        <v>39</v>
      </c>
      <c r="B20" s="73">
        <f>IF($B$10="kWh",$B$4,$B$5)</f>
        <v>10</v>
      </c>
      <c r="C20" s="78">
        <f>VLOOKUP($B$3,'Data for Bill Impacts'!$A$3:$Y$15,10,0)</f>
        <v>9.5955999999999992</v>
      </c>
      <c r="D20" s="22">
        <f>B20*C20</f>
        <v>95.955999999999989</v>
      </c>
      <c r="E20" s="73">
        <f t="shared" si="4"/>
        <v>10</v>
      </c>
      <c r="F20" s="126">
        <f>VLOOKUP($B$3,'Data for Bill Impacts'!$A$3:$Y$15,19,0)</f>
        <v>10.379</v>
      </c>
      <c r="G20" s="22">
        <f>E20*F20</f>
        <v>103.78999999999999</v>
      </c>
      <c r="H20" s="22">
        <f t="shared" si="2"/>
        <v>7.8340000000000032</v>
      </c>
      <c r="I20" s="23">
        <f t="shared" si="3"/>
        <v>8.1641585726791491E-2</v>
      </c>
      <c r="J20" s="125">
        <f t="shared" si="0"/>
        <v>0.26116498639135882</v>
      </c>
    </row>
    <row r="21" spans="1:10" s="1" customFormat="1" x14ac:dyDescent="0.2">
      <c r="A21" s="107" t="s">
        <v>121</v>
      </c>
      <c r="B21" s="73">
        <f>IF($B$10="kWh",$B$4,$B$5)</f>
        <v>10</v>
      </c>
      <c r="C21" s="126">
        <f>VLOOKUP($B$3,'Data for Bill Impacts'!$A$3:$Y$15,14,0)</f>
        <v>1.72E-2</v>
      </c>
      <c r="D21" s="22">
        <f>B21*C21</f>
        <v>0.17199999999999999</v>
      </c>
      <c r="E21" s="73">
        <f t="shared" si="4"/>
        <v>10</v>
      </c>
      <c r="F21" s="126">
        <f>VLOOKUP($B$3,'Data for Bill Impacts'!$A$3:$Y$15,23,0)</f>
        <v>1.72E-2</v>
      </c>
      <c r="G21" s="22">
        <f>E21*F21</f>
        <v>0.17199999999999999</v>
      </c>
      <c r="H21" s="22">
        <f t="shared" si="2"/>
        <v>0</v>
      </c>
      <c r="I21" s="23">
        <f>IF(ISERROR(H21/D21),0,(H21/D21))</f>
        <v>0</v>
      </c>
      <c r="J21" s="125">
        <f t="shared" si="0"/>
        <v>4.3280063261695459E-4</v>
      </c>
    </row>
    <row r="22" spans="1:10" s="1" customFormat="1" x14ac:dyDescent="0.2">
      <c r="A22" s="107" t="s">
        <v>108</v>
      </c>
      <c r="B22" s="73">
        <f>B9</f>
        <v>318.29999999999995</v>
      </c>
      <c r="C22" s="126">
        <f>VLOOKUP($B$3,'Data for Bill Impacts'!$A$3:$Y$15,20,0)</f>
        <v>1.9E-3</v>
      </c>
      <c r="D22" s="22">
        <f>B22*C22</f>
        <v>0.60476999999999992</v>
      </c>
      <c r="E22" s="73">
        <f>B22</f>
        <v>318.29999999999995</v>
      </c>
      <c r="F22" s="126">
        <f>VLOOKUP($B$3,'Data for Bill Impacts'!$A$3:$Y$15,21,0)</f>
        <v>1.9E-3</v>
      </c>
      <c r="G22" s="22">
        <f>E22*F22</f>
        <v>0.60476999999999992</v>
      </c>
      <c r="H22" s="22">
        <f t="shared" ref="H22" si="7">G22-D22</f>
        <v>0</v>
      </c>
      <c r="I22" s="23">
        <f>IF(ISERROR(H22/D22),0,(H22/D22))</f>
        <v>0</v>
      </c>
      <c r="J22" s="125">
        <f t="shared" ref="J22" si="8">G22/$G$38</f>
        <v>1.5217723173706721E-3</v>
      </c>
    </row>
    <row r="23" spans="1:10" x14ac:dyDescent="0.2">
      <c r="A23" s="110" t="s">
        <v>93</v>
      </c>
      <c r="B23" s="74"/>
      <c r="C23" s="35"/>
      <c r="D23" s="35">
        <f>SUM(D16:D22)</f>
        <v>294.77276999999998</v>
      </c>
      <c r="E23" s="73"/>
      <c r="F23" s="35"/>
      <c r="G23" s="35">
        <f>SUM(G16:G22)</f>
        <v>302.60676999999998</v>
      </c>
      <c r="H23" s="35">
        <f t="shared" si="2"/>
        <v>7.8340000000000032</v>
      </c>
      <c r="I23" s="36">
        <f t="shared" si="3"/>
        <v>2.6576403241045651E-2</v>
      </c>
      <c r="J23" s="111">
        <f t="shared" ref="J23:J29" si="9">G23/$G$38</f>
        <v>0.76144419471030977</v>
      </c>
    </row>
    <row r="24" spans="1:10" x14ac:dyDescent="0.2">
      <c r="A24" s="107" t="s">
        <v>40</v>
      </c>
      <c r="B24" s="73">
        <f>B5</f>
        <v>10</v>
      </c>
      <c r="C24" s="126">
        <f>VLOOKUP($B$3,'Data for Bill Impacts'!$A$3:$Y$15,15,0)</f>
        <v>0.63108279999999994</v>
      </c>
      <c r="D24" s="22">
        <f>B24*C24</f>
        <v>6.310827999999999</v>
      </c>
      <c r="E24" s="73">
        <f t="shared" si="4"/>
        <v>10</v>
      </c>
      <c r="F24" s="126">
        <f>VLOOKUP($B$3,'Data for Bill Impacts'!$A$3:$Y$15,24,0)</f>
        <v>0.63108279999999994</v>
      </c>
      <c r="G24" s="22">
        <f>E24*F24</f>
        <v>6.310827999999999</v>
      </c>
      <c r="H24" s="22">
        <f t="shared" si="2"/>
        <v>0</v>
      </c>
      <c r="I24" s="23">
        <f t="shared" si="3"/>
        <v>0</v>
      </c>
      <c r="J24" s="125">
        <f t="shared" si="9"/>
        <v>1.5879827620562732E-2</v>
      </c>
    </row>
    <row r="25" spans="1:10" s="1" customFormat="1" x14ac:dyDescent="0.2">
      <c r="A25" s="107" t="s">
        <v>41</v>
      </c>
      <c r="B25" s="73">
        <f>B5</f>
        <v>10</v>
      </c>
      <c r="C25" s="126">
        <f>VLOOKUP($B$3,'Data for Bill Impacts'!$A$3:$Y$15,16,0)</f>
        <v>0.54747599999999996</v>
      </c>
      <c r="D25" s="22">
        <f>B25*C25</f>
        <v>5.4747599999999998</v>
      </c>
      <c r="E25" s="73">
        <f t="shared" si="4"/>
        <v>10</v>
      </c>
      <c r="F25" s="126">
        <f>VLOOKUP($B$3,'Data for Bill Impacts'!$A$3:$Y$15,25,0)</f>
        <v>0.54747599999999996</v>
      </c>
      <c r="G25" s="22">
        <f>E25*F25</f>
        <v>5.4747599999999998</v>
      </c>
      <c r="H25" s="22">
        <f t="shared" si="2"/>
        <v>0</v>
      </c>
      <c r="I25" s="23">
        <f t="shared" si="3"/>
        <v>0</v>
      </c>
      <c r="J25" s="125">
        <f t="shared" si="9"/>
        <v>1.3776044136197665E-2</v>
      </c>
    </row>
    <row r="26" spans="1:10" x14ac:dyDescent="0.2">
      <c r="A26" s="110" t="s">
        <v>76</v>
      </c>
      <c r="B26" s="74"/>
      <c r="C26" s="35"/>
      <c r="D26" s="35">
        <f>SUM(D24:D25)</f>
        <v>11.785587999999999</v>
      </c>
      <c r="E26" s="73"/>
      <c r="F26" s="35"/>
      <c r="G26" s="35">
        <f>SUM(G24:G25)</f>
        <v>11.785587999999999</v>
      </c>
      <c r="H26" s="35">
        <f t="shared" si="2"/>
        <v>0</v>
      </c>
      <c r="I26" s="36">
        <f t="shared" si="3"/>
        <v>0</v>
      </c>
      <c r="J26" s="111">
        <f t="shared" si="9"/>
        <v>2.9655871756760398E-2</v>
      </c>
    </row>
    <row r="27" spans="1:10" s="1" customFormat="1" x14ac:dyDescent="0.2">
      <c r="A27" s="110" t="s">
        <v>80</v>
      </c>
      <c r="B27" s="74"/>
      <c r="C27" s="35"/>
      <c r="D27" s="35">
        <f>D23+D26</f>
        <v>306.558358</v>
      </c>
      <c r="E27" s="73"/>
      <c r="F27" s="35"/>
      <c r="G27" s="35">
        <f>G23+G26</f>
        <v>314.392358</v>
      </c>
      <c r="H27" s="35">
        <f t="shared" si="2"/>
        <v>7.8340000000000032</v>
      </c>
      <c r="I27" s="36">
        <f t="shared" si="3"/>
        <v>2.5554677586053627E-2</v>
      </c>
      <c r="J27" s="111">
        <f t="shared" si="9"/>
        <v>0.79110006646707021</v>
      </c>
    </row>
    <row r="28" spans="1:10" x14ac:dyDescent="0.2">
      <c r="A28" s="107" t="s">
        <v>42</v>
      </c>
      <c r="B28" s="73">
        <f>B9</f>
        <v>318.29999999999995</v>
      </c>
      <c r="C28" s="34">
        <v>3.5999999999999999E-3</v>
      </c>
      <c r="D28" s="22">
        <f>B28*C28</f>
        <v>1.1458799999999998</v>
      </c>
      <c r="E28" s="73">
        <f t="shared" si="4"/>
        <v>318.29999999999995</v>
      </c>
      <c r="F28" s="34">
        <v>3.5999999999999999E-3</v>
      </c>
      <c r="G28" s="22">
        <f>E28*F28</f>
        <v>1.1458799999999998</v>
      </c>
      <c r="H28" s="22">
        <f t="shared" si="2"/>
        <v>0</v>
      </c>
      <c r="I28" s="23">
        <f t="shared" si="3"/>
        <v>0</v>
      </c>
      <c r="J28" s="125">
        <f t="shared" si="9"/>
        <v>2.8833580750181153E-3</v>
      </c>
    </row>
    <row r="29" spans="1:10" x14ac:dyDescent="0.2">
      <c r="A29" s="107" t="s">
        <v>43</v>
      </c>
      <c r="B29" s="73">
        <f>B9</f>
        <v>318.29999999999995</v>
      </c>
      <c r="C29" s="34">
        <v>2.0999999999999999E-3</v>
      </c>
      <c r="D29" s="22">
        <f>B29*C29</f>
        <v>0.66842999999999986</v>
      </c>
      <c r="E29" s="73">
        <f t="shared" si="4"/>
        <v>318.29999999999995</v>
      </c>
      <c r="F29" s="34">
        <v>2.0999999999999999E-3</v>
      </c>
      <c r="G29" s="22">
        <f>E29*F29</f>
        <v>0.66842999999999986</v>
      </c>
      <c r="H29" s="22">
        <f>G29-D29</f>
        <v>0</v>
      </c>
      <c r="I29" s="23">
        <f t="shared" si="3"/>
        <v>0</v>
      </c>
      <c r="J29" s="125">
        <f t="shared" si="9"/>
        <v>1.6819588770939007E-3</v>
      </c>
    </row>
    <row r="30" spans="1:10" x14ac:dyDescent="0.2">
      <c r="A30" s="107" t="s">
        <v>96</v>
      </c>
      <c r="B30" s="73">
        <f>B9</f>
        <v>318.29999999999995</v>
      </c>
      <c r="C30" s="34">
        <v>1.1000000000000001E-3</v>
      </c>
      <c r="D30" s="22">
        <f>B30*C30</f>
        <v>0.35013</v>
      </c>
      <c r="E30" s="73">
        <f t="shared" si="4"/>
        <v>318.29999999999995</v>
      </c>
      <c r="F30" s="34">
        <v>1.1000000000000001E-3</v>
      </c>
      <c r="G30" s="22">
        <f>E30*F30</f>
        <v>0.35013</v>
      </c>
      <c r="H30" s="22">
        <f>G30-D30</f>
        <v>0</v>
      </c>
      <c r="I30" s="23">
        <f t="shared" ref="I30" si="10">IF(ISERROR(H30/D30),0,(H30/D30))</f>
        <v>0</v>
      </c>
      <c r="J30" s="125">
        <f t="shared" ref="J30" si="11">G30/$G$38</f>
        <v>8.8102607847775764E-4</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2">G31/$G$38</f>
        <v>6.2907068694324796E-4</v>
      </c>
    </row>
    <row r="32" spans="1:10" x14ac:dyDescent="0.2">
      <c r="A32" s="110" t="s">
        <v>45</v>
      </c>
      <c r="B32" s="74"/>
      <c r="C32" s="35"/>
      <c r="D32" s="35">
        <f>SUM(D28:D31)</f>
        <v>2.4144399999999995</v>
      </c>
      <c r="E32" s="73"/>
      <c r="F32" s="35"/>
      <c r="G32" s="35">
        <f>SUM(G28:G31)</f>
        <v>2.4144399999999995</v>
      </c>
      <c r="H32" s="35">
        <f t="shared" si="2"/>
        <v>0</v>
      </c>
      <c r="I32" s="36">
        <f t="shared" si="3"/>
        <v>0</v>
      </c>
      <c r="J32" s="111">
        <f t="shared" si="12"/>
        <v>6.0754137175330217E-3</v>
      </c>
    </row>
    <row r="33" spans="1:10" ht="13.5" thickBot="1" x14ac:dyDescent="0.25">
      <c r="A33" s="112" t="s">
        <v>46</v>
      </c>
      <c r="B33" s="113">
        <f>B4</f>
        <v>300</v>
      </c>
      <c r="C33" s="114">
        <v>7.0000000000000001E-3</v>
      </c>
      <c r="D33" s="115">
        <f>B33*C33</f>
        <v>2.1</v>
      </c>
      <c r="E33" s="116">
        <f t="shared" si="4"/>
        <v>300</v>
      </c>
      <c r="F33" s="114">
        <f>C33</f>
        <v>7.0000000000000001E-3</v>
      </c>
      <c r="G33" s="115">
        <f>E33*F33</f>
        <v>2.1</v>
      </c>
      <c r="H33" s="115">
        <f t="shared" si="2"/>
        <v>0</v>
      </c>
      <c r="I33" s="117">
        <f t="shared" si="3"/>
        <v>0</v>
      </c>
      <c r="J33" s="118">
        <f t="shared" si="12"/>
        <v>5.284193770323283E-3</v>
      </c>
    </row>
    <row r="34" spans="1:10" x14ac:dyDescent="0.2">
      <c r="A34" s="37" t="s">
        <v>111</v>
      </c>
      <c r="B34" s="38"/>
      <c r="C34" s="39"/>
      <c r="D34" s="39">
        <f>SUM(D15,D23,D26,D32,D33)</f>
        <v>343.85769800000003</v>
      </c>
      <c r="E34" s="38"/>
      <c r="F34" s="39"/>
      <c r="G34" s="39">
        <f>SUM(G15,G23,G26,G32,G33)</f>
        <v>351.69169800000003</v>
      </c>
      <c r="H34" s="39">
        <f t="shared" si="2"/>
        <v>7.8340000000000032</v>
      </c>
      <c r="I34" s="40">
        <f>IF(ISERROR(H34/D34),0,(H34/D34))</f>
        <v>2.2782680293520732E-2</v>
      </c>
      <c r="J34" s="41">
        <f t="shared" si="12"/>
        <v>0.88495575221238931</v>
      </c>
    </row>
    <row r="35" spans="1:10" x14ac:dyDescent="0.2">
      <c r="A35" s="46" t="s">
        <v>102</v>
      </c>
      <c r="B35" s="43"/>
      <c r="C35" s="26">
        <v>0.13</v>
      </c>
      <c r="D35" s="26">
        <f>D34*C35</f>
        <v>44.701500740000007</v>
      </c>
      <c r="E35" s="26"/>
      <c r="F35" s="26">
        <f>C35</f>
        <v>0.13</v>
      </c>
      <c r="G35" s="26">
        <f>G34*F35</f>
        <v>45.719920740000006</v>
      </c>
      <c r="H35" s="26">
        <f t="shared" si="2"/>
        <v>1.018419999999999</v>
      </c>
      <c r="I35" s="44">
        <f t="shared" ref="I35:I38" si="13">IF(ISERROR(H35/D35),0,(H35/D35))</f>
        <v>2.2782680293520697E-2</v>
      </c>
      <c r="J35" s="45">
        <f t="shared" si="12"/>
        <v>0.11504424778761062</v>
      </c>
    </row>
    <row r="36" spans="1:10" x14ac:dyDescent="0.2">
      <c r="A36" s="46" t="s">
        <v>103</v>
      </c>
      <c r="B36" s="24"/>
      <c r="C36" s="25"/>
      <c r="D36" s="25">
        <f>SUM(D34:D35)</f>
        <v>388.55919874000006</v>
      </c>
      <c r="E36" s="25"/>
      <c r="F36" s="25"/>
      <c r="G36" s="25">
        <f>SUM(G34:G35)</f>
        <v>397.41161874000005</v>
      </c>
      <c r="H36" s="25">
        <f t="shared" si="2"/>
        <v>8.8524199999999951</v>
      </c>
      <c r="I36" s="27">
        <f t="shared" si="13"/>
        <v>2.2782680293520707E-2</v>
      </c>
      <c r="J36" s="47">
        <f t="shared" si="12"/>
        <v>1</v>
      </c>
    </row>
    <row r="37" spans="1:10" x14ac:dyDescent="0.2">
      <c r="A37" s="46" t="s">
        <v>104</v>
      </c>
      <c r="B37" s="43"/>
      <c r="C37" s="26">
        <v>0</v>
      </c>
      <c r="D37" s="26">
        <f>D34*C37</f>
        <v>0</v>
      </c>
      <c r="E37" s="26"/>
      <c r="F37" s="26">
        <f>C37</f>
        <v>0</v>
      </c>
      <c r="G37" s="26">
        <f>G34*F37</f>
        <v>0</v>
      </c>
      <c r="H37" s="26">
        <f t="shared" si="2"/>
        <v>0</v>
      </c>
      <c r="I37" s="44">
        <f t="shared" si="13"/>
        <v>0</v>
      </c>
      <c r="J37" s="45">
        <f t="shared" si="12"/>
        <v>0</v>
      </c>
    </row>
    <row r="38" spans="1:10" ht="13.5" thickBot="1" x14ac:dyDescent="0.25">
      <c r="A38" s="46" t="s">
        <v>105</v>
      </c>
      <c r="B38" s="49"/>
      <c r="C38" s="50"/>
      <c r="D38" s="50">
        <f>SUM(D36:D37)</f>
        <v>388.55919874000006</v>
      </c>
      <c r="E38" s="50"/>
      <c r="F38" s="50"/>
      <c r="G38" s="50">
        <f>SUM(G36:G37)</f>
        <v>397.41161874000005</v>
      </c>
      <c r="H38" s="50">
        <f t="shared" si="2"/>
        <v>8.8524199999999951</v>
      </c>
      <c r="I38" s="51">
        <f t="shared" si="13"/>
        <v>2.2782680293520707E-2</v>
      </c>
      <c r="J38" s="52">
        <f t="shared" si="12"/>
        <v>1</v>
      </c>
    </row>
    <row r="39" spans="1:10" x14ac:dyDescent="0.2">
      <c r="A39" s="169"/>
      <c r="F39" s="69"/>
    </row>
    <row r="40" spans="1:10" x14ac:dyDescent="0.2">
      <c r="A40" s="169"/>
      <c r="F40" s="69"/>
    </row>
    <row r="41" spans="1:10" x14ac:dyDescent="0.2">
      <c r="A41" s="169"/>
    </row>
    <row r="42" spans="1:10" x14ac:dyDescent="0.2">
      <c r="A42" s="169"/>
    </row>
    <row r="43" spans="1:10" x14ac:dyDescent="0.2">
      <c r="A43" s="1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theme="1" tint="0.499984740745262"/>
    <pageSetUpPr fitToPage="1"/>
  </sheetPr>
  <dimension ref="A1:J43"/>
  <sheetViews>
    <sheetView tabSelected="1" zoomScaleNormal="100" zoomScaleSheetLayoutView="100" workbookViewId="0">
      <selection activeCell="C3" sqref="C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119</v>
      </c>
      <c r="B1" s="188"/>
      <c r="C1" s="188"/>
      <c r="D1" s="188"/>
      <c r="E1" s="188"/>
      <c r="F1" s="188"/>
      <c r="G1" s="188"/>
      <c r="H1" s="188"/>
      <c r="I1" s="188"/>
      <c r="J1" s="189"/>
    </row>
    <row r="3" spans="1:10" x14ac:dyDescent="0.2">
      <c r="A3" s="13" t="s">
        <v>13</v>
      </c>
      <c r="B3" s="13" t="s">
        <v>47</v>
      </c>
    </row>
    <row r="4" spans="1:10" x14ac:dyDescent="0.2">
      <c r="A4" s="15" t="s">
        <v>62</v>
      </c>
      <c r="B4" s="79">
        <f>VLOOKUP(B3,'Data for Bill Impacts'!A19:D31,3,FALSE)</f>
        <v>1328</v>
      </c>
    </row>
    <row r="5" spans="1:10" x14ac:dyDescent="0.2">
      <c r="A5" s="15" t="s">
        <v>16</v>
      </c>
      <c r="B5" s="79">
        <f>VLOOKUP(B3,'Data for Bill Impacts'!A19:D31,4,FALSE)</f>
        <v>13</v>
      </c>
    </row>
    <row r="6" spans="1:10" x14ac:dyDescent="0.2">
      <c r="A6" s="15" t="s">
        <v>20</v>
      </c>
      <c r="B6" s="80">
        <f>VLOOKUP($B$3,'Data for Bill Impacts'!$A$3:$Y$15,2,0)</f>
        <v>1.0609999999999999</v>
      </c>
    </row>
    <row r="7" spans="1:10" x14ac:dyDescent="0.2">
      <c r="A7" s="81" t="s">
        <v>48</v>
      </c>
      <c r="B7" s="82">
        <f>B4/(B5*730)</f>
        <v>0.1399367755532139</v>
      </c>
    </row>
    <row r="8" spans="1:10" x14ac:dyDescent="0.2">
      <c r="A8" s="15" t="s">
        <v>15</v>
      </c>
      <c r="B8" s="79">
        <f>VLOOKUP($B$3,'Data for Bill Impacts'!$A$3:$Y$15,4,0)</f>
        <v>0</v>
      </c>
    </row>
    <row r="9" spans="1:10" x14ac:dyDescent="0.2">
      <c r="A9" s="15" t="s">
        <v>82</v>
      </c>
      <c r="B9" s="79">
        <f>B4*B6</f>
        <v>1409.0079999999998</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1409.0079999999998</v>
      </c>
      <c r="C13" s="103">
        <v>0.10299999999999999</v>
      </c>
      <c r="D13" s="104">
        <f>B13*C13</f>
        <v>145.12782399999998</v>
      </c>
      <c r="E13" s="102">
        <f>B13</f>
        <v>1409.0079999999998</v>
      </c>
      <c r="F13" s="103">
        <f>C13</f>
        <v>0.10299999999999999</v>
      </c>
      <c r="G13" s="104">
        <f>E13*F13</f>
        <v>145.12782399999998</v>
      </c>
      <c r="H13" s="104">
        <f>G13-D13</f>
        <v>0</v>
      </c>
      <c r="I13" s="105">
        <f>IF(ISERROR(H13/D13),0,(H13/D13))</f>
        <v>0</v>
      </c>
      <c r="J13" s="124">
        <f>G13/$G$38</f>
        <v>0.24916710293101729</v>
      </c>
    </row>
    <row r="14" spans="1:10" x14ac:dyDescent="0.2">
      <c r="A14" s="107" t="s">
        <v>32</v>
      </c>
      <c r="B14" s="73">
        <v>0</v>
      </c>
      <c r="C14" s="21">
        <v>0.121</v>
      </c>
      <c r="D14" s="22">
        <f>B14*C14</f>
        <v>0</v>
      </c>
      <c r="E14" s="73">
        <f t="shared" ref="E14" si="0">B14</f>
        <v>0</v>
      </c>
      <c r="F14" s="21">
        <f>C14</f>
        <v>0.121</v>
      </c>
      <c r="G14" s="22">
        <f>E14*F14</f>
        <v>0</v>
      </c>
      <c r="H14" s="22">
        <f t="shared" ref="H14:H38" si="1">G14-D14</f>
        <v>0</v>
      </c>
      <c r="I14" s="23">
        <f t="shared" ref="I14:I33" si="2">IF(ISERROR(H14/D14),0,(H14/D14))</f>
        <v>0</v>
      </c>
      <c r="J14" s="125">
        <f>G14/$G$38</f>
        <v>0</v>
      </c>
    </row>
    <row r="15" spans="1:10" s="1" customFormat="1" x14ac:dyDescent="0.2">
      <c r="A15" s="46" t="s">
        <v>33</v>
      </c>
      <c r="B15" s="24"/>
      <c r="C15" s="25"/>
      <c r="D15" s="25">
        <f>SUM(D13:D14)</f>
        <v>145.12782399999998</v>
      </c>
      <c r="E15" s="76"/>
      <c r="F15" s="25"/>
      <c r="G15" s="25">
        <f>SUM(G13:G14)</f>
        <v>145.12782399999998</v>
      </c>
      <c r="H15" s="25">
        <f t="shared" si="1"/>
        <v>0</v>
      </c>
      <c r="I15" s="27">
        <f t="shared" si="2"/>
        <v>0</v>
      </c>
      <c r="J15" s="47">
        <f>G15/$G$38</f>
        <v>0.24916710293101729</v>
      </c>
    </row>
    <row r="16" spans="1:10" s="1" customFormat="1" x14ac:dyDescent="0.2">
      <c r="A16" s="107" t="s">
        <v>38</v>
      </c>
      <c r="B16" s="73">
        <v>1</v>
      </c>
      <c r="C16" s="78">
        <f>VLOOKUP($B$3,'Data for Bill Impacts'!$A$3:$Y$15,7,0)</f>
        <v>198.03</v>
      </c>
      <c r="D16" s="22">
        <f>B16*C16</f>
        <v>198.03</v>
      </c>
      <c r="E16" s="73">
        <f t="shared" ref="E16:E33" si="3">B16</f>
        <v>1</v>
      </c>
      <c r="F16" s="22">
        <f>VLOOKUP($B$3,'Data for Bill Impacts'!$A$3:$Y$15,17,0)</f>
        <v>198.03</v>
      </c>
      <c r="G16" s="22">
        <f>E16*F16</f>
        <v>198.03</v>
      </c>
      <c r="H16" s="22">
        <f t="shared" si="1"/>
        <v>0</v>
      </c>
      <c r="I16" s="23">
        <f t="shared" si="2"/>
        <v>0</v>
      </c>
      <c r="J16" s="125">
        <f>G16/$G$38</f>
        <v>0.33999380706920379</v>
      </c>
    </row>
    <row r="17" spans="1:10" hidden="1" x14ac:dyDescent="0.2">
      <c r="A17" s="107" t="s">
        <v>83</v>
      </c>
      <c r="B17" s="73">
        <v>1</v>
      </c>
      <c r="C17" s="78">
        <v>0</v>
      </c>
      <c r="D17" s="22">
        <f>B17*C17</f>
        <v>0</v>
      </c>
      <c r="E17" s="73">
        <f t="shared" si="3"/>
        <v>1</v>
      </c>
      <c r="F17" s="78">
        <v>0</v>
      </c>
      <c r="G17" s="22">
        <f t="shared" ref="G17:G18" si="4">E17*F17</f>
        <v>0</v>
      </c>
      <c r="H17" s="22">
        <f t="shared" si="1"/>
        <v>0</v>
      </c>
      <c r="I17" s="23">
        <f t="shared" si="2"/>
        <v>0</v>
      </c>
      <c r="J17" s="125">
        <f t="shared" ref="J17:J18" si="5">G17/$G$38</f>
        <v>0</v>
      </c>
    </row>
    <row r="18" spans="1:10" hidden="1" x14ac:dyDescent="0.2">
      <c r="A18" s="107" t="s">
        <v>84</v>
      </c>
      <c r="B18" s="73">
        <v>1</v>
      </c>
      <c r="C18" s="78">
        <v>0</v>
      </c>
      <c r="D18" s="22">
        <f t="shared" ref="D18" si="6">B18*C18</f>
        <v>0</v>
      </c>
      <c r="E18" s="73">
        <f t="shared" si="3"/>
        <v>1</v>
      </c>
      <c r="F18" s="78">
        <v>0</v>
      </c>
      <c r="G18" s="22">
        <f t="shared" si="4"/>
        <v>0</v>
      </c>
      <c r="H18" s="22">
        <f t="shared" si="1"/>
        <v>0</v>
      </c>
      <c r="I18" s="23">
        <f t="shared" si="2"/>
        <v>0</v>
      </c>
      <c r="J18" s="125">
        <f t="shared" si="5"/>
        <v>0</v>
      </c>
    </row>
    <row r="19" spans="1:10" x14ac:dyDescent="0.2">
      <c r="A19" s="107" t="s">
        <v>85</v>
      </c>
      <c r="B19" s="73">
        <v>1</v>
      </c>
      <c r="C19" s="78">
        <f>VLOOKUP($B$3,'Data for Bill Impacts'!$A$3:$Y$15,13,0)</f>
        <v>0.01</v>
      </c>
      <c r="D19" s="22">
        <f t="shared" ref="D19" si="7">B19*C19</f>
        <v>0.01</v>
      </c>
      <c r="E19" s="73">
        <f t="shared" si="3"/>
        <v>1</v>
      </c>
      <c r="F19" s="122">
        <f>VLOOKUP($B$3,'Data for Bill Impacts'!$A$3:$Y$15,22,0)</f>
        <v>0.01</v>
      </c>
      <c r="G19" s="22">
        <f t="shared" ref="G19" si="8">E19*F19</f>
        <v>0.01</v>
      </c>
      <c r="H19" s="22">
        <f t="shared" si="1"/>
        <v>0</v>
      </c>
      <c r="I19" s="23">
        <f t="shared" si="2"/>
        <v>0</v>
      </c>
      <c r="J19" s="125">
        <f t="shared" ref="J19:J29" si="9">G19/$G$38</f>
        <v>1.7168803063637015E-5</v>
      </c>
    </row>
    <row r="20" spans="1:10" x14ac:dyDescent="0.2">
      <c r="A20" s="107" t="s">
        <v>39</v>
      </c>
      <c r="B20" s="73">
        <f>IF($B$10="kWh",$B$4,$B$5)</f>
        <v>13</v>
      </c>
      <c r="C20" s="78">
        <f>VLOOKUP($B$3,'Data for Bill Impacts'!$A$3:$Y$15,10,0)</f>
        <v>9.5955999999999992</v>
      </c>
      <c r="D20" s="22">
        <f>B20*C20</f>
        <v>124.74279999999999</v>
      </c>
      <c r="E20" s="73">
        <f t="shared" si="3"/>
        <v>13</v>
      </c>
      <c r="F20" s="126">
        <f>VLOOKUP($B$3,'Data for Bill Impacts'!$A$3:$Y$15,19,0)</f>
        <v>10.379</v>
      </c>
      <c r="G20" s="22">
        <f>E20*F20</f>
        <v>134.92699999999999</v>
      </c>
      <c r="H20" s="22">
        <f t="shared" si="1"/>
        <v>10.184200000000004</v>
      </c>
      <c r="I20" s="23">
        <f t="shared" si="2"/>
        <v>8.1641585726791491E-2</v>
      </c>
      <c r="J20" s="125">
        <f t="shared" si="9"/>
        <v>0.23165350909673513</v>
      </c>
    </row>
    <row r="21" spans="1:10" x14ac:dyDescent="0.2">
      <c r="A21" s="107" t="s">
        <v>121</v>
      </c>
      <c r="B21" s="73">
        <f>IF($B$10="kWh",$B$4,$B$5)</f>
        <v>13</v>
      </c>
      <c r="C21" s="126">
        <f>VLOOKUP($B$3,'Data for Bill Impacts'!$A$3:$Y$15,14,0)</f>
        <v>1.72E-2</v>
      </c>
      <c r="D21" s="22">
        <f>B21*C21</f>
        <v>0.22359999999999999</v>
      </c>
      <c r="E21" s="73">
        <f t="shared" si="3"/>
        <v>13</v>
      </c>
      <c r="F21" s="126">
        <f>VLOOKUP($B$3,'Data for Bill Impacts'!$A$3:$Y$15,23,0)</f>
        <v>1.72E-2</v>
      </c>
      <c r="G21" s="22">
        <f>E21*F21</f>
        <v>0.22359999999999999</v>
      </c>
      <c r="H21" s="22">
        <f t="shared" si="1"/>
        <v>0</v>
      </c>
      <c r="I21" s="23">
        <f>IF(ISERROR(H21/D21),0,(H21/D21))</f>
        <v>0</v>
      </c>
      <c r="J21" s="125">
        <f t="shared" si="9"/>
        <v>3.8389443650292362E-4</v>
      </c>
    </row>
    <row r="22" spans="1:10" x14ac:dyDescent="0.2">
      <c r="A22" s="107" t="s">
        <v>108</v>
      </c>
      <c r="B22" s="73">
        <f>B9</f>
        <v>1409.0079999999998</v>
      </c>
      <c r="C22" s="126">
        <f>VLOOKUP($B$3,'Data for Bill Impacts'!$A$3:$Y$15,20,0)</f>
        <v>1.9E-3</v>
      </c>
      <c r="D22" s="22">
        <f>B22*C22</f>
        <v>2.6771151999999998</v>
      </c>
      <c r="E22" s="73">
        <f>B22</f>
        <v>1409.0079999999998</v>
      </c>
      <c r="F22" s="126">
        <f>VLOOKUP($B$3,'Data for Bill Impacts'!$A$3:$Y$15,21,0)</f>
        <v>1.9E-3</v>
      </c>
      <c r="G22" s="22">
        <f>E22*F22</f>
        <v>2.6771151999999998</v>
      </c>
      <c r="H22" s="22">
        <f t="shared" ref="H22" si="10">G22-D22</f>
        <v>0</v>
      </c>
      <c r="I22" s="23">
        <f>IF(ISERROR(H22/D22),0,(H22/D22))</f>
        <v>0</v>
      </c>
      <c r="J22" s="125">
        <f t="shared" si="9"/>
        <v>4.5962863647469217E-3</v>
      </c>
    </row>
    <row r="23" spans="1:10" s="1" customFormat="1" x14ac:dyDescent="0.2">
      <c r="A23" s="110" t="s">
        <v>79</v>
      </c>
      <c r="B23" s="74"/>
      <c r="C23" s="35"/>
      <c r="D23" s="35">
        <f>SUM(D16:D22)</f>
        <v>325.68351519999993</v>
      </c>
      <c r="E23" s="73"/>
      <c r="F23" s="35"/>
      <c r="G23" s="35">
        <f>SUM(G16:G22)</f>
        <v>335.86771519999996</v>
      </c>
      <c r="H23" s="35">
        <f t="shared" si="1"/>
        <v>10.184200000000033</v>
      </c>
      <c r="I23" s="36">
        <f t="shared" si="2"/>
        <v>3.1270234828268746E-2</v>
      </c>
      <c r="J23" s="111">
        <f t="shared" si="9"/>
        <v>0.57664466577025231</v>
      </c>
    </row>
    <row r="24" spans="1:10" s="1" customFormat="1" x14ac:dyDescent="0.2">
      <c r="A24" s="107" t="s">
        <v>40</v>
      </c>
      <c r="B24" s="73">
        <f>B5</f>
        <v>13</v>
      </c>
      <c r="C24" s="126">
        <f>VLOOKUP($B$3,'Data for Bill Impacts'!$A$3:$Y$15,15,0)</f>
        <v>0.63108279999999994</v>
      </c>
      <c r="D24" s="22">
        <f>B24*C24</f>
        <v>8.2040763999999999</v>
      </c>
      <c r="E24" s="73">
        <f t="shared" si="3"/>
        <v>13</v>
      </c>
      <c r="F24" s="126">
        <f>VLOOKUP($B$3,'Data for Bill Impacts'!$A$3:$Y$15,24,0)</f>
        <v>0.63108279999999994</v>
      </c>
      <c r="G24" s="22">
        <f>E24*F24</f>
        <v>8.2040763999999999</v>
      </c>
      <c r="H24" s="22">
        <f t="shared" si="1"/>
        <v>0</v>
      </c>
      <c r="I24" s="23">
        <f t="shared" si="2"/>
        <v>0</v>
      </c>
      <c r="J24" s="125">
        <f t="shared" si="9"/>
        <v>1.4085417203063211E-2</v>
      </c>
    </row>
    <row r="25" spans="1:10" x14ac:dyDescent="0.2">
      <c r="A25" s="107" t="s">
        <v>41</v>
      </c>
      <c r="B25" s="73">
        <f>B5</f>
        <v>13</v>
      </c>
      <c r="C25" s="126">
        <f>VLOOKUP($B$3,'Data for Bill Impacts'!$A$3:$Y$15,16,0)</f>
        <v>0.54747599999999996</v>
      </c>
      <c r="D25" s="22">
        <f>B25*C25</f>
        <v>7.1171879999999996</v>
      </c>
      <c r="E25" s="73">
        <f t="shared" si="3"/>
        <v>13</v>
      </c>
      <c r="F25" s="126">
        <f>VLOOKUP($B$3,'Data for Bill Impacts'!$A$3:$Y$15,25,0)</f>
        <v>0.54747599999999996</v>
      </c>
      <c r="G25" s="22">
        <f>E25*F25</f>
        <v>7.1171879999999996</v>
      </c>
      <c r="H25" s="22">
        <f t="shared" si="1"/>
        <v>0</v>
      </c>
      <c r="I25" s="23">
        <f t="shared" si="2"/>
        <v>0</v>
      </c>
      <c r="J25" s="125">
        <f t="shared" si="9"/>
        <v>1.2219359913888058E-2</v>
      </c>
    </row>
    <row r="26" spans="1:10" x14ac:dyDescent="0.2">
      <c r="A26" s="110" t="s">
        <v>76</v>
      </c>
      <c r="B26" s="74"/>
      <c r="C26" s="35"/>
      <c r="D26" s="35">
        <f>SUM(D24:D25)</f>
        <v>15.3212644</v>
      </c>
      <c r="E26" s="73"/>
      <c r="F26" s="35"/>
      <c r="G26" s="35">
        <f>SUM(G24:G25)</f>
        <v>15.3212644</v>
      </c>
      <c r="H26" s="35">
        <f t="shared" si="1"/>
        <v>0</v>
      </c>
      <c r="I26" s="36">
        <f t="shared" si="2"/>
        <v>0</v>
      </c>
      <c r="J26" s="111">
        <f t="shared" si="9"/>
        <v>2.6304777116951273E-2</v>
      </c>
    </row>
    <row r="27" spans="1:10" s="1" customFormat="1" x14ac:dyDescent="0.2">
      <c r="A27" s="110" t="s">
        <v>80</v>
      </c>
      <c r="B27" s="74"/>
      <c r="C27" s="35"/>
      <c r="D27" s="35">
        <f>D23+D26</f>
        <v>341.00477959999995</v>
      </c>
      <c r="E27" s="73"/>
      <c r="F27" s="35"/>
      <c r="G27" s="35">
        <f>G23+G26</f>
        <v>351.18897959999998</v>
      </c>
      <c r="H27" s="35">
        <f t="shared" si="1"/>
        <v>10.184200000000033</v>
      </c>
      <c r="I27" s="36">
        <f t="shared" si="2"/>
        <v>2.9865270545316527E-2</v>
      </c>
      <c r="J27" s="111">
        <f t="shared" si="9"/>
        <v>0.60294944288720365</v>
      </c>
    </row>
    <row r="28" spans="1:10" x14ac:dyDescent="0.2">
      <c r="A28" s="107" t="s">
        <v>42</v>
      </c>
      <c r="B28" s="73">
        <f>B9</f>
        <v>1409.0079999999998</v>
      </c>
      <c r="C28" s="34">
        <v>3.5999999999999999E-3</v>
      </c>
      <c r="D28" s="22">
        <f>B28*C28</f>
        <v>5.0724287999999991</v>
      </c>
      <c r="E28" s="73">
        <f t="shared" si="3"/>
        <v>1409.0079999999998</v>
      </c>
      <c r="F28" s="34">
        <v>3.5999999999999999E-3</v>
      </c>
      <c r="G28" s="22">
        <f>E28*F28</f>
        <v>5.0724287999999991</v>
      </c>
      <c r="H28" s="22">
        <f t="shared" si="1"/>
        <v>0</v>
      </c>
      <c r="I28" s="23">
        <f t="shared" si="2"/>
        <v>0</v>
      </c>
      <c r="J28" s="125">
        <f t="shared" si="9"/>
        <v>8.7087531121520598E-3</v>
      </c>
    </row>
    <row r="29" spans="1:10" s="1" customFormat="1" x14ac:dyDescent="0.2">
      <c r="A29" s="107" t="s">
        <v>43</v>
      </c>
      <c r="B29" s="73">
        <f>B9</f>
        <v>1409.0079999999998</v>
      </c>
      <c r="C29" s="34">
        <v>2.0999999999999999E-3</v>
      </c>
      <c r="D29" s="22">
        <f>B29*C29</f>
        <v>2.9589167999999995</v>
      </c>
      <c r="E29" s="73">
        <f t="shared" si="3"/>
        <v>1409.0079999999998</v>
      </c>
      <c r="F29" s="34">
        <v>2.0999999999999999E-3</v>
      </c>
      <c r="G29" s="22">
        <f>E29*F29</f>
        <v>2.9589167999999995</v>
      </c>
      <c r="H29" s="22">
        <f>G29-D29</f>
        <v>0</v>
      </c>
      <c r="I29" s="23">
        <f t="shared" si="2"/>
        <v>0</v>
      </c>
      <c r="J29" s="125">
        <f t="shared" si="9"/>
        <v>5.0801059820887017E-3</v>
      </c>
    </row>
    <row r="30" spans="1:10" x14ac:dyDescent="0.2">
      <c r="A30" s="107" t="s">
        <v>96</v>
      </c>
      <c r="B30" s="73">
        <f>B9</f>
        <v>1409.0079999999998</v>
      </c>
      <c r="C30" s="34">
        <v>1.1000000000000001E-3</v>
      </c>
      <c r="D30" s="22">
        <f>B30*C30</f>
        <v>1.5499087999999999</v>
      </c>
      <c r="E30" s="73">
        <f t="shared" si="3"/>
        <v>1409.0079999999998</v>
      </c>
      <c r="F30" s="34">
        <v>1.1000000000000001E-3</v>
      </c>
      <c r="G30" s="22">
        <f>E30*F30</f>
        <v>1.5499087999999999</v>
      </c>
      <c r="H30" s="22">
        <f>G30-D30</f>
        <v>0</v>
      </c>
      <c r="I30" s="23">
        <f t="shared" ref="I30" si="11">IF(ISERROR(H30/D30),0,(H30/D30))</f>
        <v>0</v>
      </c>
      <c r="J30" s="125">
        <f t="shared" ref="J30" si="12">G30/$G$38</f>
        <v>2.6610078953797967E-3</v>
      </c>
    </row>
    <row r="31" spans="1:10" x14ac:dyDescent="0.2">
      <c r="A31" s="107" t="s">
        <v>44</v>
      </c>
      <c r="B31" s="73">
        <v>1</v>
      </c>
      <c r="C31" s="22">
        <v>0.25</v>
      </c>
      <c r="D31" s="22">
        <f>B31*C31</f>
        <v>0.25</v>
      </c>
      <c r="E31" s="73">
        <f t="shared" si="3"/>
        <v>1</v>
      </c>
      <c r="F31" s="22">
        <f>C31</f>
        <v>0.25</v>
      </c>
      <c r="G31" s="22">
        <f>E31*F31</f>
        <v>0.25</v>
      </c>
      <c r="H31" s="22">
        <f t="shared" si="1"/>
        <v>0</v>
      </c>
      <c r="I31" s="23">
        <f t="shared" si="2"/>
        <v>0</v>
      </c>
      <c r="J31" s="125">
        <f t="shared" ref="J31:J38" si="13">G31/$G$38</f>
        <v>4.2922007659092535E-4</v>
      </c>
    </row>
    <row r="32" spans="1:10" x14ac:dyDescent="0.2">
      <c r="A32" s="110" t="s">
        <v>45</v>
      </c>
      <c r="B32" s="74"/>
      <c r="C32" s="35"/>
      <c r="D32" s="35">
        <f>SUM(D28:D31)</f>
        <v>9.8312543999999988</v>
      </c>
      <c r="E32" s="73"/>
      <c r="F32" s="35"/>
      <c r="G32" s="35">
        <f>SUM(G28:G31)</f>
        <v>9.8312543999999988</v>
      </c>
      <c r="H32" s="35">
        <f t="shared" si="1"/>
        <v>0</v>
      </c>
      <c r="I32" s="36">
        <f t="shared" si="2"/>
        <v>0</v>
      </c>
      <c r="J32" s="111">
        <f t="shared" si="13"/>
        <v>1.6879087066211485E-2</v>
      </c>
    </row>
    <row r="33" spans="1:10" ht="13.5" thickBot="1" x14ac:dyDescent="0.25">
      <c r="A33" s="112" t="s">
        <v>46</v>
      </c>
      <c r="B33" s="113">
        <f>B4</f>
        <v>1328</v>
      </c>
      <c r="C33" s="114">
        <v>7.0000000000000001E-3</v>
      </c>
      <c r="D33" s="115">
        <f>B33*C33</f>
        <v>9.2959999999999994</v>
      </c>
      <c r="E33" s="116">
        <f t="shared" si="3"/>
        <v>1328</v>
      </c>
      <c r="F33" s="114">
        <f>C33</f>
        <v>7.0000000000000001E-3</v>
      </c>
      <c r="G33" s="115">
        <f>E33*F33</f>
        <v>9.2959999999999994</v>
      </c>
      <c r="H33" s="115">
        <f t="shared" si="1"/>
        <v>0</v>
      </c>
      <c r="I33" s="117">
        <f t="shared" si="2"/>
        <v>0</v>
      </c>
      <c r="J33" s="118">
        <f t="shared" si="13"/>
        <v>1.5960119327956965E-2</v>
      </c>
    </row>
    <row r="34" spans="1:10" x14ac:dyDescent="0.2">
      <c r="A34" s="37" t="s">
        <v>111</v>
      </c>
      <c r="B34" s="38"/>
      <c r="C34" s="39"/>
      <c r="D34" s="39">
        <f>SUM(D15,D23,D26,D32,D33)</f>
        <v>505.25985799999989</v>
      </c>
      <c r="E34" s="38"/>
      <c r="F34" s="39"/>
      <c r="G34" s="39">
        <f>SUM(G15,G23,G26,G32,G33)</f>
        <v>515.44405799999993</v>
      </c>
      <c r="H34" s="39">
        <f t="shared" si="1"/>
        <v>10.184200000000033</v>
      </c>
      <c r="I34" s="40">
        <f>IF(ISERROR(H34/D34),0,(H34/D34))</f>
        <v>2.0156360808699026E-2</v>
      </c>
      <c r="J34" s="41">
        <f t="shared" si="13"/>
        <v>0.88495575221238931</v>
      </c>
    </row>
    <row r="35" spans="1:10" x14ac:dyDescent="0.2">
      <c r="A35" s="46" t="s">
        <v>102</v>
      </c>
      <c r="B35" s="43"/>
      <c r="C35" s="26">
        <v>0.13</v>
      </c>
      <c r="D35" s="26">
        <f>D34*C35</f>
        <v>65.683781539999984</v>
      </c>
      <c r="E35" s="26"/>
      <c r="F35" s="26">
        <f>C35</f>
        <v>0.13</v>
      </c>
      <c r="G35" s="26">
        <f>G34*F35</f>
        <v>67.007727539999991</v>
      </c>
      <c r="H35" s="26">
        <f t="shared" si="1"/>
        <v>1.3239460000000065</v>
      </c>
      <c r="I35" s="44">
        <f t="shared" ref="I35:I38" si="14">IF(ISERROR(H35/D35),0,(H35/D35))</f>
        <v>2.0156360808699061E-2</v>
      </c>
      <c r="J35" s="45">
        <f t="shared" si="13"/>
        <v>0.11504424778761062</v>
      </c>
    </row>
    <row r="36" spans="1:10" x14ac:dyDescent="0.2">
      <c r="A36" s="46" t="s">
        <v>103</v>
      </c>
      <c r="B36" s="24"/>
      <c r="C36" s="25"/>
      <c r="D36" s="25">
        <f>SUM(D34:D35)</f>
        <v>570.94363953999982</v>
      </c>
      <c r="E36" s="25"/>
      <c r="F36" s="25"/>
      <c r="G36" s="25">
        <f>SUM(G34:G35)</f>
        <v>582.45178553999995</v>
      </c>
      <c r="H36" s="25">
        <f t="shared" si="1"/>
        <v>11.508146000000124</v>
      </c>
      <c r="I36" s="27">
        <f t="shared" si="14"/>
        <v>2.0156360808699182E-2</v>
      </c>
      <c r="J36" s="47">
        <f t="shared" si="13"/>
        <v>1</v>
      </c>
    </row>
    <row r="37" spans="1:10" x14ac:dyDescent="0.2">
      <c r="A37" s="46" t="s">
        <v>104</v>
      </c>
      <c r="B37" s="43"/>
      <c r="C37" s="26">
        <v>0</v>
      </c>
      <c r="D37" s="26">
        <f>D34*C37</f>
        <v>0</v>
      </c>
      <c r="E37" s="26"/>
      <c r="F37" s="26">
        <f>C37</f>
        <v>0</v>
      </c>
      <c r="G37" s="26">
        <f>G34*F37</f>
        <v>0</v>
      </c>
      <c r="H37" s="26">
        <f t="shared" si="1"/>
        <v>0</v>
      </c>
      <c r="I37" s="44">
        <f t="shared" si="14"/>
        <v>0</v>
      </c>
      <c r="J37" s="45">
        <f t="shared" si="13"/>
        <v>0</v>
      </c>
    </row>
    <row r="38" spans="1:10" ht="13.5" thickBot="1" x14ac:dyDescent="0.25">
      <c r="A38" s="46" t="s">
        <v>105</v>
      </c>
      <c r="B38" s="49"/>
      <c r="C38" s="50"/>
      <c r="D38" s="50">
        <f>SUM(D36:D37)</f>
        <v>570.94363953999982</v>
      </c>
      <c r="E38" s="50"/>
      <c r="F38" s="50"/>
      <c r="G38" s="50">
        <f>SUM(G36:G37)</f>
        <v>582.45178553999995</v>
      </c>
      <c r="H38" s="50">
        <f t="shared" si="1"/>
        <v>11.508146000000124</v>
      </c>
      <c r="I38" s="51">
        <f t="shared" si="14"/>
        <v>2.0156360808699182E-2</v>
      </c>
      <c r="J38" s="52">
        <f t="shared" si="13"/>
        <v>1</v>
      </c>
    </row>
    <row r="39" spans="1:10" x14ac:dyDescent="0.2">
      <c r="A39" s="169"/>
      <c r="F39" s="69"/>
      <c r="G39" s="129"/>
    </row>
    <row r="40" spans="1:10" x14ac:dyDescent="0.2">
      <c r="A40" s="169"/>
      <c r="F40" s="132"/>
    </row>
    <row r="41" spans="1:10" x14ac:dyDescent="0.2">
      <c r="A41" s="169"/>
      <c r="F41" s="130"/>
    </row>
    <row r="42" spans="1:10" x14ac:dyDescent="0.2">
      <c r="A42" s="169"/>
      <c r="F42" s="131"/>
      <c r="G42" s="129"/>
      <c r="H42" s="129"/>
    </row>
    <row r="43" spans="1:10" x14ac:dyDescent="0.2">
      <c r="A43" s="169"/>
      <c r="F43" s="130"/>
      <c r="G43" s="129"/>
    </row>
  </sheetData>
  <mergeCells count="1">
    <mergeCell ref="A1:J1"/>
  </mergeCells>
  <dataValidations count="1">
    <dataValidation type="list" allowBlank="1" showInputMessage="1" showErrorMessage="1" sqref="WVI983034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B131064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B196600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B262136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B327672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B393208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B458744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B524280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B589816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B655352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B720888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B786424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B851960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B917496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B983032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formula1>Demand</formula1>
    </dataValidation>
  </dataValidation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1" tint="0.499984740745262"/>
    <pageSetUpPr fitToPage="1"/>
  </sheetPr>
  <dimension ref="A1:J43"/>
  <sheetViews>
    <sheetView tabSelected="1" view="pageBreakPreview" topLeftCell="A10" zoomScaleNormal="100" zoomScaleSheetLayoutView="100" workbookViewId="0">
      <selection activeCell="C3" sqref="C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120</v>
      </c>
      <c r="B1" s="188"/>
      <c r="C1" s="188"/>
      <c r="D1" s="188"/>
      <c r="E1" s="188"/>
      <c r="F1" s="188"/>
      <c r="G1" s="188"/>
      <c r="H1" s="188"/>
      <c r="I1" s="188"/>
      <c r="J1" s="189"/>
    </row>
    <row r="3" spans="1:10" x14ac:dyDescent="0.2">
      <c r="A3" s="13" t="s">
        <v>13</v>
      </c>
      <c r="B3" s="13" t="s">
        <v>47</v>
      </c>
    </row>
    <row r="4" spans="1:10" x14ac:dyDescent="0.2">
      <c r="A4" s="15" t="s">
        <v>62</v>
      </c>
      <c r="B4" s="79">
        <v>5000</v>
      </c>
    </row>
    <row r="5" spans="1:10" x14ac:dyDescent="0.2">
      <c r="A5" s="15" t="s">
        <v>16</v>
      </c>
      <c r="B5" s="79">
        <v>100</v>
      </c>
    </row>
    <row r="6" spans="1:10" x14ac:dyDescent="0.2">
      <c r="A6" s="15" t="s">
        <v>20</v>
      </c>
      <c r="B6" s="80">
        <f>VLOOKUP($B$3,'Data for Bill Impacts'!$A$3:$Y$15,2,0)</f>
        <v>1.0609999999999999</v>
      </c>
    </row>
    <row r="7" spans="1:10" x14ac:dyDescent="0.2">
      <c r="A7" s="81" t="s">
        <v>48</v>
      </c>
      <c r="B7" s="82">
        <f>B4/(B5*730)</f>
        <v>6.8493150684931503E-2</v>
      </c>
    </row>
    <row r="8" spans="1:10" x14ac:dyDescent="0.2">
      <c r="A8" s="15" t="s">
        <v>15</v>
      </c>
      <c r="B8" s="79">
        <f>VLOOKUP($B$3,'Data for Bill Impacts'!$A$3:$Y$15,4,0)</f>
        <v>0</v>
      </c>
    </row>
    <row r="9" spans="1:10" x14ac:dyDescent="0.2">
      <c r="A9" s="15" t="s">
        <v>82</v>
      </c>
      <c r="B9" s="79">
        <f>B4*B6</f>
        <v>5305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5305</v>
      </c>
      <c r="C13" s="103">
        <v>0.10299999999999999</v>
      </c>
      <c r="D13" s="104">
        <f>B13*C13</f>
        <v>546.41499999999996</v>
      </c>
      <c r="E13" s="102">
        <f>B13</f>
        <v>5305</v>
      </c>
      <c r="F13" s="103">
        <f>C13</f>
        <v>0.10299999999999999</v>
      </c>
      <c r="G13" s="104">
        <f>E13*F13</f>
        <v>546.41499999999996</v>
      </c>
      <c r="H13" s="104">
        <f>G13-D13</f>
        <v>0</v>
      </c>
      <c r="I13" s="105">
        <f>IF(ISERROR(H13/D13),0,(H13/D13))</f>
        <v>0</v>
      </c>
      <c r="J13" s="124">
        <f t="shared" ref="J13:J21" si="0">G13/$G$38</f>
        <v>0.24380815571055284</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546.41499999999996</v>
      </c>
      <c r="E15" s="76"/>
      <c r="F15" s="25"/>
      <c r="G15" s="25">
        <f>SUM(G13:G14)</f>
        <v>546.41499999999996</v>
      </c>
      <c r="H15" s="25">
        <f t="shared" si="2"/>
        <v>0</v>
      </c>
      <c r="I15" s="27">
        <f t="shared" si="3"/>
        <v>0</v>
      </c>
      <c r="J15" s="47">
        <f t="shared" si="0"/>
        <v>0.24380815571055284</v>
      </c>
    </row>
    <row r="16" spans="1:10" s="1" customFormat="1" x14ac:dyDescent="0.2">
      <c r="A16" s="107" t="s">
        <v>38</v>
      </c>
      <c r="B16" s="73">
        <v>1</v>
      </c>
      <c r="C16" s="78">
        <f>VLOOKUP($B$3,'Data for Bill Impacts'!$A$3:$Y$15,7,0)</f>
        <v>198.03</v>
      </c>
      <c r="D16" s="22">
        <f>B16*C16</f>
        <v>198.03</v>
      </c>
      <c r="E16" s="73">
        <f t="shared" ref="E16:E33" si="4">B16</f>
        <v>1</v>
      </c>
      <c r="F16" s="78">
        <f>VLOOKUP($B$3,'Data for Bill Impacts'!$A$3:$Y$15,17,0)</f>
        <v>198.03</v>
      </c>
      <c r="G16" s="22">
        <f>E16*F16</f>
        <v>198.03</v>
      </c>
      <c r="H16" s="22">
        <f t="shared" si="2"/>
        <v>0</v>
      </c>
      <c r="I16" s="23">
        <f t="shared" si="3"/>
        <v>0</v>
      </c>
      <c r="J16" s="125">
        <f t="shared" si="0"/>
        <v>8.8360182416955577E-2</v>
      </c>
    </row>
    <row r="17" spans="1:10" hidden="1" x14ac:dyDescent="0.2">
      <c r="A17" s="107" t="s">
        <v>83</v>
      </c>
      <c r="B17" s="73">
        <v>1</v>
      </c>
      <c r="C17" s="78">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v>0</v>
      </c>
      <c r="D18" s="22">
        <f t="shared" ref="D18:D19" si="6">B18*C18</f>
        <v>0</v>
      </c>
      <c r="E18" s="73">
        <f t="shared" si="4"/>
        <v>1</v>
      </c>
      <c r="F18" s="78">
        <v>0</v>
      </c>
      <c r="G18" s="22">
        <f t="shared" si="5"/>
        <v>0</v>
      </c>
      <c r="H18" s="22">
        <f t="shared" si="2"/>
        <v>0</v>
      </c>
      <c r="I18" s="23">
        <f t="shared" si="3"/>
        <v>0</v>
      </c>
      <c r="J18" s="125">
        <f t="shared" si="0"/>
        <v>0</v>
      </c>
    </row>
    <row r="19" spans="1:10" x14ac:dyDescent="0.2">
      <c r="A19" s="107" t="s">
        <v>85</v>
      </c>
      <c r="B19" s="73">
        <v>1</v>
      </c>
      <c r="C19" s="78">
        <f>VLOOKUP($B$3,'Data for Bill Impacts'!$A$3:$Y$15,13,0)</f>
        <v>0.01</v>
      </c>
      <c r="D19" s="22">
        <f t="shared" si="6"/>
        <v>0.01</v>
      </c>
      <c r="E19" s="73">
        <f t="shared" si="4"/>
        <v>1</v>
      </c>
      <c r="F19" s="78">
        <f>VLOOKUP($B$3,'Data for Bill Impacts'!$A$3:$Y$15,22,0)</f>
        <v>0.01</v>
      </c>
      <c r="G19" s="22">
        <f t="shared" si="5"/>
        <v>0.01</v>
      </c>
      <c r="H19" s="22">
        <f t="shared" si="2"/>
        <v>0</v>
      </c>
      <c r="I19" s="23">
        <f t="shared" si="3"/>
        <v>0</v>
      </c>
      <c r="J19" s="125">
        <f t="shared" si="0"/>
        <v>4.4619594211460673E-6</v>
      </c>
    </row>
    <row r="20" spans="1:10" x14ac:dyDescent="0.2">
      <c r="A20" s="107" t="s">
        <v>39</v>
      </c>
      <c r="B20" s="73">
        <f>IF($B$10="kWh",$B$4,$B$5)</f>
        <v>100</v>
      </c>
      <c r="C20" s="78">
        <f>VLOOKUP($B$3,'Data for Bill Impacts'!$A$3:$Y$15,10,0)</f>
        <v>9.5955999999999992</v>
      </c>
      <c r="D20" s="22">
        <f>B20*C20</f>
        <v>959.56</v>
      </c>
      <c r="E20" s="73">
        <f t="shared" si="4"/>
        <v>100</v>
      </c>
      <c r="F20" s="126">
        <f>VLOOKUP($B$3,'Data for Bill Impacts'!$A$3:$Y$15,19,0)</f>
        <v>10.379</v>
      </c>
      <c r="G20" s="22">
        <f>E20*F20</f>
        <v>1037.8999999999999</v>
      </c>
      <c r="H20" s="22">
        <f t="shared" si="2"/>
        <v>78.339999999999918</v>
      </c>
      <c r="I20" s="23">
        <f t="shared" si="3"/>
        <v>8.1641585726791366E-2</v>
      </c>
      <c r="J20" s="125">
        <f t="shared" si="0"/>
        <v>0.46310676832075026</v>
      </c>
    </row>
    <row r="21" spans="1:10" s="1" customFormat="1" x14ac:dyDescent="0.2">
      <c r="A21" s="107" t="s">
        <v>121</v>
      </c>
      <c r="B21" s="73">
        <f>IF($B$10="kWh",$B$4,$B$5)</f>
        <v>100</v>
      </c>
      <c r="C21" s="126">
        <f>VLOOKUP($B$3,'Data for Bill Impacts'!$A$3:$Y$15,14,0)</f>
        <v>1.72E-2</v>
      </c>
      <c r="D21" s="22">
        <f>B21*C21</f>
        <v>1.72</v>
      </c>
      <c r="E21" s="73">
        <f t="shared" si="4"/>
        <v>100</v>
      </c>
      <c r="F21" s="126">
        <f>VLOOKUP($B$3,'Data for Bill Impacts'!$A$3:$Y$15,23,0)</f>
        <v>1.72E-2</v>
      </c>
      <c r="G21" s="22">
        <f>E21*F21</f>
        <v>1.72</v>
      </c>
      <c r="H21" s="22">
        <f t="shared" si="2"/>
        <v>0</v>
      </c>
      <c r="I21" s="23">
        <f>IF(ISERROR(H21/D21),0,(H21/D21))</f>
        <v>0</v>
      </c>
      <c r="J21" s="125">
        <f t="shared" si="0"/>
        <v>7.674570204371236E-4</v>
      </c>
    </row>
    <row r="22" spans="1:10" s="1" customFormat="1" x14ac:dyDescent="0.2">
      <c r="A22" s="107" t="s">
        <v>108</v>
      </c>
      <c r="B22" s="73">
        <f>B9</f>
        <v>5305</v>
      </c>
      <c r="C22" s="126">
        <f>VLOOKUP($B$3,'Data for Bill Impacts'!$A$3:$Y$15,20,0)</f>
        <v>1.9E-3</v>
      </c>
      <c r="D22" s="22">
        <f>B22*C22</f>
        <v>10.079499999999999</v>
      </c>
      <c r="E22" s="73">
        <f>B22</f>
        <v>5305</v>
      </c>
      <c r="F22" s="126">
        <f>VLOOKUP($B$3,'Data for Bill Impacts'!$A$3:$Y$15,21,0)</f>
        <v>1.9E-3</v>
      </c>
      <c r="G22" s="22">
        <f>E22*F22</f>
        <v>10.079499999999999</v>
      </c>
      <c r="H22" s="22">
        <f t="shared" ref="H22" si="7">G22-D22</f>
        <v>0</v>
      </c>
      <c r="I22" s="23">
        <f>IF(ISERROR(H22/D22),0,(H22/D22))</f>
        <v>0</v>
      </c>
      <c r="J22" s="125">
        <f t="shared" ref="J22" si="8">G22/$G$38</f>
        <v>4.4974319985441784E-3</v>
      </c>
    </row>
    <row r="23" spans="1:10" x14ac:dyDescent="0.2">
      <c r="A23" s="110" t="s">
        <v>93</v>
      </c>
      <c r="B23" s="74"/>
      <c r="C23" s="35"/>
      <c r="D23" s="35">
        <f>SUM(D16:D22)</f>
        <v>1169.3995</v>
      </c>
      <c r="E23" s="73"/>
      <c r="F23" s="35"/>
      <c r="G23" s="35">
        <f>SUM(G16:G22)</f>
        <v>1247.7394999999999</v>
      </c>
      <c r="H23" s="35">
        <f t="shared" si="2"/>
        <v>78.339999999999918</v>
      </c>
      <c r="I23" s="36">
        <f t="shared" si="3"/>
        <v>6.699164827759882E-2</v>
      </c>
      <c r="J23" s="111">
        <f t="shared" ref="J23:J29" si="9">G23/$G$38</f>
        <v>0.55673630171610833</v>
      </c>
    </row>
    <row r="24" spans="1:10" x14ac:dyDescent="0.2">
      <c r="A24" s="107" t="s">
        <v>40</v>
      </c>
      <c r="B24" s="73">
        <f>B5</f>
        <v>100</v>
      </c>
      <c r="C24" s="126">
        <f>VLOOKUP($B$3,'Data for Bill Impacts'!$A$3:$Y$15,15,0)</f>
        <v>0.63108279999999994</v>
      </c>
      <c r="D24" s="22">
        <f>B24*C24</f>
        <v>63.108279999999993</v>
      </c>
      <c r="E24" s="73">
        <f t="shared" si="4"/>
        <v>100</v>
      </c>
      <c r="F24" s="126">
        <f>VLOOKUP($B$3,'Data for Bill Impacts'!$A$3:$Y$15,24,0)</f>
        <v>0.63108279999999994</v>
      </c>
      <c r="G24" s="22">
        <f>E24*F24</f>
        <v>63.108279999999993</v>
      </c>
      <c r="H24" s="22">
        <f t="shared" si="2"/>
        <v>0</v>
      </c>
      <c r="I24" s="23">
        <f t="shared" si="3"/>
        <v>0</v>
      </c>
      <c r="J24" s="125">
        <f t="shared" si="9"/>
        <v>2.8158658449832393E-2</v>
      </c>
    </row>
    <row r="25" spans="1:10" s="1" customFormat="1" x14ac:dyDescent="0.2">
      <c r="A25" s="107" t="s">
        <v>41</v>
      </c>
      <c r="B25" s="73">
        <f>B5</f>
        <v>100</v>
      </c>
      <c r="C25" s="126">
        <f>VLOOKUP($B$3,'Data for Bill Impacts'!$A$3:$Y$15,16,0)</f>
        <v>0.54747599999999996</v>
      </c>
      <c r="D25" s="22">
        <f>B25*C25</f>
        <v>54.747599999999998</v>
      </c>
      <c r="E25" s="73">
        <f t="shared" si="4"/>
        <v>100</v>
      </c>
      <c r="F25" s="126">
        <f>VLOOKUP($B$3,'Data for Bill Impacts'!$A$3:$Y$15,25,0)</f>
        <v>0.54747599999999996</v>
      </c>
      <c r="G25" s="22">
        <f>E25*F25</f>
        <v>54.747599999999998</v>
      </c>
      <c r="H25" s="22">
        <f t="shared" si="2"/>
        <v>0</v>
      </c>
      <c r="I25" s="23">
        <f t="shared" si="3"/>
        <v>0</v>
      </c>
      <c r="J25" s="125">
        <f t="shared" si="9"/>
        <v>2.4428156960513644E-2</v>
      </c>
    </row>
    <row r="26" spans="1:10" x14ac:dyDescent="0.2">
      <c r="A26" s="110" t="s">
        <v>76</v>
      </c>
      <c r="B26" s="74"/>
      <c r="C26" s="35"/>
      <c r="D26" s="35">
        <f>SUM(D24:D25)</f>
        <v>117.85587999999998</v>
      </c>
      <c r="E26" s="73"/>
      <c r="F26" s="35"/>
      <c r="G26" s="35">
        <f>SUM(G24:G25)</f>
        <v>117.85587999999998</v>
      </c>
      <c r="H26" s="35">
        <f t="shared" si="2"/>
        <v>0</v>
      </c>
      <c r="I26" s="36">
        <f t="shared" si="3"/>
        <v>0</v>
      </c>
      <c r="J26" s="111">
        <f t="shared" si="9"/>
        <v>5.258681541034603E-2</v>
      </c>
    </row>
    <row r="27" spans="1:10" s="1" customFormat="1" x14ac:dyDescent="0.2">
      <c r="A27" s="110" t="s">
        <v>80</v>
      </c>
      <c r="B27" s="74"/>
      <c r="C27" s="35"/>
      <c r="D27" s="35">
        <f>D23+D26</f>
        <v>1287.2553800000001</v>
      </c>
      <c r="E27" s="73"/>
      <c r="F27" s="35"/>
      <c r="G27" s="35">
        <f>G23+G26</f>
        <v>1365.59538</v>
      </c>
      <c r="H27" s="35">
        <f t="shared" si="2"/>
        <v>78.339999999999918</v>
      </c>
      <c r="I27" s="36">
        <f t="shared" si="3"/>
        <v>6.0858164756708896E-2</v>
      </c>
      <c r="J27" s="111">
        <f t="shared" si="9"/>
        <v>0.60932311712645437</v>
      </c>
    </row>
    <row r="28" spans="1:10" x14ac:dyDescent="0.2">
      <c r="A28" s="107" t="s">
        <v>42</v>
      </c>
      <c r="B28" s="73">
        <f>B9</f>
        <v>5305</v>
      </c>
      <c r="C28" s="34">
        <v>3.5999999999999999E-3</v>
      </c>
      <c r="D28" s="22">
        <f>B28*C28</f>
        <v>19.097999999999999</v>
      </c>
      <c r="E28" s="73">
        <f t="shared" si="4"/>
        <v>5305</v>
      </c>
      <c r="F28" s="34">
        <v>3.5999999999999999E-3</v>
      </c>
      <c r="G28" s="22">
        <f>E28*F28</f>
        <v>19.097999999999999</v>
      </c>
      <c r="H28" s="22">
        <f t="shared" si="2"/>
        <v>0</v>
      </c>
      <c r="I28" s="23">
        <f t="shared" si="3"/>
        <v>0</v>
      </c>
      <c r="J28" s="125">
        <f t="shared" si="9"/>
        <v>8.5214501025047597E-3</v>
      </c>
    </row>
    <row r="29" spans="1:10" x14ac:dyDescent="0.2">
      <c r="A29" s="107" t="s">
        <v>43</v>
      </c>
      <c r="B29" s="73">
        <f>B9</f>
        <v>5305</v>
      </c>
      <c r="C29" s="34">
        <v>2.0999999999999999E-3</v>
      </c>
      <c r="D29" s="22">
        <f>B29*C29</f>
        <v>11.140499999999999</v>
      </c>
      <c r="E29" s="73">
        <f t="shared" si="4"/>
        <v>5305</v>
      </c>
      <c r="F29" s="34">
        <v>2.0999999999999999E-3</v>
      </c>
      <c r="G29" s="22">
        <f>E29*F29</f>
        <v>11.140499999999999</v>
      </c>
      <c r="H29" s="22">
        <f>G29-D29</f>
        <v>0</v>
      </c>
      <c r="I29" s="23">
        <f t="shared" si="3"/>
        <v>0</v>
      </c>
      <c r="J29" s="125">
        <f t="shared" si="9"/>
        <v>4.9708458931277764E-3</v>
      </c>
    </row>
    <row r="30" spans="1:10" x14ac:dyDescent="0.2">
      <c r="A30" s="107" t="s">
        <v>96</v>
      </c>
      <c r="B30" s="73">
        <f>B9</f>
        <v>5305</v>
      </c>
      <c r="C30" s="34">
        <v>1.1000000000000001E-3</v>
      </c>
      <c r="D30" s="22">
        <f>B30*C30</f>
        <v>5.8355000000000006</v>
      </c>
      <c r="E30" s="73">
        <f t="shared" si="4"/>
        <v>5305</v>
      </c>
      <c r="F30" s="34">
        <v>1.1000000000000001E-3</v>
      </c>
      <c r="G30" s="22">
        <f>E30*F30</f>
        <v>5.8355000000000006</v>
      </c>
      <c r="H30" s="22">
        <f>G30-D30</f>
        <v>0</v>
      </c>
      <c r="I30" s="23">
        <f t="shared" ref="I30" si="10">IF(ISERROR(H30/D30),0,(H30/D30))</f>
        <v>0</v>
      </c>
      <c r="J30" s="125">
        <f t="shared" ref="J30" si="11">G30/$G$38</f>
        <v>2.6037764202097879E-3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2">G31/$G$38</f>
        <v>1.1154898552865168E-4</v>
      </c>
    </row>
    <row r="32" spans="1:10" x14ac:dyDescent="0.2">
      <c r="A32" s="110" t="s">
        <v>45</v>
      </c>
      <c r="B32" s="74"/>
      <c r="C32" s="35"/>
      <c r="D32" s="35">
        <f>SUM(D28:D31)</f>
        <v>36.323999999999998</v>
      </c>
      <c r="E32" s="73"/>
      <c r="F32" s="35"/>
      <c r="G32" s="35">
        <f>SUM(G28:G31)</f>
        <v>36.323999999999998</v>
      </c>
      <c r="H32" s="35">
        <f t="shared" si="2"/>
        <v>0</v>
      </c>
      <c r="I32" s="36">
        <f t="shared" si="3"/>
        <v>0</v>
      </c>
      <c r="J32" s="111">
        <f t="shared" si="12"/>
        <v>1.6207621401370973E-2</v>
      </c>
    </row>
    <row r="33" spans="1:10" ht="13.5" thickBot="1" x14ac:dyDescent="0.25">
      <c r="A33" s="112" t="s">
        <v>46</v>
      </c>
      <c r="B33" s="113">
        <f>B4</f>
        <v>5000</v>
      </c>
      <c r="C33" s="114">
        <v>7.0000000000000001E-3</v>
      </c>
      <c r="D33" s="115">
        <f>B33*C33</f>
        <v>35</v>
      </c>
      <c r="E33" s="116">
        <f t="shared" si="4"/>
        <v>5000</v>
      </c>
      <c r="F33" s="114">
        <f>C33</f>
        <v>7.0000000000000001E-3</v>
      </c>
      <c r="G33" s="115">
        <f>E33*F33</f>
        <v>35</v>
      </c>
      <c r="H33" s="115">
        <f t="shared" si="2"/>
        <v>0</v>
      </c>
      <c r="I33" s="117">
        <f t="shared" si="3"/>
        <v>0</v>
      </c>
      <c r="J33" s="118">
        <f t="shared" si="12"/>
        <v>1.5616857974011236E-2</v>
      </c>
    </row>
    <row r="34" spans="1:10" x14ac:dyDescent="0.2">
      <c r="A34" s="37" t="s">
        <v>111</v>
      </c>
      <c r="B34" s="38"/>
      <c r="C34" s="39"/>
      <c r="D34" s="39">
        <f>SUM(D15,D23,D26,D32,D33)</f>
        <v>1904.9943800000001</v>
      </c>
      <c r="E34" s="38"/>
      <c r="F34" s="39"/>
      <c r="G34" s="39">
        <f>SUM(G15,G23,G26,G32,G33)</f>
        <v>1983.33438</v>
      </c>
      <c r="H34" s="39">
        <f t="shared" si="2"/>
        <v>78.339999999999918</v>
      </c>
      <c r="I34" s="40">
        <f>IF(ISERROR(H34/D34),0,(H34/D34))</f>
        <v>4.1123480899717887E-2</v>
      </c>
      <c r="J34" s="41">
        <f t="shared" si="12"/>
        <v>0.88495575221238942</v>
      </c>
    </row>
    <row r="35" spans="1:10" x14ac:dyDescent="0.2">
      <c r="A35" s="46" t="s">
        <v>102</v>
      </c>
      <c r="B35" s="43"/>
      <c r="C35" s="26">
        <v>0.13</v>
      </c>
      <c r="D35" s="26">
        <f>D34*C35</f>
        <v>247.64926940000001</v>
      </c>
      <c r="E35" s="26"/>
      <c r="F35" s="26">
        <f>C35</f>
        <v>0.13</v>
      </c>
      <c r="G35" s="26">
        <f>G34*F35</f>
        <v>257.83346940000001</v>
      </c>
      <c r="H35" s="26">
        <f t="shared" si="2"/>
        <v>10.184200000000004</v>
      </c>
      <c r="I35" s="44">
        <f t="shared" ref="I35:I38" si="13">IF(ISERROR(H35/D35),0,(H35/D35))</f>
        <v>4.1123480899717943E-2</v>
      </c>
      <c r="J35" s="45">
        <f t="shared" si="12"/>
        <v>0.11504424778761063</v>
      </c>
    </row>
    <row r="36" spans="1:10" x14ac:dyDescent="0.2">
      <c r="A36" s="46" t="s">
        <v>103</v>
      </c>
      <c r="B36" s="24"/>
      <c r="C36" s="25"/>
      <c r="D36" s="25">
        <f>SUM(D34:D35)</f>
        <v>2152.6436494</v>
      </c>
      <c r="E36" s="25"/>
      <c r="F36" s="25"/>
      <c r="G36" s="25">
        <f>SUM(G34:G35)</f>
        <v>2241.1678493999998</v>
      </c>
      <c r="H36" s="25">
        <f t="shared" si="2"/>
        <v>88.524199999999837</v>
      </c>
      <c r="I36" s="27">
        <f t="shared" si="13"/>
        <v>4.1123480899717853E-2</v>
      </c>
      <c r="J36" s="47">
        <f t="shared" si="12"/>
        <v>1</v>
      </c>
    </row>
    <row r="37" spans="1:10" x14ac:dyDescent="0.2">
      <c r="A37" s="46" t="s">
        <v>104</v>
      </c>
      <c r="B37" s="43"/>
      <c r="C37" s="26">
        <v>0</v>
      </c>
      <c r="D37" s="26">
        <f>D34*C37</f>
        <v>0</v>
      </c>
      <c r="E37" s="26"/>
      <c r="F37" s="26">
        <f>C37</f>
        <v>0</v>
      </c>
      <c r="G37" s="26">
        <f>G34*F37</f>
        <v>0</v>
      </c>
      <c r="H37" s="26">
        <f t="shared" si="2"/>
        <v>0</v>
      </c>
      <c r="I37" s="44">
        <f t="shared" si="13"/>
        <v>0</v>
      </c>
      <c r="J37" s="45">
        <f t="shared" si="12"/>
        <v>0</v>
      </c>
    </row>
    <row r="38" spans="1:10" ht="13.5" thickBot="1" x14ac:dyDescent="0.25">
      <c r="A38" s="46" t="s">
        <v>105</v>
      </c>
      <c r="B38" s="49"/>
      <c r="C38" s="50"/>
      <c r="D38" s="50">
        <f>SUM(D36:D37)</f>
        <v>2152.6436494</v>
      </c>
      <c r="E38" s="50"/>
      <c r="F38" s="50"/>
      <c r="G38" s="50">
        <f>SUM(G36:G37)</f>
        <v>2241.1678493999998</v>
      </c>
      <c r="H38" s="50">
        <f t="shared" si="2"/>
        <v>88.524199999999837</v>
      </c>
      <c r="I38" s="51">
        <f t="shared" si="13"/>
        <v>4.1123480899717853E-2</v>
      </c>
      <c r="J38" s="52">
        <f t="shared" si="12"/>
        <v>1</v>
      </c>
    </row>
    <row r="39" spans="1:10" x14ac:dyDescent="0.2">
      <c r="A39" s="169"/>
      <c r="F39" s="69"/>
    </row>
    <row r="40" spans="1:10" x14ac:dyDescent="0.2">
      <c r="A40" s="169"/>
      <c r="F40" s="69"/>
    </row>
    <row r="41" spans="1:10" x14ac:dyDescent="0.2">
      <c r="A41" s="169"/>
    </row>
    <row r="42" spans="1:10" x14ac:dyDescent="0.2">
      <c r="A42" s="169"/>
    </row>
    <row r="43" spans="1:10" x14ac:dyDescent="0.2">
      <c r="A43" s="1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theme="1" tint="0.499984740745262"/>
    <pageSetUpPr fitToPage="1"/>
  </sheetPr>
  <dimension ref="A1:J43"/>
  <sheetViews>
    <sheetView tabSelected="1" view="pageBreakPreview" topLeftCell="A13" zoomScaleNormal="100" zoomScaleSheetLayoutView="100" workbookViewId="0">
      <selection activeCell="C3" sqref="C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117</v>
      </c>
      <c r="B1" s="188"/>
      <c r="C1" s="188"/>
      <c r="D1" s="188"/>
      <c r="E1" s="188"/>
      <c r="F1" s="188"/>
      <c r="G1" s="188"/>
      <c r="H1" s="188"/>
      <c r="I1" s="188"/>
      <c r="J1" s="189"/>
    </row>
    <row r="3" spans="1:10" x14ac:dyDescent="0.2">
      <c r="A3" s="13" t="s">
        <v>13</v>
      </c>
      <c r="B3" s="13" t="s">
        <v>11</v>
      </c>
    </row>
    <row r="4" spans="1:10" x14ac:dyDescent="0.2">
      <c r="A4" s="15" t="s">
        <v>62</v>
      </c>
      <c r="B4" s="79">
        <v>200000</v>
      </c>
    </row>
    <row r="5" spans="1:10" x14ac:dyDescent="0.2">
      <c r="A5" s="15" t="s">
        <v>16</v>
      </c>
      <c r="B5" s="79">
        <v>500</v>
      </c>
    </row>
    <row r="6" spans="1:10" x14ac:dyDescent="0.2">
      <c r="A6" s="15" t="s">
        <v>20</v>
      </c>
      <c r="B6" s="80">
        <f>VLOOKUP($B$3,'Data for Bill Impacts'!$A$3:$Y$15,2,0)</f>
        <v>1.034</v>
      </c>
    </row>
    <row r="7" spans="1:10" x14ac:dyDescent="0.2">
      <c r="A7" s="81" t="s">
        <v>48</v>
      </c>
      <c r="B7" s="82">
        <f>B4/(B5*730)</f>
        <v>0.54794520547945202</v>
      </c>
    </row>
    <row r="8" spans="1:10" x14ac:dyDescent="0.2">
      <c r="A8" s="15" t="s">
        <v>15</v>
      </c>
      <c r="B8" s="79">
        <f>VLOOKUP($B$3,'Data for Bill Impacts'!$A$3:$Y$15,4,0)</f>
        <v>0</v>
      </c>
    </row>
    <row r="9" spans="1:10" x14ac:dyDescent="0.2">
      <c r="A9" s="15" t="s">
        <v>82</v>
      </c>
      <c r="B9" s="79">
        <f>B4*B6</f>
        <v>206800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206800</v>
      </c>
      <c r="C13" s="103">
        <v>0.10299999999999999</v>
      </c>
      <c r="D13" s="104">
        <f>B13*C13</f>
        <v>21300.399999999998</v>
      </c>
      <c r="E13" s="102">
        <f>B13</f>
        <v>206800</v>
      </c>
      <c r="F13" s="103">
        <f>C13</f>
        <v>0.10299999999999999</v>
      </c>
      <c r="G13" s="104">
        <f>E13*F13</f>
        <v>21300.399999999998</v>
      </c>
      <c r="H13" s="104">
        <f>G13-D13</f>
        <v>0</v>
      </c>
      <c r="I13" s="105">
        <f>IF(ISERROR(H13/D13),0,(H13/D13))</f>
        <v>0</v>
      </c>
      <c r="J13" s="124">
        <f t="shared" ref="J13:J27" si="0">G13/$G$36</f>
        <v>0.63578187361064542</v>
      </c>
    </row>
    <row r="14" spans="1:10" x14ac:dyDescent="0.2">
      <c r="A14" s="107" t="s">
        <v>32</v>
      </c>
      <c r="B14" s="73">
        <v>0</v>
      </c>
      <c r="C14" s="21">
        <v>0.121</v>
      </c>
      <c r="D14" s="22">
        <f>B14*C14</f>
        <v>0</v>
      </c>
      <c r="E14" s="73">
        <f t="shared" ref="E14" si="1">B14</f>
        <v>0</v>
      </c>
      <c r="F14" s="21">
        <f>C14</f>
        <v>0.121</v>
      </c>
      <c r="G14" s="22">
        <f>E14*F14</f>
        <v>0</v>
      </c>
      <c r="H14" s="22">
        <f t="shared" ref="H14:H36" si="2">G14-D14</f>
        <v>0</v>
      </c>
      <c r="I14" s="23">
        <f t="shared" ref="I14:I31" si="3">IF(ISERROR(H14/D14),0,(H14/D14))</f>
        <v>0</v>
      </c>
      <c r="J14" s="125">
        <f t="shared" si="0"/>
        <v>0</v>
      </c>
    </row>
    <row r="15" spans="1:10" s="1" customFormat="1" x14ac:dyDescent="0.2">
      <c r="A15" s="46" t="s">
        <v>33</v>
      </c>
      <c r="B15" s="24"/>
      <c r="C15" s="25"/>
      <c r="D15" s="25">
        <f>SUM(D13:D14)</f>
        <v>21300.399999999998</v>
      </c>
      <c r="E15" s="76"/>
      <c r="F15" s="25"/>
      <c r="G15" s="25">
        <f>SUM(G13:G14)</f>
        <v>21300.399999999998</v>
      </c>
      <c r="H15" s="25">
        <f t="shared" si="2"/>
        <v>0</v>
      </c>
      <c r="I15" s="27">
        <f t="shared" si="3"/>
        <v>0</v>
      </c>
      <c r="J15" s="47">
        <f t="shared" si="0"/>
        <v>0.63578187361064542</v>
      </c>
    </row>
    <row r="16" spans="1:10" s="1" customFormat="1" x14ac:dyDescent="0.2">
      <c r="A16" s="107" t="s">
        <v>38</v>
      </c>
      <c r="B16" s="73">
        <v>1</v>
      </c>
      <c r="C16" s="78">
        <f>VLOOKUP($B$3,'Data for Bill Impacts'!$A$3:$Y$15,7,0)</f>
        <v>1226.6300000000001</v>
      </c>
      <c r="D16" s="22">
        <f>B16*C16</f>
        <v>1226.6300000000001</v>
      </c>
      <c r="E16" s="73">
        <f t="shared" ref="E16:E31" si="4">B16</f>
        <v>1</v>
      </c>
      <c r="F16" s="78">
        <f>VLOOKUP($B$3,'Data for Bill Impacts'!$A$3:$Y$15,17,0)</f>
        <v>1256.8800000000001</v>
      </c>
      <c r="G16" s="22">
        <f>E16*F16</f>
        <v>1256.8800000000001</v>
      </c>
      <c r="H16" s="22">
        <f t="shared" si="2"/>
        <v>30.25</v>
      </c>
      <c r="I16" s="23">
        <f t="shared" si="3"/>
        <v>2.4661063238303315E-2</v>
      </c>
      <c r="J16" s="125">
        <f t="shared" si="0"/>
        <v>3.7515798825550138E-2</v>
      </c>
    </row>
    <row r="17" spans="1:10" x14ac:dyDescent="0.2">
      <c r="A17" s="107" t="s">
        <v>85</v>
      </c>
      <c r="B17" s="73">
        <v>1</v>
      </c>
      <c r="C17" s="78">
        <f>VLOOKUP($B$3,'Data for Bill Impacts'!$A$3:$Y$15,13,0)</f>
        <v>3.83</v>
      </c>
      <c r="D17" s="22">
        <f t="shared" ref="D17" si="5">B17*C17</f>
        <v>3.83</v>
      </c>
      <c r="E17" s="73">
        <f t="shared" si="4"/>
        <v>1</v>
      </c>
      <c r="F17" s="78">
        <f>VLOOKUP($B$3,'Data for Bill Impacts'!$A$3:$Y$15,22,0)</f>
        <v>3.83</v>
      </c>
      <c r="G17" s="22">
        <f t="shared" ref="G17" si="6">E17*F17</f>
        <v>3.83</v>
      </c>
      <c r="H17" s="22">
        <f t="shared" si="2"/>
        <v>0</v>
      </c>
      <c r="I17" s="23">
        <f t="shared" si="3"/>
        <v>0</v>
      </c>
      <c r="J17" s="125">
        <f t="shared" si="0"/>
        <v>1.1431919475356202E-4</v>
      </c>
    </row>
    <row r="18" spans="1:10" x14ac:dyDescent="0.2">
      <c r="A18" s="107" t="s">
        <v>39</v>
      </c>
      <c r="B18" s="73">
        <f>IF($B$10="kWh",$B$4,$B$5)</f>
        <v>500</v>
      </c>
      <c r="C18" s="78">
        <f>VLOOKUP($B$3,'Data for Bill Impacts'!$A$3:$Y$15,10,0)</f>
        <v>1.3683020513538697</v>
      </c>
      <c r="D18" s="22">
        <f>B18*C18</f>
        <v>684.15102567693486</v>
      </c>
      <c r="E18" s="73">
        <f t="shared" si="4"/>
        <v>500</v>
      </c>
      <c r="F18" s="78">
        <f>VLOOKUP($B$3,'Data for Bill Impacts'!$A$3:$Y$15,19,0)</f>
        <v>1.4140356552332787</v>
      </c>
      <c r="G18" s="22">
        <f>E18*F18</f>
        <v>707.01782761663935</v>
      </c>
      <c r="H18" s="22">
        <f t="shared" si="2"/>
        <v>22.866801939704487</v>
      </c>
      <c r="I18" s="23">
        <f t="shared" si="3"/>
        <v>3.342361712763476E-2</v>
      </c>
      <c r="J18" s="125">
        <f t="shared" si="0"/>
        <v>2.1103318206148025E-2</v>
      </c>
    </row>
    <row r="19" spans="1:10" s="1" customFormat="1" x14ac:dyDescent="0.2">
      <c r="A19" s="107" t="s">
        <v>121</v>
      </c>
      <c r="B19" s="73">
        <f>IF($B$10="kWh",$B$4,$B$5)</f>
        <v>500</v>
      </c>
      <c r="C19" s="126">
        <f>VLOOKUP($B$3,'Data for Bill Impacts'!$A$3:$Y$15,14,0)</f>
        <v>0.27289999999999998</v>
      </c>
      <c r="D19" s="22">
        <f>B19*C19</f>
        <v>136.44999999999999</v>
      </c>
      <c r="E19" s="73">
        <f>B19</f>
        <v>500</v>
      </c>
      <c r="F19" s="126">
        <f>VLOOKUP($B$3,'Data for Bill Impacts'!$A$3:$Y$15,23,0)</f>
        <v>0.27289999999999998</v>
      </c>
      <c r="G19" s="22">
        <f>E19*F19</f>
        <v>136.44999999999999</v>
      </c>
      <c r="H19" s="22">
        <f>G19-D19</f>
        <v>0</v>
      </c>
      <c r="I19" s="23">
        <f>IF(ISERROR(H19/D19),0,(H19/D19))</f>
        <v>0</v>
      </c>
      <c r="J19" s="125">
        <f t="shared" si="0"/>
        <v>4.0728078653064059E-3</v>
      </c>
    </row>
    <row r="20" spans="1:10" s="1" customFormat="1" x14ac:dyDescent="0.2">
      <c r="A20" s="107" t="s">
        <v>108</v>
      </c>
      <c r="B20" s="73">
        <f>B9</f>
        <v>206800</v>
      </c>
      <c r="C20" s="126">
        <f>VLOOKUP($B$3,'Data for Bill Impacts'!$A$3:$Y$15,20,0)</f>
        <v>1.9E-3</v>
      </c>
      <c r="D20" s="22">
        <f>B20*C20</f>
        <v>392.92</v>
      </c>
      <c r="E20" s="73">
        <f t="shared" si="4"/>
        <v>206800</v>
      </c>
      <c r="F20" s="78">
        <f>VLOOKUP($B$3,'Data for Bill Impacts'!$A$3:$Y$15,21,0)</f>
        <v>1.9E-3</v>
      </c>
      <c r="G20" s="22">
        <f>E20*F20</f>
        <v>392.92</v>
      </c>
      <c r="H20" s="22">
        <f t="shared" si="2"/>
        <v>0</v>
      </c>
      <c r="I20" s="23">
        <f>IF(ISERROR(H20/D20),0,(H20/D20))</f>
        <v>0</v>
      </c>
      <c r="J20" s="125">
        <f t="shared" si="0"/>
        <v>1.1728015144274044E-2</v>
      </c>
    </row>
    <row r="21" spans="1:10" x14ac:dyDescent="0.2">
      <c r="A21" s="110" t="s">
        <v>93</v>
      </c>
      <c r="B21" s="74"/>
      <c r="C21" s="35"/>
      <c r="D21" s="35">
        <f>SUM(D16:D20)</f>
        <v>2443.9810256769347</v>
      </c>
      <c r="E21" s="73"/>
      <c r="F21" s="35"/>
      <c r="G21" s="35">
        <f>SUM(G16:G20)</f>
        <v>2497.0978276166393</v>
      </c>
      <c r="H21" s="35">
        <f t="shared" si="2"/>
        <v>53.116801939704601</v>
      </c>
      <c r="I21" s="36">
        <f t="shared" si="3"/>
        <v>2.1733721081157859E-2</v>
      </c>
      <c r="J21" s="111">
        <f t="shared" si="0"/>
        <v>7.4534259236032172E-2</v>
      </c>
    </row>
    <row r="22" spans="1:10" x14ac:dyDescent="0.2">
      <c r="A22" s="107" t="s">
        <v>40</v>
      </c>
      <c r="B22" s="73">
        <f>B5</f>
        <v>500</v>
      </c>
      <c r="C22" s="126">
        <f>VLOOKUP($B$3,'Data for Bill Impacts'!$A$3:$Y$15,15,0)</f>
        <v>3.4866480000000002</v>
      </c>
      <c r="D22" s="22">
        <f>B22*C22</f>
        <v>1743.3240000000001</v>
      </c>
      <c r="E22" s="73">
        <f t="shared" si="4"/>
        <v>500</v>
      </c>
      <c r="F22" s="126">
        <f>VLOOKUP($B$3,'Data for Bill Impacts'!$A$3:$Y$15,24,0)</f>
        <v>3.4866480000000002</v>
      </c>
      <c r="G22" s="22">
        <f>E22*F22</f>
        <v>1743.3240000000001</v>
      </c>
      <c r="H22" s="22">
        <f t="shared" si="2"/>
        <v>0</v>
      </c>
      <c r="I22" s="23">
        <f t="shared" si="3"/>
        <v>0</v>
      </c>
      <c r="J22" s="125">
        <f t="shared" si="0"/>
        <v>5.203535140327905E-2</v>
      </c>
    </row>
    <row r="23" spans="1:10" s="1" customFormat="1" x14ac:dyDescent="0.2">
      <c r="A23" s="107" t="s">
        <v>41</v>
      </c>
      <c r="B23" s="73">
        <f>B5</f>
        <v>500</v>
      </c>
      <c r="C23" s="126">
        <f>VLOOKUP($B$3,'Data for Bill Impacts'!$A$3:$Y$15,16,0)</f>
        <v>2.6021643999999999</v>
      </c>
      <c r="D23" s="22">
        <f>B23*C23</f>
        <v>1301.0822000000001</v>
      </c>
      <c r="E23" s="73">
        <f t="shared" si="4"/>
        <v>500</v>
      </c>
      <c r="F23" s="126">
        <f>VLOOKUP($B$3,'Data for Bill Impacts'!$A$3:$Y$15,25,0)</f>
        <v>2.6021643999999999</v>
      </c>
      <c r="G23" s="22">
        <f>E23*F23</f>
        <v>1301.0822000000001</v>
      </c>
      <c r="H23" s="22">
        <f t="shared" si="2"/>
        <v>0</v>
      </c>
      <c r="I23" s="23">
        <f t="shared" si="3"/>
        <v>0</v>
      </c>
      <c r="J23" s="125">
        <f t="shared" si="0"/>
        <v>3.8835161726421132E-2</v>
      </c>
    </row>
    <row r="24" spans="1:10" x14ac:dyDescent="0.2">
      <c r="A24" s="110" t="s">
        <v>76</v>
      </c>
      <c r="B24" s="74"/>
      <c r="C24" s="35"/>
      <c r="D24" s="35">
        <f>SUM(D22:D23)</f>
        <v>3044.4062000000004</v>
      </c>
      <c r="E24" s="73"/>
      <c r="F24" s="35"/>
      <c r="G24" s="35">
        <f>SUM(G22:G23)</f>
        <v>3044.4062000000004</v>
      </c>
      <c r="H24" s="35">
        <f t="shared" si="2"/>
        <v>0</v>
      </c>
      <c r="I24" s="36">
        <f t="shared" si="3"/>
        <v>0</v>
      </c>
      <c r="J24" s="111">
        <f t="shared" si="0"/>
        <v>9.0870513129700195E-2</v>
      </c>
    </row>
    <row r="25" spans="1:10" s="1" customFormat="1" x14ac:dyDescent="0.2">
      <c r="A25" s="110" t="s">
        <v>80</v>
      </c>
      <c r="B25" s="74"/>
      <c r="C25" s="35"/>
      <c r="D25" s="35">
        <f>D21+D24</f>
        <v>5488.3872256769355</v>
      </c>
      <c r="E25" s="73"/>
      <c r="F25" s="35"/>
      <c r="G25" s="35">
        <f>G21+G24</f>
        <v>5541.5040276166401</v>
      </c>
      <c r="H25" s="35">
        <f t="shared" si="2"/>
        <v>53.116801939704601</v>
      </c>
      <c r="I25" s="36">
        <f t="shared" si="3"/>
        <v>9.6780346858913908E-3</v>
      </c>
      <c r="J25" s="111">
        <f t="shared" si="0"/>
        <v>0.16540477236573237</v>
      </c>
    </row>
    <row r="26" spans="1:10" x14ac:dyDescent="0.2">
      <c r="A26" s="107" t="s">
        <v>42</v>
      </c>
      <c r="B26" s="73">
        <f>B9</f>
        <v>206800</v>
      </c>
      <c r="C26" s="34">
        <v>3.5999999999999999E-3</v>
      </c>
      <c r="D26" s="22">
        <f>B26*C26</f>
        <v>744.48</v>
      </c>
      <c r="E26" s="73">
        <f t="shared" si="4"/>
        <v>206800</v>
      </c>
      <c r="F26" s="34">
        <v>3.5999999999999999E-3</v>
      </c>
      <c r="G26" s="22">
        <f>E26*F26</f>
        <v>744.48</v>
      </c>
      <c r="H26" s="22">
        <f t="shared" si="2"/>
        <v>0</v>
      </c>
      <c r="I26" s="23">
        <f t="shared" si="3"/>
        <v>0</v>
      </c>
      <c r="J26" s="125">
        <f t="shared" si="0"/>
        <v>2.2221502378624504E-2</v>
      </c>
    </row>
    <row r="27" spans="1:10" x14ac:dyDescent="0.2">
      <c r="A27" s="107" t="s">
        <v>43</v>
      </c>
      <c r="B27" s="73">
        <f>B9</f>
        <v>206800</v>
      </c>
      <c r="C27" s="34">
        <v>2.0999999999999999E-3</v>
      </c>
      <c r="D27" s="22">
        <f>B27*C27</f>
        <v>434.28</v>
      </c>
      <c r="E27" s="73">
        <f t="shared" si="4"/>
        <v>206800</v>
      </c>
      <c r="F27" s="34">
        <v>2.0999999999999999E-3</v>
      </c>
      <c r="G27" s="22">
        <f>E27*F27</f>
        <v>434.28</v>
      </c>
      <c r="H27" s="22">
        <f>G27-D27</f>
        <v>0</v>
      </c>
      <c r="I27" s="23">
        <f t="shared" si="3"/>
        <v>0</v>
      </c>
      <c r="J27" s="125">
        <f t="shared" si="0"/>
        <v>1.2962543054197627E-2</v>
      </c>
    </row>
    <row r="28" spans="1:10" x14ac:dyDescent="0.2">
      <c r="A28" s="107" t="s">
        <v>96</v>
      </c>
      <c r="B28" s="73">
        <f>B9</f>
        <v>206800</v>
      </c>
      <c r="C28" s="34">
        <v>1.1000000000000001E-3</v>
      </c>
      <c r="D28" s="22">
        <f>B28*C28</f>
        <v>227.48000000000002</v>
      </c>
      <c r="E28" s="73">
        <f t="shared" si="4"/>
        <v>206800</v>
      </c>
      <c r="F28" s="34">
        <v>1.1000000000000001E-3</v>
      </c>
      <c r="G28" s="22">
        <f>E28*F28</f>
        <v>227.48000000000002</v>
      </c>
      <c r="H28" s="22">
        <f>G28-D28</f>
        <v>0</v>
      </c>
      <c r="I28" s="23">
        <f t="shared" ref="I28" si="7">IF(ISERROR(H28/D28),0,(H28/D28))</f>
        <v>0</v>
      </c>
      <c r="J28" s="125">
        <f t="shared" ref="J28" si="8">G28/$G$36</f>
        <v>6.7899035045797104E-3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7.4620884303891657E-6</v>
      </c>
    </row>
    <row r="30" spans="1:10" x14ac:dyDescent="0.2">
      <c r="A30" s="110" t="s">
        <v>45</v>
      </c>
      <c r="B30" s="74"/>
      <c r="C30" s="35"/>
      <c r="D30" s="35">
        <f>SUM(D26:D29)</f>
        <v>1406.49</v>
      </c>
      <c r="E30" s="73"/>
      <c r="F30" s="35"/>
      <c r="G30" s="35">
        <f>SUM(G26:G29)</f>
        <v>1406.49</v>
      </c>
      <c r="H30" s="35">
        <f t="shared" si="2"/>
        <v>0</v>
      </c>
      <c r="I30" s="36">
        <f t="shared" si="3"/>
        <v>0</v>
      </c>
      <c r="J30" s="111">
        <f t="shared" si="9"/>
        <v>4.1981411025832228E-2</v>
      </c>
    </row>
    <row r="31" spans="1:10" ht="13.5" thickBot="1" x14ac:dyDescent="0.25">
      <c r="A31" s="112" t="s">
        <v>46</v>
      </c>
      <c r="B31" s="113">
        <f>B4</f>
        <v>200000</v>
      </c>
      <c r="C31" s="114">
        <v>7.0000000000000001E-3</v>
      </c>
      <c r="D31" s="115">
        <f>B31*C31</f>
        <v>1400</v>
      </c>
      <c r="E31" s="116">
        <f t="shared" si="4"/>
        <v>200000</v>
      </c>
      <c r="F31" s="114">
        <f>C31</f>
        <v>7.0000000000000001E-3</v>
      </c>
      <c r="G31" s="115">
        <f>E31*F31</f>
        <v>1400</v>
      </c>
      <c r="H31" s="115">
        <f t="shared" si="2"/>
        <v>0</v>
      </c>
      <c r="I31" s="117">
        <f t="shared" si="3"/>
        <v>0</v>
      </c>
      <c r="J31" s="118">
        <f t="shared" si="9"/>
        <v>4.1787695210179325E-2</v>
      </c>
    </row>
    <row r="32" spans="1:10" x14ac:dyDescent="0.2">
      <c r="A32" s="37" t="s">
        <v>111</v>
      </c>
      <c r="B32" s="38"/>
      <c r="C32" s="39"/>
      <c r="D32" s="39">
        <f>SUM(D15,D21,D24,D30,D31)</f>
        <v>29595.277225676935</v>
      </c>
      <c r="E32" s="38"/>
      <c r="F32" s="39"/>
      <c r="G32" s="39">
        <f>SUM(G15,G21,G24,G30,G31)</f>
        <v>29648.39402761664</v>
      </c>
      <c r="H32" s="39">
        <f t="shared" si="2"/>
        <v>53.116801939704601</v>
      </c>
      <c r="I32" s="40">
        <f>IF(ISERROR(H32/D32),0,(H32/D32))</f>
        <v>1.7947729137546423E-3</v>
      </c>
      <c r="J32" s="41">
        <f t="shared" si="9"/>
        <v>0.88495575221238942</v>
      </c>
    </row>
    <row r="33" spans="1:10" x14ac:dyDescent="0.2">
      <c r="A33" s="46" t="s">
        <v>102</v>
      </c>
      <c r="B33" s="43"/>
      <c r="C33" s="26">
        <v>0.13</v>
      </c>
      <c r="D33" s="26">
        <f>D32*C33</f>
        <v>3847.3860393380019</v>
      </c>
      <c r="E33" s="26"/>
      <c r="F33" s="26">
        <f>C33</f>
        <v>0.13</v>
      </c>
      <c r="G33" s="26">
        <f>G32*F33</f>
        <v>3854.2912235901631</v>
      </c>
      <c r="H33" s="26">
        <f t="shared" si="2"/>
        <v>6.9051842521612343</v>
      </c>
      <c r="I33" s="44">
        <f t="shared" ref="I33:I36" si="10">IF(ISERROR(H33/D33),0,(H33/D33))</f>
        <v>1.7947729137545478E-3</v>
      </c>
      <c r="J33" s="45">
        <f t="shared" si="9"/>
        <v>0.11504424778761063</v>
      </c>
    </row>
    <row r="34" spans="1:10" x14ac:dyDescent="0.2">
      <c r="A34" s="46" t="s">
        <v>103</v>
      </c>
      <c r="B34" s="24"/>
      <c r="C34" s="25"/>
      <c r="D34" s="25">
        <f>SUM(D32:D33)</f>
        <v>33442.66326501494</v>
      </c>
      <c r="E34" s="25"/>
      <c r="F34" s="25"/>
      <c r="G34" s="25">
        <f>SUM(G32:G33)</f>
        <v>33502.6852512068</v>
      </c>
      <c r="H34" s="25">
        <f t="shared" si="2"/>
        <v>60.021986191859469</v>
      </c>
      <c r="I34" s="27">
        <f t="shared" si="10"/>
        <v>1.7947729137544409E-3</v>
      </c>
      <c r="J34" s="47">
        <f t="shared" si="9"/>
        <v>1</v>
      </c>
    </row>
    <row r="35" spans="1:10" x14ac:dyDescent="0.2">
      <c r="A35" s="46" t="s">
        <v>104</v>
      </c>
      <c r="B35" s="43"/>
      <c r="C35" s="26">
        <v>0</v>
      </c>
      <c r="D35" s="26">
        <f>D32*C35</f>
        <v>0</v>
      </c>
      <c r="E35" s="26"/>
      <c r="F35" s="26">
        <v>0</v>
      </c>
      <c r="G35" s="26">
        <f>G32*F35</f>
        <v>0</v>
      </c>
      <c r="H35" s="26">
        <f t="shared" si="2"/>
        <v>0</v>
      </c>
      <c r="I35" s="44">
        <f t="shared" si="10"/>
        <v>0</v>
      </c>
      <c r="J35" s="45">
        <f t="shared" si="9"/>
        <v>0</v>
      </c>
    </row>
    <row r="36" spans="1:10" ht="13.5" thickBot="1" x14ac:dyDescent="0.25">
      <c r="A36" s="46" t="s">
        <v>105</v>
      </c>
      <c r="B36" s="49"/>
      <c r="C36" s="50"/>
      <c r="D36" s="50">
        <f>SUM(D34:D35)</f>
        <v>33442.66326501494</v>
      </c>
      <c r="E36" s="50"/>
      <c r="F36" s="50"/>
      <c r="G36" s="50">
        <f>SUM(G34:G35)</f>
        <v>33502.6852512068</v>
      </c>
      <c r="H36" s="50">
        <f t="shared" si="2"/>
        <v>60.021986191859469</v>
      </c>
      <c r="I36" s="51">
        <f t="shared" si="10"/>
        <v>1.7947729137544409E-3</v>
      </c>
      <c r="J36" s="52">
        <f t="shared" si="9"/>
        <v>1</v>
      </c>
    </row>
    <row r="37" spans="1:10" x14ac:dyDescent="0.2">
      <c r="A37" s="170"/>
      <c r="F37" s="69"/>
    </row>
    <row r="38" spans="1:10" x14ac:dyDescent="0.2">
      <c r="A38" s="171"/>
      <c r="F38" s="69"/>
    </row>
    <row r="39" spans="1:10" x14ac:dyDescent="0.2">
      <c r="A39" s="171"/>
    </row>
    <row r="40" spans="1:10" x14ac:dyDescent="0.2">
      <c r="A40" s="171"/>
    </row>
    <row r="41" spans="1:10" x14ac:dyDescent="0.2">
      <c r="A41" s="171"/>
    </row>
    <row r="42" spans="1:10" x14ac:dyDescent="0.2">
      <c r="A42" s="171"/>
    </row>
    <row r="43" spans="1:10" x14ac:dyDescent="0.2">
      <c r="A43" s="171"/>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theme="1" tint="0.499984740745262"/>
    <pageSetUpPr fitToPage="1"/>
  </sheetPr>
  <dimension ref="A1:J43"/>
  <sheetViews>
    <sheetView tabSelected="1" view="pageBreakPreview" topLeftCell="A13" zoomScaleNormal="100" zoomScaleSheetLayoutView="100" workbookViewId="0">
      <selection activeCell="C3" sqref="C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119</v>
      </c>
      <c r="B1" s="188"/>
      <c r="C1" s="188"/>
      <c r="D1" s="188"/>
      <c r="E1" s="188"/>
      <c r="F1" s="188"/>
      <c r="G1" s="188"/>
      <c r="H1" s="188"/>
      <c r="I1" s="188"/>
      <c r="J1" s="189"/>
    </row>
    <row r="3" spans="1:10" x14ac:dyDescent="0.2">
      <c r="A3" s="13" t="s">
        <v>13</v>
      </c>
      <c r="B3" s="13" t="s">
        <v>11</v>
      </c>
    </row>
    <row r="4" spans="1:10" x14ac:dyDescent="0.2">
      <c r="A4" s="15" t="s">
        <v>62</v>
      </c>
      <c r="B4" s="79">
        <f>VLOOKUP(B3,'Data for Bill Impacts'!A19:D31,3,FALSE)</f>
        <v>1601036</v>
      </c>
    </row>
    <row r="5" spans="1:10" x14ac:dyDescent="0.2">
      <c r="A5" s="15" t="s">
        <v>16</v>
      </c>
      <c r="B5" s="79">
        <f>VLOOKUP(B3,'Data for Bill Impacts'!A19:D31,4,FALSE)</f>
        <v>3091</v>
      </c>
    </row>
    <row r="6" spans="1:10" x14ac:dyDescent="0.2">
      <c r="A6" s="15" t="s">
        <v>20</v>
      </c>
      <c r="B6" s="80">
        <f>VLOOKUP($B$3,'Data for Bill Impacts'!$A$3:$Y$15,2,0)</f>
        <v>1.034</v>
      </c>
    </row>
    <row r="7" spans="1:10" x14ac:dyDescent="0.2">
      <c r="A7" s="81" t="s">
        <v>48</v>
      </c>
      <c r="B7" s="82">
        <f>B4/(B5*730)</f>
        <v>0.70954383694597223</v>
      </c>
    </row>
    <row r="8" spans="1:10" x14ac:dyDescent="0.2">
      <c r="A8" s="15" t="s">
        <v>15</v>
      </c>
      <c r="B8" s="79">
        <f>VLOOKUP($B$3,'Data for Bill Impacts'!$A$3:$Y$15,4,0)</f>
        <v>0</v>
      </c>
    </row>
    <row r="9" spans="1:10" x14ac:dyDescent="0.2">
      <c r="A9" s="15" t="s">
        <v>82</v>
      </c>
      <c r="B9" s="79">
        <f>B4*B6</f>
        <v>1655471.2240000002</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1655471.2240000002</v>
      </c>
      <c r="C13" s="103">
        <v>0.10299999999999999</v>
      </c>
      <c r="D13" s="104">
        <f>B13*C13</f>
        <v>170513.53607200002</v>
      </c>
      <c r="E13" s="102">
        <f>B13</f>
        <v>1655471.2240000002</v>
      </c>
      <c r="F13" s="103">
        <f>C13</f>
        <v>0.10299999999999999</v>
      </c>
      <c r="G13" s="104">
        <f>E13*F13</f>
        <v>170513.53607200002</v>
      </c>
      <c r="H13" s="104">
        <f>G13-D13</f>
        <v>0</v>
      </c>
      <c r="I13" s="105">
        <f>IF(ISERROR(H13/D13),0,(H13/D13))</f>
        <v>0</v>
      </c>
      <c r="J13" s="124">
        <f t="shared" ref="J13:J27" si="0">G13/$G$36</f>
        <v>0.68149891620535996</v>
      </c>
    </row>
    <row r="14" spans="1:10" x14ac:dyDescent="0.2">
      <c r="A14" s="107" t="s">
        <v>32</v>
      </c>
      <c r="B14" s="73">
        <v>0</v>
      </c>
      <c r="C14" s="21">
        <v>0.121</v>
      </c>
      <c r="D14" s="22">
        <f>B14*C14</f>
        <v>0</v>
      </c>
      <c r="E14" s="73">
        <f t="shared" ref="E14" si="1">B14</f>
        <v>0</v>
      </c>
      <c r="F14" s="21">
        <f>C14</f>
        <v>0.121</v>
      </c>
      <c r="G14" s="22">
        <f>E14*F14</f>
        <v>0</v>
      </c>
      <c r="H14" s="22">
        <f t="shared" ref="H14:H36" si="2">G14-D14</f>
        <v>0</v>
      </c>
      <c r="I14" s="23">
        <f t="shared" ref="I14:I31" si="3">IF(ISERROR(H14/D14),0,(H14/D14))</f>
        <v>0</v>
      </c>
      <c r="J14" s="125">
        <f t="shared" si="0"/>
        <v>0</v>
      </c>
    </row>
    <row r="15" spans="1:10" s="1" customFormat="1" x14ac:dyDescent="0.2">
      <c r="A15" s="46" t="s">
        <v>33</v>
      </c>
      <c r="B15" s="24"/>
      <c r="C15" s="25"/>
      <c r="D15" s="25">
        <f>SUM(D13:D14)</f>
        <v>170513.53607200002</v>
      </c>
      <c r="E15" s="76"/>
      <c r="F15" s="25"/>
      <c r="G15" s="25">
        <f>SUM(G13:G14)</f>
        <v>170513.53607200002</v>
      </c>
      <c r="H15" s="25">
        <f t="shared" si="2"/>
        <v>0</v>
      </c>
      <c r="I15" s="27">
        <f t="shared" si="3"/>
        <v>0</v>
      </c>
      <c r="J15" s="47">
        <f t="shared" si="0"/>
        <v>0.68149891620535996</v>
      </c>
    </row>
    <row r="16" spans="1:10" s="1" customFormat="1" x14ac:dyDescent="0.2">
      <c r="A16" s="107" t="s">
        <v>38</v>
      </c>
      <c r="B16" s="73">
        <v>1</v>
      </c>
      <c r="C16" s="78">
        <f>VLOOKUP($B$3,'Data for Bill Impacts'!$A$3:$Y$15,7,0)</f>
        <v>1226.6300000000001</v>
      </c>
      <c r="D16" s="22">
        <f>B16*C16</f>
        <v>1226.6300000000001</v>
      </c>
      <c r="E16" s="73">
        <f t="shared" ref="E16:E31" si="4">B16</f>
        <v>1</v>
      </c>
      <c r="F16" s="78">
        <f>VLOOKUP($B$3,'Data for Bill Impacts'!$A$3:$Y$15,17,0)</f>
        <v>1256.8800000000001</v>
      </c>
      <c r="G16" s="22">
        <f>E16*F16</f>
        <v>1256.8800000000001</v>
      </c>
      <c r="H16" s="22">
        <f t="shared" si="2"/>
        <v>30.25</v>
      </c>
      <c r="I16" s="23">
        <f t="shared" si="3"/>
        <v>2.4661063238303315E-2</v>
      </c>
      <c r="J16" s="125">
        <f t="shared" si="0"/>
        <v>5.0234273332910419E-3</v>
      </c>
    </row>
    <row r="17" spans="1:10" x14ac:dyDescent="0.2">
      <c r="A17" s="107" t="s">
        <v>85</v>
      </c>
      <c r="B17" s="73">
        <v>1</v>
      </c>
      <c r="C17" s="78">
        <f>VLOOKUP($B$3,'Data for Bill Impacts'!$A$3:$Y$15,13,0)</f>
        <v>3.83</v>
      </c>
      <c r="D17" s="22">
        <f t="shared" ref="D17" si="5">B17*C17</f>
        <v>3.83</v>
      </c>
      <c r="E17" s="73">
        <f t="shared" si="4"/>
        <v>1</v>
      </c>
      <c r="F17" s="78">
        <f>VLOOKUP($B$3,'Data for Bill Impacts'!$A$3:$Y$15,22,0)</f>
        <v>3.83</v>
      </c>
      <c r="G17" s="22">
        <f t="shared" ref="G17" si="6">E17*F17</f>
        <v>3.83</v>
      </c>
      <c r="H17" s="22">
        <f t="shared" si="2"/>
        <v>0</v>
      </c>
      <c r="I17" s="23">
        <f t="shared" si="3"/>
        <v>0</v>
      </c>
      <c r="J17" s="125">
        <f t="shared" si="0"/>
        <v>1.530752871117743E-5</v>
      </c>
    </row>
    <row r="18" spans="1:10" x14ac:dyDescent="0.2">
      <c r="A18" s="107" t="s">
        <v>39</v>
      </c>
      <c r="B18" s="73">
        <f>IF($B$10="kWh",$B$4,$B$5)</f>
        <v>3091</v>
      </c>
      <c r="C18" s="78">
        <f>VLOOKUP($B$3,'Data for Bill Impacts'!$A$3:$Y$15,10,0)</f>
        <v>1.3683020513538697</v>
      </c>
      <c r="D18" s="22">
        <f>B18*C18</f>
        <v>4229.4216407348113</v>
      </c>
      <c r="E18" s="73">
        <f t="shared" si="4"/>
        <v>3091</v>
      </c>
      <c r="F18" s="78">
        <f>VLOOKUP($B$3,'Data for Bill Impacts'!$A$3:$Y$15,19,0)</f>
        <v>1.4140356552332787</v>
      </c>
      <c r="G18" s="22">
        <f>E18*F18</f>
        <v>4370.7842103260646</v>
      </c>
      <c r="H18" s="22">
        <f t="shared" si="2"/>
        <v>141.3625695912533</v>
      </c>
      <c r="I18" s="23">
        <f t="shared" si="3"/>
        <v>3.3423617127634794E-2</v>
      </c>
      <c r="J18" s="125">
        <f t="shared" si="0"/>
        <v>1.7468904644889611E-2</v>
      </c>
    </row>
    <row r="19" spans="1:10" s="1" customFormat="1" x14ac:dyDescent="0.2">
      <c r="A19" s="107" t="s">
        <v>121</v>
      </c>
      <c r="B19" s="73">
        <f>IF($B$10="kWh",$B$4,$B$5)</f>
        <v>3091</v>
      </c>
      <c r="C19" s="126">
        <f>VLOOKUP($B$3,'Data for Bill Impacts'!$A$3:$Y$15,14,0)</f>
        <v>0.27289999999999998</v>
      </c>
      <c r="D19" s="22">
        <f>B19*C19</f>
        <v>843.5338999999999</v>
      </c>
      <c r="E19" s="73">
        <f>B19</f>
        <v>3091</v>
      </c>
      <c r="F19" s="126">
        <f>VLOOKUP($B$3,'Data for Bill Impacts'!$A$3:$Y$15,23,0)</f>
        <v>0.27289999999999998</v>
      </c>
      <c r="G19" s="22">
        <f>E19*F19</f>
        <v>843.5338999999999</v>
      </c>
      <c r="H19" s="22">
        <f>G19-D19</f>
        <v>0</v>
      </c>
      <c r="I19" s="23">
        <f>IF(ISERROR(H19/D19),0,(H19/D19))</f>
        <v>0</v>
      </c>
      <c r="J19" s="125">
        <f t="shared" si="0"/>
        <v>3.3713888754834127E-3</v>
      </c>
    </row>
    <row r="20" spans="1:10" s="1" customFormat="1" x14ac:dyDescent="0.2">
      <c r="A20" s="107" t="s">
        <v>108</v>
      </c>
      <c r="B20" s="73">
        <f>B9</f>
        <v>1655471.2240000002</v>
      </c>
      <c r="C20" s="126">
        <f>VLOOKUP($B$3,'Data for Bill Impacts'!$A$3:$Y$15,20,0)</f>
        <v>1.9E-3</v>
      </c>
      <c r="D20" s="22">
        <f>B20*C20</f>
        <v>3145.3953256000004</v>
      </c>
      <c r="E20" s="73">
        <f t="shared" si="4"/>
        <v>1655471.2240000002</v>
      </c>
      <c r="F20" s="78">
        <f>VLOOKUP($B$3,'Data for Bill Impacts'!$A$3:$Y$15,21,0)</f>
        <v>1.9E-3</v>
      </c>
      <c r="G20" s="22">
        <f>E20*F20</f>
        <v>3145.3953256000004</v>
      </c>
      <c r="H20" s="22">
        <f t="shared" si="2"/>
        <v>0</v>
      </c>
      <c r="I20" s="23">
        <f>IF(ISERROR(H20/D20),0,(H20/D20))</f>
        <v>0</v>
      </c>
      <c r="J20" s="125">
        <f t="shared" si="0"/>
        <v>1.257133923097266E-2</v>
      </c>
    </row>
    <row r="21" spans="1:10" x14ac:dyDescent="0.2">
      <c r="A21" s="110" t="s">
        <v>79</v>
      </c>
      <c r="B21" s="74"/>
      <c r="C21" s="35"/>
      <c r="D21" s="35">
        <f>SUM(D16:D20)</f>
        <v>9448.8108663348121</v>
      </c>
      <c r="E21" s="73"/>
      <c r="F21" s="35"/>
      <c r="G21" s="35">
        <f>SUM(G16:G20)</f>
        <v>9620.4234359260645</v>
      </c>
      <c r="H21" s="35">
        <f t="shared" si="2"/>
        <v>171.6125695912524</v>
      </c>
      <c r="I21" s="36">
        <f t="shared" si="3"/>
        <v>1.8162345719363607E-2</v>
      </c>
      <c r="J21" s="111">
        <f t="shared" si="0"/>
        <v>3.8450367613347899E-2</v>
      </c>
    </row>
    <row r="22" spans="1:10" x14ac:dyDescent="0.2">
      <c r="A22" s="107" t="s">
        <v>40</v>
      </c>
      <c r="B22" s="73">
        <f>B5</f>
        <v>3091</v>
      </c>
      <c r="C22" s="78">
        <f>VLOOKUP($B$3,'Data for Bill Impacts'!$A$3:$Y$15,15,0)</f>
        <v>3.4866480000000002</v>
      </c>
      <c r="D22" s="22">
        <f>B22*C22</f>
        <v>10777.228968000001</v>
      </c>
      <c r="E22" s="73">
        <f t="shared" si="4"/>
        <v>3091</v>
      </c>
      <c r="F22" s="126">
        <f>VLOOKUP($B$3,'Data for Bill Impacts'!$A$3:$Y$15,24,0)</f>
        <v>3.4866480000000002</v>
      </c>
      <c r="G22" s="22">
        <f>E22*F22</f>
        <v>10777.228968000001</v>
      </c>
      <c r="H22" s="22">
        <f t="shared" si="2"/>
        <v>0</v>
      </c>
      <c r="I22" s="23">
        <f t="shared" si="3"/>
        <v>0</v>
      </c>
      <c r="J22" s="125">
        <f t="shared" si="0"/>
        <v>4.3073822938536066E-2</v>
      </c>
    </row>
    <row r="23" spans="1:10" s="1" customFormat="1" x14ac:dyDescent="0.2">
      <c r="A23" s="107" t="s">
        <v>41</v>
      </c>
      <c r="B23" s="73">
        <f>B5</f>
        <v>3091</v>
      </c>
      <c r="C23" s="126">
        <f>VLOOKUP($B$3,'Data for Bill Impacts'!$A$3:$Y$15,16,0)</f>
        <v>2.6021643999999999</v>
      </c>
      <c r="D23" s="22">
        <f>B23*C23</f>
        <v>8043.2901603999999</v>
      </c>
      <c r="E23" s="73">
        <f t="shared" si="4"/>
        <v>3091</v>
      </c>
      <c r="F23" s="126">
        <f>VLOOKUP($B$3,'Data for Bill Impacts'!$A$3:$Y$15,25,0)</f>
        <v>2.6021643999999999</v>
      </c>
      <c r="G23" s="22">
        <f>E23*F23</f>
        <v>8043.2901603999999</v>
      </c>
      <c r="H23" s="22">
        <f t="shared" si="2"/>
        <v>0</v>
      </c>
      <c r="I23" s="23">
        <f t="shared" si="3"/>
        <v>0</v>
      </c>
      <c r="J23" s="125">
        <f t="shared" si="0"/>
        <v>3.2146969990249068E-2</v>
      </c>
    </row>
    <row r="24" spans="1:10" x14ac:dyDescent="0.2">
      <c r="A24" s="110" t="s">
        <v>76</v>
      </c>
      <c r="B24" s="74"/>
      <c r="C24" s="35"/>
      <c r="D24" s="35">
        <f>SUM(D22:D23)</f>
        <v>18820.519128400003</v>
      </c>
      <c r="E24" s="73"/>
      <c r="F24" s="35"/>
      <c r="G24" s="35">
        <f>SUM(G22:G23)</f>
        <v>18820.519128400003</v>
      </c>
      <c r="H24" s="35">
        <f t="shared" si="2"/>
        <v>0</v>
      </c>
      <c r="I24" s="36">
        <f t="shared" si="3"/>
        <v>0</v>
      </c>
      <c r="J24" s="111">
        <f t="shared" si="0"/>
        <v>7.5220792928785141E-2</v>
      </c>
    </row>
    <row r="25" spans="1:10" s="1" customFormat="1" x14ac:dyDescent="0.2">
      <c r="A25" s="110" t="s">
        <v>80</v>
      </c>
      <c r="B25" s="74"/>
      <c r="C25" s="35"/>
      <c r="D25" s="35">
        <f>D21+D24</f>
        <v>28269.329994734813</v>
      </c>
      <c r="E25" s="73"/>
      <c r="F25" s="35"/>
      <c r="G25" s="35">
        <f>G21+G24</f>
        <v>28440.942564326069</v>
      </c>
      <c r="H25" s="35">
        <f t="shared" si="2"/>
        <v>171.61256959125603</v>
      </c>
      <c r="I25" s="36">
        <f t="shared" si="3"/>
        <v>6.0706274122244502E-3</v>
      </c>
      <c r="J25" s="111">
        <f t="shared" si="0"/>
        <v>0.11367116054213304</v>
      </c>
    </row>
    <row r="26" spans="1:10" x14ac:dyDescent="0.2">
      <c r="A26" s="107" t="s">
        <v>42</v>
      </c>
      <c r="B26" s="73">
        <f>B9</f>
        <v>1655471.2240000002</v>
      </c>
      <c r="C26" s="34">
        <v>3.5999999999999999E-3</v>
      </c>
      <c r="D26" s="22">
        <f>B26*C26</f>
        <v>5959.6964064000003</v>
      </c>
      <c r="E26" s="73">
        <f t="shared" si="4"/>
        <v>1655471.2240000002</v>
      </c>
      <c r="F26" s="34">
        <v>3.5999999999999999E-3</v>
      </c>
      <c r="G26" s="22">
        <f>E26*F26</f>
        <v>5959.6964064000003</v>
      </c>
      <c r="H26" s="22">
        <f t="shared" si="2"/>
        <v>0</v>
      </c>
      <c r="I26" s="23">
        <f t="shared" si="3"/>
        <v>0</v>
      </c>
      <c r="J26" s="125">
        <f t="shared" si="0"/>
        <v>2.3819379595527143E-2</v>
      </c>
    </row>
    <row r="27" spans="1:10" x14ac:dyDescent="0.2">
      <c r="A27" s="107" t="s">
        <v>43</v>
      </c>
      <c r="B27" s="73">
        <f>B9</f>
        <v>1655471.2240000002</v>
      </c>
      <c r="C27" s="34">
        <v>2.0999999999999999E-3</v>
      </c>
      <c r="D27" s="22">
        <f>B27*C27</f>
        <v>3476.4895704</v>
      </c>
      <c r="E27" s="73">
        <f t="shared" si="4"/>
        <v>1655471.2240000002</v>
      </c>
      <c r="F27" s="34">
        <v>2.0999999999999999E-3</v>
      </c>
      <c r="G27" s="22">
        <f>E27*F27</f>
        <v>3476.4895704</v>
      </c>
      <c r="H27" s="22">
        <f>G27-D27</f>
        <v>0</v>
      </c>
      <c r="I27" s="23">
        <f t="shared" si="3"/>
        <v>0</v>
      </c>
      <c r="J27" s="125">
        <f t="shared" si="0"/>
        <v>1.3894638097390832E-2</v>
      </c>
    </row>
    <row r="28" spans="1:10" x14ac:dyDescent="0.2">
      <c r="A28" s="107" t="s">
        <v>96</v>
      </c>
      <c r="B28" s="73">
        <f>B9</f>
        <v>1655471.2240000002</v>
      </c>
      <c r="C28" s="34">
        <v>1.1000000000000001E-3</v>
      </c>
      <c r="D28" s="22">
        <f>B28*C28</f>
        <v>1821.0183464000004</v>
      </c>
      <c r="E28" s="73">
        <f t="shared" si="4"/>
        <v>1655471.2240000002</v>
      </c>
      <c r="F28" s="34">
        <v>1.1000000000000001E-3</v>
      </c>
      <c r="G28" s="22">
        <f>E28*F28</f>
        <v>1821.0183464000004</v>
      </c>
      <c r="H28" s="22">
        <f>G28-D28</f>
        <v>0</v>
      </c>
      <c r="I28" s="23">
        <f t="shared" ref="I28" si="7">IF(ISERROR(H28/D28),0,(H28/D28))</f>
        <v>0</v>
      </c>
      <c r="J28" s="125">
        <f t="shared" ref="J28" si="8">G28/$G$36</f>
        <v>7.2781437652999614E-3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9.9918594720479314E-7</v>
      </c>
    </row>
    <row r="30" spans="1:10" x14ac:dyDescent="0.2">
      <c r="A30" s="110" t="s">
        <v>45</v>
      </c>
      <c r="B30" s="74"/>
      <c r="C30" s="35"/>
      <c r="D30" s="35">
        <f>SUM(D26:D29)</f>
        <v>11257.4543232</v>
      </c>
      <c r="E30" s="73"/>
      <c r="F30" s="35"/>
      <c r="G30" s="35">
        <f>SUM(G26:G29)</f>
        <v>11257.4543232</v>
      </c>
      <c r="H30" s="35">
        <f t="shared" si="2"/>
        <v>0</v>
      </c>
      <c r="I30" s="36">
        <f t="shared" si="3"/>
        <v>0</v>
      </c>
      <c r="J30" s="111">
        <f t="shared" si="9"/>
        <v>4.4993160644165135E-2</v>
      </c>
    </row>
    <row r="31" spans="1:10" ht="13.5" thickBot="1" x14ac:dyDescent="0.25">
      <c r="A31" s="112" t="s">
        <v>46</v>
      </c>
      <c r="B31" s="113">
        <f>B4</f>
        <v>1601036</v>
      </c>
      <c r="C31" s="114">
        <v>7.0000000000000001E-3</v>
      </c>
      <c r="D31" s="115">
        <f>B31*C31</f>
        <v>11207.252</v>
      </c>
      <c r="E31" s="116">
        <f t="shared" si="4"/>
        <v>1601036</v>
      </c>
      <c r="F31" s="114">
        <f>C31</f>
        <v>7.0000000000000001E-3</v>
      </c>
      <c r="G31" s="115">
        <f>E31*F31</f>
        <v>11207.252</v>
      </c>
      <c r="H31" s="115">
        <f t="shared" si="2"/>
        <v>0</v>
      </c>
      <c r="I31" s="117">
        <f t="shared" si="3"/>
        <v>0</v>
      </c>
      <c r="J31" s="118">
        <f t="shared" si="9"/>
        <v>4.4792514820731252E-2</v>
      </c>
    </row>
    <row r="32" spans="1:10" x14ac:dyDescent="0.2">
      <c r="A32" s="37" t="s">
        <v>111</v>
      </c>
      <c r="B32" s="38"/>
      <c r="C32" s="39"/>
      <c r="D32" s="39">
        <f>SUM(D15,D21,D24,D30,D31)</f>
        <v>221247.57238993482</v>
      </c>
      <c r="E32" s="38"/>
      <c r="F32" s="39"/>
      <c r="G32" s="39">
        <f>SUM(G15,G21,G24,G30,G31)</f>
        <v>221419.18495952609</v>
      </c>
      <c r="H32" s="39">
        <f t="shared" si="2"/>
        <v>171.61256959126331</v>
      </c>
      <c r="I32" s="40">
        <f>IF(ISERROR(H32/D32),0,(H32/D32))</f>
        <v>7.756585427694864E-4</v>
      </c>
      <c r="J32" s="41">
        <f t="shared" si="9"/>
        <v>0.88495575221238942</v>
      </c>
    </row>
    <row r="33" spans="1:10" x14ac:dyDescent="0.2">
      <c r="A33" s="46" t="s">
        <v>102</v>
      </c>
      <c r="B33" s="43"/>
      <c r="C33" s="26">
        <v>0.13</v>
      </c>
      <c r="D33" s="26">
        <f>D32*C33</f>
        <v>28762.184410691527</v>
      </c>
      <c r="E33" s="26"/>
      <c r="F33" s="26">
        <f>C33</f>
        <v>0.13</v>
      </c>
      <c r="G33" s="26">
        <f>G32*F33</f>
        <v>28784.494044738392</v>
      </c>
      <c r="H33" s="26">
        <f t="shared" si="2"/>
        <v>22.30963404686554</v>
      </c>
      <c r="I33" s="44">
        <f t="shared" ref="I33:I36" si="10">IF(ISERROR(H33/D33),0,(H33/D33))</f>
        <v>7.7565854276953194E-4</v>
      </c>
      <c r="J33" s="45">
        <f t="shared" si="9"/>
        <v>0.11504424778761063</v>
      </c>
    </row>
    <row r="34" spans="1:10" x14ac:dyDescent="0.2">
      <c r="A34" s="46" t="s">
        <v>103</v>
      </c>
      <c r="B34" s="24"/>
      <c r="C34" s="25"/>
      <c r="D34" s="25">
        <f>SUM(D32:D33)</f>
        <v>250009.75680062635</v>
      </c>
      <c r="E34" s="25"/>
      <c r="F34" s="25"/>
      <c r="G34" s="25">
        <f>SUM(G32:G33)</f>
        <v>250203.67900426447</v>
      </c>
      <c r="H34" s="25">
        <f t="shared" si="2"/>
        <v>193.92220363812521</v>
      </c>
      <c r="I34" s="27">
        <f t="shared" si="10"/>
        <v>7.7565854276947718E-4</v>
      </c>
      <c r="J34" s="47">
        <f t="shared" si="9"/>
        <v>1</v>
      </c>
    </row>
    <row r="35" spans="1:10" x14ac:dyDescent="0.2">
      <c r="A35" s="46" t="s">
        <v>104</v>
      </c>
      <c r="B35" s="43"/>
      <c r="C35" s="26">
        <v>0</v>
      </c>
      <c r="D35" s="26">
        <f>D32*C35</f>
        <v>0</v>
      </c>
      <c r="E35" s="26"/>
      <c r="F35" s="26">
        <v>0</v>
      </c>
      <c r="G35" s="26">
        <f>G32*F35</f>
        <v>0</v>
      </c>
      <c r="H35" s="26">
        <f t="shared" si="2"/>
        <v>0</v>
      </c>
      <c r="I35" s="44">
        <f t="shared" si="10"/>
        <v>0</v>
      </c>
      <c r="J35" s="45">
        <f t="shared" si="9"/>
        <v>0</v>
      </c>
    </row>
    <row r="36" spans="1:10" ht="13.5" thickBot="1" x14ac:dyDescent="0.25">
      <c r="A36" s="46" t="s">
        <v>105</v>
      </c>
      <c r="B36" s="49"/>
      <c r="C36" s="50"/>
      <c r="D36" s="50">
        <f>SUM(D34:D35)</f>
        <v>250009.75680062635</v>
      </c>
      <c r="E36" s="50"/>
      <c r="F36" s="50"/>
      <c r="G36" s="50">
        <f>SUM(G34:G35)</f>
        <v>250203.67900426447</v>
      </c>
      <c r="H36" s="50">
        <f t="shared" si="2"/>
        <v>193.92220363812521</v>
      </c>
      <c r="I36" s="51">
        <f t="shared" si="10"/>
        <v>7.7565854276947718E-4</v>
      </c>
      <c r="J36" s="52">
        <f t="shared" si="9"/>
        <v>1</v>
      </c>
    </row>
    <row r="37" spans="1:10" x14ac:dyDescent="0.2">
      <c r="A37" s="170"/>
      <c r="F37" s="69"/>
    </row>
    <row r="38" spans="1:10" x14ac:dyDescent="0.2">
      <c r="A38" s="171"/>
      <c r="F38" s="69"/>
    </row>
    <row r="39" spans="1:10" x14ac:dyDescent="0.2">
      <c r="A39" s="171"/>
    </row>
    <row r="40" spans="1:10" x14ac:dyDescent="0.2">
      <c r="A40" s="171"/>
    </row>
    <row r="41" spans="1:10" x14ac:dyDescent="0.2">
      <c r="A41" s="171"/>
    </row>
    <row r="42" spans="1:10" x14ac:dyDescent="0.2">
      <c r="A42" s="171"/>
    </row>
    <row r="43" spans="1:10" x14ac:dyDescent="0.2">
      <c r="A43" s="171"/>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1" tint="0.499984740745262"/>
    <pageSetUpPr fitToPage="1"/>
  </sheetPr>
  <dimension ref="A1:J43"/>
  <sheetViews>
    <sheetView tabSelected="1" view="pageBreakPreview" topLeftCell="A13" zoomScaleNormal="100" zoomScaleSheetLayoutView="100" workbookViewId="0">
      <selection activeCell="C3" sqref="C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120</v>
      </c>
      <c r="B1" s="188"/>
      <c r="C1" s="188"/>
      <c r="D1" s="188"/>
      <c r="E1" s="188"/>
      <c r="F1" s="188"/>
      <c r="G1" s="188"/>
      <c r="H1" s="188"/>
      <c r="I1" s="188"/>
      <c r="J1" s="189"/>
    </row>
    <row r="3" spans="1:10" x14ac:dyDescent="0.2">
      <c r="A3" s="13" t="s">
        <v>13</v>
      </c>
      <c r="B3" s="13" t="s">
        <v>11</v>
      </c>
    </row>
    <row r="4" spans="1:10" x14ac:dyDescent="0.2">
      <c r="A4" s="15" t="s">
        <v>62</v>
      </c>
      <c r="B4" s="79">
        <v>4000000</v>
      </c>
    </row>
    <row r="5" spans="1:10" x14ac:dyDescent="0.2">
      <c r="A5" s="15" t="s">
        <v>16</v>
      </c>
      <c r="B5" s="79">
        <v>10000</v>
      </c>
    </row>
    <row r="6" spans="1:10" x14ac:dyDescent="0.2">
      <c r="A6" s="15" t="s">
        <v>20</v>
      </c>
      <c r="B6" s="80">
        <f>VLOOKUP($B$3,'Data for Bill Impacts'!$A$3:$Y$15,2,0)</f>
        <v>1.034</v>
      </c>
    </row>
    <row r="7" spans="1:10" x14ac:dyDescent="0.2">
      <c r="A7" s="81" t="s">
        <v>48</v>
      </c>
      <c r="B7" s="82">
        <f>B4/(B5*730)</f>
        <v>0.54794520547945202</v>
      </c>
    </row>
    <row r="8" spans="1:10" x14ac:dyDescent="0.2">
      <c r="A8" s="15" t="s">
        <v>15</v>
      </c>
      <c r="B8" s="79">
        <f>VLOOKUP($B$3,'Data for Bill Impacts'!$A$3:$Y$15,4,0)</f>
        <v>0</v>
      </c>
    </row>
    <row r="9" spans="1:10" x14ac:dyDescent="0.2">
      <c r="A9" s="15" t="s">
        <v>82</v>
      </c>
      <c r="B9" s="79">
        <f>B4*B6</f>
        <v>4136000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4136000</v>
      </c>
      <c r="C13" s="103">
        <v>0.10299999999999999</v>
      </c>
      <c r="D13" s="104">
        <f>B13*C13</f>
        <v>426008</v>
      </c>
      <c r="E13" s="102">
        <f>B13</f>
        <v>4136000</v>
      </c>
      <c r="F13" s="103">
        <f>C13</f>
        <v>0.10299999999999999</v>
      </c>
      <c r="G13" s="104">
        <f>E13*F13</f>
        <v>426008</v>
      </c>
      <c r="H13" s="104">
        <f>G13-D13</f>
        <v>0</v>
      </c>
      <c r="I13" s="105">
        <f>IF(ISERROR(H13/D13),0,(H13/D13))</f>
        <v>0</v>
      </c>
      <c r="J13" s="124">
        <f t="shared" ref="J13:J27" si="0">G13/$G$36</f>
        <v>0.6625515689374728</v>
      </c>
    </row>
    <row r="14" spans="1:10" x14ac:dyDescent="0.2">
      <c r="A14" s="107" t="s">
        <v>32</v>
      </c>
      <c r="B14" s="73">
        <v>0</v>
      </c>
      <c r="C14" s="21">
        <v>0.121</v>
      </c>
      <c r="D14" s="22">
        <f>B14*C14</f>
        <v>0</v>
      </c>
      <c r="E14" s="73">
        <f t="shared" ref="E14" si="1">B14</f>
        <v>0</v>
      </c>
      <c r="F14" s="21">
        <f>C14</f>
        <v>0.121</v>
      </c>
      <c r="G14" s="22">
        <f>E14*F14</f>
        <v>0</v>
      </c>
      <c r="H14" s="22">
        <f t="shared" ref="H14:H36" si="2">G14-D14</f>
        <v>0</v>
      </c>
      <c r="I14" s="23">
        <f t="shared" ref="I14:I31" si="3">IF(ISERROR(H14/D14),0,(H14/D14))</f>
        <v>0</v>
      </c>
      <c r="J14" s="125">
        <f t="shared" si="0"/>
        <v>0</v>
      </c>
    </row>
    <row r="15" spans="1:10" s="1" customFormat="1" x14ac:dyDescent="0.2">
      <c r="A15" s="46" t="s">
        <v>33</v>
      </c>
      <c r="B15" s="24"/>
      <c r="C15" s="25"/>
      <c r="D15" s="25">
        <f>SUM(D13:D14)</f>
        <v>426008</v>
      </c>
      <c r="E15" s="76"/>
      <c r="F15" s="25"/>
      <c r="G15" s="25">
        <f>SUM(G13:G14)</f>
        <v>426008</v>
      </c>
      <c r="H15" s="25">
        <f t="shared" si="2"/>
        <v>0</v>
      </c>
      <c r="I15" s="27">
        <f t="shared" si="3"/>
        <v>0</v>
      </c>
      <c r="J15" s="47">
        <f t="shared" si="0"/>
        <v>0.6625515689374728</v>
      </c>
    </row>
    <row r="16" spans="1:10" s="1" customFormat="1" x14ac:dyDescent="0.2">
      <c r="A16" s="107" t="s">
        <v>38</v>
      </c>
      <c r="B16" s="73">
        <v>1</v>
      </c>
      <c r="C16" s="78">
        <f>VLOOKUP($B$3,'Data for Bill Impacts'!$A$3:$Y$15,7,0)</f>
        <v>1226.6300000000001</v>
      </c>
      <c r="D16" s="22">
        <f>B16*C16</f>
        <v>1226.6300000000001</v>
      </c>
      <c r="E16" s="73">
        <f t="shared" ref="E16:E31" si="4">B16</f>
        <v>1</v>
      </c>
      <c r="F16" s="78">
        <f>VLOOKUP($B$3,'Data for Bill Impacts'!$A$3:$Y$15,17,0)</f>
        <v>1256.8800000000001</v>
      </c>
      <c r="G16" s="22">
        <f>E16*F16</f>
        <v>1256.8800000000001</v>
      </c>
      <c r="H16" s="22">
        <f t="shared" si="2"/>
        <v>30.25</v>
      </c>
      <c r="I16" s="23">
        <f t="shared" si="3"/>
        <v>2.4661063238303315E-2</v>
      </c>
      <c r="J16" s="125">
        <f t="shared" si="0"/>
        <v>1.9547703704299703E-3</v>
      </c>
    </row>
    <row r="17" spans="1:10" x14ac:dyDescent="0.2">
      <c r="A17" s="107" t="s">
        <v>85</v>
      </c>
      <c r="B17" s="73">
        <v>1</v>
      </c>
      <c r="C17" s="78">
        <f>VLOOKUP($B$3,'Data for Bill Impacts'!$A$3:$Y$15,13,0)</f>
        <v>3.83</v>
      </c>
      <c r="D17" s="22">
        <f t="shared" ref="D17" si="5">B17*C17</f>
        <v>3.83</v>
      </c>
      <c r="E17" s="73">
        <f t="shared" si="4"/>
        <v>1</v>
      </c>
      <c r="F17" s="78">
        <f>VLOOKUP($B$3,'Data for Bill Impacts'!$A$3:$Y$15,22,0)</f>
        <v>3.83</v>
      </c>
      <c r="G17" s="22">
        <f t="shared" ref="G17" si="6">E17*F17</f>
        <v>3.83</v>
      </c>
      <c r="H17" s="22">
        <f t="shared" si="2"/>
        <v>0</v>
      </c>
      <c r="I17" s="23">
        <f t="shared" si="3"/>
        <v>0</v>
      </c>
      <c r="J17" s="125">
        <f t="shared" si="0"/>
        <v>5.9566311173276577E-6</v>
      </c>
    </row>
    <row r="18" spans="1:10" x14ac:dyDescent="0.2">
      <c r="A18" s="107" t="s">
        <v>39</v>
      </c>
      <c r="B18" s="73">
        <f>IF($B$10="kWh",$B$4,$B$5)</f>
        <v>10000</v>
      </c>
      <c r="C18" s="78">
        <f>VLOOKUP($B$3,'Data for Bill Impacts'!$A$3:$Y$15,10,0)</f>
        <v>1.3683020513538697</v>
      </c>
      <c r="D18" s="22">
        <f>B18*C18</f>
        <v>13683.020513538697</v>
      </c>
      <c r="E18" s="73">
        <f t="shared" si="4"/>
        <v>10000</v>
      </c>
      <c r="F18" s="78">
        <f>VLOOKUP($B$3,'Data for Bill Impacts'!$A$3:$Y$15,19,0)</f>
        <v>1.4140356552332787</v>
      </c>
      <c r="G18" s="22">
        <f>E18*F18</f>
        <v>14140.356552332787</v>
      </c>
      <c r="H18" s="22">
        <f t="shared" si="2"/>
        <v>457.3360387940902</v>
      </c>
      <c r="I18" s="23">
        <f t="shared" si="3"/>
        <v>3.3423617127634794E-2</v>
      </c>
      <c r="J18" s="125">
        <f t="shared" si="0"/>
        <v>2.1991876723168019E-2</v>
      </c>
    </row>
    <row r="19" spans="1:10" s="1" customFormat="1" x14ac:dyDescent="0.2">
      <c r="A19" s="107" t="s">
        <v>121</v>
      </c>
      <c r="B19" s="73">
        <f>IF($B$10="kWh",$B$4,$B$5)</f>
        <v>10000</v>
      </c>
      <c r="C19" s="126">
        <f>VLOOKUP($B$3,'Data for Bill Impacts'!$A$3:$Y$15,14,0)</f>
        <v>0.27289999999999998</v>
      </c>
      <c r="D19" s="22">
        <f>B19*C19</f>
        <v>2728.9999999999995</v>
      </c>
      <c r="E19" s="73">
        <f>B19</f>
        <v>10000</v>
      </c>
      <c r="F19" s="126">
        <f>VLOOKUP($B$3,'Data for Bill Impacts'!$A$3:$Y$15,23,0)</f>
        <v>0.27289999999999998</v>
      </c>
      <c r="G19" s="22">
        <f>E19*F19</f>
        <v>2728.9999999999995</v>
      </c>
      <c r="H19" s="22">
        <f>G19-D19</f>
        <v>0</v>
      </c>
      <c r="I19" s="23">
        <f>IF(ISERROR(H19/D19),0,(H19/D19))</f>
        <v>0</v>
      </c>
      <c r="J19" s="125">
        <f t="shared" si="0"/>
        <v>4.2442940781167561E-3</v>
      </c>
    </row>
    <row r="20" spans="1:10" s="1" customFormat="1" x14ac:dyDescent="0.2">
      <c r="A20" s="107" t="s">
        <v>108</v>
      </c>
      <c r="B20" s="73">
        <f>B9</f>
        <v>4136000</v>
      </c>
      <c r="C20" s="126">
        <f>VLOOKUP($B$3,'Data for Bill Impacts'!$A$3:$Y$15,20,0)</f>
        <v>1.9E-3</v>
      </c>
      <c r="D20" s="22">
        <f>B20*C20</f>
        <v>7858.4</v>
      </c>
      <c r="E20" s="73">
        <f t="shared" si="4"/>
        <v>4136000</v>
      </c>
      <c r="F20" s="78">
        <f>VLOOKUP($B$3,'Data for Bill Impacts'!$A$3:$Y$15,21,0)</f>
        <v>1.9E-3</v>
      </c>
      <c r="G20" s="22">
        <f>E20*F20</f>
        <v>7858.4</v>
      </c>
      <c r="H20" s="22">
        <f t="shared" si="2"/>
        <v>0</v>
      </c>
      <c r="I20" s="23">
        <f>IF(ISERROR(H20/D20),0,(H20/D20))</f>
        <v>0</v>
      </c>
      <c r="J20" s="125">
        <f t="shared" si="0"/>
        <v>1.2221825058069886E-2</v>
      </c>
    </row>
    <row r="21" spans="1:10" x14ac:dyDescent="0.2">
      <c r="A21" s="110" t="s">
        <v>93</v>
      </c>
      <c r="B21" s="74"/>
      <c r="C21" s="35"/>
      <c r="D21" s="35">
        <f>SUM(D16:D20)</f>
        <v>25500.880513538694</v>
      </c>
      <c r="E21" s="73"/>
      <c r="F21" s="35"/>
      <c r="G21" s="35">
        <f>SUM(G16:G20)</f>
        <v>25988.466552332786</v>
      </c>
      <c r="H21" s="35">
        <f t="shared" si="2"/>
        <v>487.58603879409202</v>
      </c>
      <c r="I21" s="36">
        <f t="shared" si="3"/>
        <v>1.9120360904213769E-2</v>
      </c>
      <c r="J21" s="111">
        <f t="shared" si="0"/>
        <v>4.0418722860901958E-2</v>
      </c>
    </row>
    <row r="22" spans="1:10" x14ac:dyDescent="0.2">
      <c r="A22" s="107" t="s">
        <v>40</v>
      </c>
      <c r="B22" s="73">
        <f>B5</f>
        <v>10000</v>
      </c>
      <c r="C22" s="126">
        <f>VLOOKUP($B$3,'Data for Bill Impacts'!$A$3:$Y$15,15,0)</f>
        <v>3.4866480000000002</v>
      </c>
      <c r="D22" s="22">
        <f>B22*C22</f>
        <v>34866.480000000003</v>
      </c>
      <c r="E22" s="73">
        <f t="shared" si="4"/>
        <v>10000</v>
      </c>
      <c r="F22" s="126">
        <f>VLOOKUP($B$3,'Data for Bill Impacts'!$A$3:$Y$15,24,0)</f>
        <v>3.4866480000000002</v>
      </c>
      <c r="G22" s="22">
        <f>E22*F22</f>
        <v>34866.480000000003</v>
      </c>
      <c r="H22" s="22">
        <f t="shared" si="2"/>
        <v>0</v>
      </c>
      <c r="I22" s="23">
        <f t="shared" si="3"/>
        <v>0</v>
      </c>
      <c r="J22" s="125">
        <f t="shared" si="0"/>
        <v>5.4226308020804817E-2</v>
      </c>
    </row>
    <row r="23" spans="1:10" s="1" customFormat="1" x14ac:dyDescent="0.2">
      <c r="A23" s="107" t="s">
        <v>41</v>
      </c>
      <c r="B23" s="73">
        <f>B5</f>
        <v>10000</v>
      </c>
      <c r="C23" s="126">
        <f>VLOOKUP($B$3,'Data for Bill Impacts'!$A$3:$Y$15,16,0)</f>
        <v>2.6021643999999999</v>
      </c>
      <c r="D23" s="22">
        <f>B23*C23</f>
        <v>26021.644</v>
      </c>
      <c r="E23" s="73">
        <f t="shared" si="4"/>
        <v>10000</v>
      </c>
      <c r="F23" s="126">
        <f>VLOOKUP($B$3,'Data for Bill Impacts'!$A$3:$Y$15,25,0)</f>
        <v>2.6021643999999999</v>
      </c>
      <c r="G23" s="22">
        <f>E23*F23</f>
        <v>26021.644</v>
      </c>
      <c r="H23" s="22">
        <f t="shared" si="2"/>
        <v>0</v>
      </c>
      <c r="I23" s="23">
        <f t="shared" si="3"/>
        <v>0</v>
      </c>
      <c r="J23" s="125">
        <f t="shared" si="0"/>
        <v>4.0470322290971944E-2</v>
      </c>
    </row>
    <row r="24" spans="1:10" x14ac:dyDescent="0.2">
      <c r="A24" s="110" t="s">
        <v>76</v>
      </c>
      <c r="B24" s="74"/>
      <c r="C24" s="35"/>
      <c r="D24" s="35">
        <f>SUM(D22:D23)</f>
        <v>60888.124000000003</v>
      </c>
      <c r="E24" s="73"/>
      <c r="F24" s="35"/>
      <c r="G24" s="35">
        <f>SUM(G22:G23)</f>
        <v>60888.124000000003</v>
      </c>
      <c r="H24" s="35">
        <f t="shared" si="2"/>
        <v>0</v>
      </c>
      <c r="I24" s="36">
        <f t="shared" si="3"/>
        <v>0</v>
      </c>
      <c r="J24" s="111">
        <f t="shared" si="0"/>
        <v>9.4696630311776761E-2</v>
      </c>
    </row>
    <row r="25" spans="1:10" s="1" customFormat="1" x14ac:dyDescent="0.2">
      <c r="A25" s="110" t="s">
        <v>80</v>
      </c>
      <c r="B25" s="74"/>
      <c r="C25" s="35"/>
      <c r="D25" s="35">
        <f>D21+D24</f>
        <v>86389.004513538704</v>
      </c>
      <c r="E25" s="73"/>
      <c r="F25" s="35"/>
      <c r="G25" s="35">
        <f>G21+G24</f>
        <v>86876.590552332782</v>
      </c>
      <c r="H25" s="35">
        <f t="shared" si="2"/>
        <v>487.58603879407747</v>
      </c>
      <c r="I25" s="36">
        <f t="shared" si="3"/>
        <v>5.6440752100305079E-3</v>
      </c>
      <c r="J25" s="111">
        <f t="shared" si="0"/>
        <v>0.1351153531726787</v>
      </c>
    </row>
    <row r="26" spans="1:10" x14ac:dyDescent="0.2">
      <c r="A26" s="107" t="s">
        <v>42</v>
      </c>
      <c r="B26" s="73">
        <f>B9</f>
        <v>4136000</v>
      </c>
      <c r="C26" s="34">
        <v>3.5999999999999999E-3</v>
      </c>
      <c r="D26" s="22">
        <f>B26*C26</f>
        <v>14889.6</v>
      </c>
      <c r="E26" s="73">
        <f t="shared" si="4"/>
        <v>4136000</v>
      </c>
      <c r="F26" s="34">
        <v>3.5999999999999999E-3</v>
      </c>
      <c r="G26" s="22">
        <f>E26*F26</f>
        <v>14889.6</v>
      </c>
      <c r="H26" s="22">
        <f t="shared" si="2"/>
        <v>0</v>
      </c>
      <c r="I26" s="23">
        <f t="shared" si="3"/>
        <v>0</v>
      </c>
      <c r="J26" s="125">
        <f t="shared" si="0"/>
        <v>2.3157142215290312E-2</v>
      </c>
    </row>
    <row r="27" spans="1:10" x14ac:dyDescent="0.2">
      <c r="A27" s="107" t="s">
        <v>43</v>
      </c>
      <c r="B27" s="73">
        <f>B9</f>
        <v>4136000</v>
      </c>
      <c r="C27" s="34">
        <v>2.0999999999999999E-3</v>
      </c>
      <c r="D27" s="22">
        <f>B27*C27</f>
        <v>8685.6</v>
      </c>
      <c r="E27" s="73">
        <f t="shared" si="4"/>
        <v>4136000</v>
      </c>
      <c r="F27" s="34">
        <v>2.0999999999999999E-3</v>
      </c>
      <c r="G27" s="22">
        <f>E27*F27</f>
        <v>8685.6</v>
      </c>
      <c r="H27" s="22">
        <f>G27-D27</f>
        <v>0</v>
      </c>
      <c r="I27" s="23">
        <f t="shared" si="3"/>
        <v>0</v>
      </c>
      <c r="J27" s="125">
        <f t="shared" si="0"/>
        <v>1.3508332958919348E-2</v>
      </c>
    </row>
    <row r="28" spans="1:10" x14ac:dyDescent="0.2">
      <c r="A28" s="107" t="s">
        <v>96</v>
      </c>
      <c r="B28" s="73">
        <f>B9</f>
        <v>4136000</v>
      </c>
      <c r="C28" s="34">
        <v>1.1000000000000001E-3</v>
      </c>
      <c r="D28" s="22">
        <f>B28*C28</f>
        <v>4549.6000000000004</v>
      </c>
      <c r="E28" s="73">
        <f t="shared" si="4"/>
        <v>4136000</v>
      </c>
      <c r="F28" s="34">
        <v>1.1000000000000001E-3</v>
      </c>
      <c r="G28" s="22">
        <f>E28*F28</f>
        <v>4549.6000000000004</v>
      </c>
      <c r="H28" s="22">
        <f>G28-D28</f>
        <v>0</v>
      </c>
      <c r="I28" s="23">
        <f t="shared" ref="I28" si="7">IF(ISERROR(H28/D28),0,(H28/D28))</f>
        <v>0</v>
      </c>
      <c r="J28" s="125">
        <f t="shared" ref="J28" si="8">G28/$G$36</f>
        <v>7.07579345467204E-3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3.8881404160102207E-7</v>
      </c>
    </row>
    <row r="30" spans="1:10" x14ac:dyDescent="0.2">
      <c r="A30" s="110" t="s">
        <v>45</v>
      </c>
      <c r="B30" s="74"/>
      <c r="C30" s="35"/>
      <c r="D30" s="35">
        <f>SUM(D26:D29)</f>
        <v>28125.050000000003</v>
      </c>
      <c r="E30" s="73"/>
      <c r="F30" s="35"/>
      <c r="G30" s="35">
        <f>SUM(G26:G29)</f>
        <v>28125.050000000003</v>
      </c>
      <c r="H30" s="35">
        <f t="shared" si="2"/>
        <v>0</v>
      </c>
      <c r="I30" s="36">
        <f t="shared" si="3"/>
        <v>0</v>
      </c>
      <c r="J30" s="111">
        <f t="shared" si="9"/>
        <v>4.3741657442923305E-2</v>
      </c>
    </row>
    <row r="31" spans="1:10" ht="13.5" thickBot="1" x14ac:dyDescent="0.25">
      <c r="A31" s="112" t="s">
        <v>46</v>
      </c>
      <c r="B31" s="113">
        <f>B4</f>
        <v>4000000</v>
      </c>
      <c r="C31" s="114">
        <v>7.0000000000000001E-3</v>
      </c>
      <c r="D31" s="115">
        <f>B31*C31</f>
        <v>28000</v>
      </c>
      <c r="E31" s="116">
        <f t="shared" si="4"/>
        <v>4000000</v>
      </c>
      <c r="F31" s="114">
        <f>C31</f>
        <v>7.0000000000000001E-3</v>
      </c>
      <c r="G31" s="115">
        <f>E31*F31</f>
        <v>28000</v>
      </c>
      <c r="H31" s="115">
        <f t="shared" si="2"/>
        <v>0</v>
      </c>
      <c r="I31" s="117">
        <f t="shared" si="3"/>
        <v>0</v>
      </c>
      <c r="J31" s="118">
        <f t="shared" si="9"/>
        <v>4.3547172659314466E-2</v>
      </c>
    </row>
    <row r="32" spans="1:10" x14ac:dyDescent="0.2">
      <c r="A32" s="37" t="s">
        <v>111</v>
      </c>
      <c r="B32" s="38"/>
      <c r="C32" s="39"/>
      <c r="D32" s="39">
        <f>SUM(D15,D21,D24,D30,D31)</f>
        <v>568522.05451353872</v>
      </c>
      <c r="E32" s="38"/>
      <c r="F32" s="39"/>
      <c r="G32" s="39">
        <f>SUM(G15,G21,G24,G30,G31)</f>
        <v>569009.64055233286</v>
      </c>
      <c r="H32" s="39">
        <f t="shared" si="2"/>
        <v>487.58603879413567</v>
      </c>
      <c r="I32" s="40">
        <f>IF(ISERROR(H32/D32),0,(H32/D32))</f>
        <v>8.576378610524499E-4</v>
      </c>
      <c r="J32" s="41">
        <f t="shared" si="9"/>
        <v>0.88495575221238942</v>
      </c>
    </row>
    <row r="33" spans="1:10" x14ac:dyDescent="0.2">
      <c r="A33" s="46" t="s">
        <v>102</v>
      </c>
      <c r="B33" s="43"/>
      <c r="C33" s="26">
        <v>0.13</v>
      </c>
      <c r="D33" s="26">
        <f>D32*C33</f>
        <v>73907.86708676003</v>
      </c>
      <c r="E33" s="26"/>
      <c r="F33" s="26">
        <f>C33</f>
        <v>0.13</v>
      </c>
      <c r="G33" s="26">
        <f>G32*F33</f>
        <v>73971.253271803274</v>
      </c>
      <c r="H33" s="26">
        <f t="shared" si="2"/>
        <v>63.386185043244041</v>
      </c>
      <c r="I33" s="44">
        <f t="shared" ref="I33:I36" si="10">IF(ISERROR(H33/D33),0,(H33/D33))</f>
        <v>8.5763786105253663E-4</v>
      </c>
      <c r="J33" s="45">
        <f t="shared" si="9"/>
        <v>0.11504424778761063</v>
      </c>
    </row>
    <row r="34" spans="1:10" x14ac:dyDescent="0.2">
      <c r="A34" s="46" t="s">
        <v>103</v>
      </c>
      <c r="B34" s="24"/>
      <c r="C34" s="25"/>
      <c r="D34" s="25">
        <f>SUM(D32:D33)</f>
        <v>642429.92160029872</v>
      </c>
      <c r="E34" s="25"/>
      <c r="F34" s="25"/>
      <c r="G34" s="25">
        <f>SUM(G32:G33)</f>
        <v>642980.89382413612</v>
      </c>
      <c r="H34" s="25">
        <f t="shared" si="2"/>
        <v>550.97222383739427</v>
      </c>
      <c r="I34" s="27">
        <f t="shared" si="10"/>
        <v>8.5763786105248253E-4</v>
      </c>
      <c r="J34" s="47">
        <f t="shared" si="9"/>
        <v>1</v>
      </c>
    </row>
    <row r="35" spans="1:10" x14ac:dyDescent="0.2">
      <c r="A35" s="46" t="s">
        <v>104</v>
      </c>
      <c r="B35" s="43"/>
      <c r="C35" s="26">
        <v>0</v>
      </c>
      <c r="D35" s="26">
        <f>D32*C35</f>
        <v>0</v>
      </c>
      <c r="E35" s="26"/>
      <c r="F35" s="26">
        <v>0</v>
      </c>
      <c r="G35" s="26">
        <f>G32*F35</f>
        <v>0</v>
      </c>
      <c r="H35" s="26">
        <f t="shared" si="2"/>
        <v>0</v>
      </c>
      <c r="I35" s="44">
        <f t="shared" si="10"/>
        <v>0</v>
      </c>
      <c r="J35" s="45">
        <f t="shared" si="9"/>
        <v>0</v>
      </c>
    </row>
    <row r="36" spans="1:10" ht="13.5" thickBot="1" x14ac:dyDescent="0.25">
      <c r="A36" s="46" t="s">
        <v>105</v>
      </c>
      <c r="B36" s="49"/>
      <c r="C36" s="50"/>
      <c r="D36" s="50">
        <f>SUM(D34:D35)</f>
        <v>642429.92160029872</v>
      </c>
      <c r="E36" s="50"/>
      <c r="F36" s="50"/>
      <c r="G36" s="50">
        <f>SUM(G34:G35)</f>
        <v>642980.89382413612</v>
      </c>
      <c r="H36" s="50">
        <f t="shared" si="2"/>
        <v>550.97222383739427</v>
      </c>
      <c r="I36" s="51">
        <f t="shared" si="10"/>
        <v>8.5763786105248253E-4</v>
      </c>
      <c r="J36" s="52">
        <f t="shared" si="9"/>
        <v>1</v>
      </c>
    </row>
    <row r="37" spans="1:10" x14ac:dyDescent="0.2">
      <c r="A37" s="170"/>
      <c r="F37" s="69"/>
    </row>
    <row r="38" spans="1:10" x14ac:dyDescent="0.2">
      <c r="A38" s="171"/>
      <c r="F38" s="69"/>
    </row>
    <row r="39" spans="1:10" x14ac:dyDescent="0.2">
      <c r="A39" s="171"/>
    </row>
    <row r="40" spans="1:10" x14ac:dyDescent="0.2">
      <c r="A40" s="171"/>
    </row>
    <row r="41" spans="1:10" x14ac:dyDescent="0.2">
      <c r="A41" s="171"/>
    </row>
    <row r="42" spans="1:10" x14ac:dyDescent="0.2">
      <c r="A42" s="171"/>
    </row>
    <row r="43" spans="1:10" x14ac:dyDescent="0.2">
      <c r="A43" s="171"/>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1" tint="0.499984740745262"/>
    <pageSetUpPr fitToPage="1"/>
  </sheetPr>
  <dimension ref="A1:J48"/>
  <sheetViews>
    <sheetView tabSelected="1" view="pageBreakPreview" topLeftCell="A13"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117</v>
      </c>
      <c r="B1" s="188"/>
      <c r="C1" s="188"/>
      <c r="D1" s="188"/>
      <c r="E1" s="188"/>
      <c r="F1" s="188"/>
      <c r="G1" s="188"/>
      <c r="H1" s="188"/>
      <c r="I1" s="188"/>
      <c r="J1" s="189"/>
    </row>
    <row r="3" spans="1:10" x14ac:dyDescent="0.2">
      <c r="A3" s="13" t="s">
        <v>13</v>
      </c>
      <c r="B3" s="13" t="s">
        <v>12</v>
      </c>
    </row>
    <row r="4" spans="1:10" x14ac:dyDescent="0.2">
      <c r="A4" s="15" t="s">
        <v>62</v>
      </c>
      <c r="B4" s="15">
        <v>100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8">
        <f>B4*B6</f>
        <v>109.2</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100</v>
      </c>
      <c r="C12" s="103">
        <v>0.10299999999999999</v>
      </c>
      <c r="D12" s="104">
        <f>B12*C12</f>
        <v>10.299999999999999</v>
      </c>
      <c r="E12" s="102">
        <f>B12</f>
        <v>100</v>
      </c>
      <c r="F12" s="103">
        <f>C12</f>
        <v>0.10299999999999999</v>
      </c>
      <c r="G12" s="104">
        <f>E12*F12</f>
        <v>10.299999999999999</v>
      </c>
      <c r="H12" s="104">
        <f>G12-D12</f>
        <v>0</v>
      </c>
      <c r="I12" s="105">
        <f>IF(ISERROR(H12/D12),0,(H12/D12))</f>
        <v>0</v>
      </c>
      <c r="J12" s="124">
        <f t="shared" ref="J12:J28" si="0">G12/$G$37</f>
        <v>0.18245029754091943</v>
      </c>
    </row>
    <row r="13" spans="1:10" x14ac:dyDescent="0.2">
      <c r="A13" s="107" t="s">
        <v>32</v>
      </c>
      <c r="B13" s="73">
        <f>IF(B4&gt;B7,(B4)-B7,0)</f>
        <v>0</v>
      </c>
      <c r="C13" s="21">
        <v>0.121</v>
      </c>
      <c r="D13" s="22">
        <f>B13*C13</f>
        <v>0</v>
      </c>
      <c r="E13" s="73">
        <f t="shared" ref="E13" si="1">B13</f>
        <v>0</v>
      </c>
      <c r="F13" s="21">
        <f>C13</f>
        <v>0.121</v>
      </c>
      <c r="G13" s="22">
        <f>E13*F13</f>
        <v>0</v>
      </c>
      <c r="H13" s="22">
        <f t="shared" ref="H13:H37" si="2">G13-D13</f>
        <v>0</v>
      </c>
      <c r="I13" s="23">
        <f t="shared" ref="I13:I37" si="3">IF(ISERROR(H13/D13),0,(H13/D13))</f>
        <v>0</v>
      </c>
      <c r="J13" s="125">
        <f t="shared" si="0"/>
        <v>0</v>
      </c>
    </row>
    <row r="14" spans="1:10" s="1" customFormat="1" x14ac:dyDescent="0.2">
      <c r="A14" s="46" t="s">
        <v>33</v>
      </c>
      <c r="B14" s="24"/>
      <c r="C14" s="25"/>
      <c r="D14" s="25">
        <f>SUM(D12:D13)</f>
        <v>10.299999999999999</v>
      </c>
      <c r="E14" s="76"/>
      <c r="F14" s="25"/>
      <c r="G14" s="25">
        <f>SUM(G12:G13)</f>
        <v>10.299999999999999</v>
      </c>
      <c r="H14" s="25">
        <f t="shared" si="2"/>
        <v>0</v>
      </c>
      <c r="I14" s="27">
        <f t="shared" si="3"/>
        <v>0</v>
      </c>
      <c r="J14" s="47">
        <f t="shared" si="0"/>
        <v>0.18245029754091943</v>
      </c>
    </row>
    <row r="15" spans="1:10" x14ac:dyDescent="0.2">
      <c r="A15" s="107" t="s">
        <v>38</v>
      </c>
      <c r="B15" s="73">
        <v>1</v>
      </c>
      <c r="C15" s="78">
        <f>VLOOKUP($B$3,'Data for Bill Impacts'!$A$3:$Y$15,7,0)</f>
        <v>35.76</v>
      </c>
      <c r="D15" s="22">
        <f>B15*C15</f>
        <v>35.76</v>
      </c>
      <c r="E15" s="73">
        <f t="shared" ref="E15:E32" si="4">B15</f>
        <v>1</v>
      </c>
      <c r="F15" s="78">
        <f>VLOOKUP($B$3,'Data for Bill Impacts'!$A$3:$Y$15,17,0)</f>
        <v>36.880000000000003</v>
      </c>
      <c r="G15" s="22">
        <f>E15*F15</f>
        <v>36.880000000000003</v>
      </c>
      <c r="H15" s="22">
        <f t="shared" si="2"/>
        <v>1.1200000000000045</v>
      </c>
      <c r="I15" s="23">
        <f t="shared" si="3"/>
        <v>3.1319910514541513E-2</v>
      </c>
      <c r="J15" s="125">
        <f t="shared" si="0"/>
        <v>0.65327834692321451</v>
      </c>
    </row>
    <row r="16" spans="1:10" x14ac:dyDescent="0.2">
      <c r="A16" s="107" t="s">
        <v>85</v>
      </c>
      <c r="B16" s="73">
        <v>1</v>
      </c>
      <c r="C16" s="78">
        <f>VLOOKUP($B$3,'Data for Bill Impacts'!$A$3:$Y$15,13,0)</f>
        <v>-0.01</v>
      </c>
      <c r="D16" s="22">
        <f t="shared" ref="D16" si="5">B16*C16</f>
        <v>-0.01</v>
      </c>
      <c r="E16" s="73">
        <f t="shared" si="4"/>
        <v>1</v>
      </c>
      <c r="F16" s="78">
        <f>VLOOKUP($B$3,'Data for Bill Impacts'!$A$3:$Y$15,22,0)</f>
        <v>-0.01</v>
      </c>
      <c r="G16" s="22">
        <f t="shared" ref="G16" si="6">E16*F16</f>
        <v>-0.01</v>
      </c>
      <c r="H16" s="22">
        <f t="shared" si="2"/>
        <v>0</v>
      </c>
      <c r="I16" s="23">
        <f t="shared" si="3"/>
        <v>0</v>
      </c>
      <c r="J16" s="125">
        <f t="shared" si="0"/>
        <v>-1.7713621120477615E-4</v>
      </c>
    </row>
    <row r="17" spans="1:10" x14ac:dyDescent="0.2">
      <c r="A17" s="107" t="s">
        <v>39</v>
      </c>
      <c r="B17" s="73">
        <f>IF($B$9="kWh",$B$4,$B$5)</f>
        <v>100</v>
      </c>
      <c r="C17" s="78">
        <f>VLOOKUP($B$3,'Data for Bill Impacts'!$A$3:$Y$15,10,0)</f>
        <v>2.93E-2</v>
      </c>
      <c r="D17" s="22">
        <f>B17*C17</f>
        <v>2.93</v>
      </c>
      <c r="E17" s="73">
        <f t="shared" si="4"/>
        <v>100</v>
      </c>
      <c r="F17" s="78">
        <f>VLOOKUP($B$3,'Data for Bill Impacts'!$A$3:$Y$15,19,0)</f>
        <v>0.03</v>
      </c>
      <c r="G17" s="22">
        <f>E17*F17</f>
        <v>3</v>
      </c>
      <c r="H17" s="22">
        <f t="shared" si="2"/>
        <v>6.999999999999984E-2</v>
      </c>
      <c r="I17" s="23">
        <f t="shared" si="3"/>
        <v>2.3890784982935096E-2</v>
      </c>
      <c r="J17" s="125">
        <f t="shared" si="0"/>
        <v>5.3140863361432845E-2</v>
      </c>
    </row>
    <row r="18" spans="1:10" s="1" customFormat="1" x14ac:dyDescent="0.2">
      <c r="A18" s="107" t="s">
        <v>121</v>
      </c>
      <c r="B18" s="73">
        <f>IF($B$9="kWh",$B$4,$B$5)</f>
        <v>100</v>
      </c>
      <c r="C18" s="126">
        <f>VLOOKUP($B$3,'Data for Bill Impacts'!$A$3:$Y$15,14,0)</f>
        <v>2.0000000000000001E-4</v>
      </c>
      <c r="D18" s="22">
        <f>B18*C18</f>
        <v>0.02</v>
      </c>
      <c r="E18" s="73">
        <f>B18</f>
        <v>100</v>
      </c>
      <c r="F18" s="126">
        <f>VLOOKUP($B$3,'Data for Bill Impacts'!$A$3:$Y$15,23,0)</f>
        <v>2.0000000000000001E-4</v>
      </c>
      <c r="G18" s="22">
        <f>E18*F18</f>
        <v>0.02</v>
      </c>
      <c r="H18" s="22">
        <f>G18-D18</f>
        <v>0</v>
      </c>
      <c r="I18" s="23">
        <f>IF(ISERROR(H18/D18),0,(H18/D18))</f>
        <v>0</v>
      </c>
      <c r="J18" s="125">
        <f t="shared" si="0"/>
        <v>3.5427242240955231E-4</v>
      </c>
    </row>
    <row r="19" spans="1:10" x14ac:dyDescent="0.2">
      <c r="A19" s="107" t="s">
        <v>108</v>
      </c>
      <c r="B19" s="73">
        <f>B8</f>
        <v>109.2</v>
      </c>
      <c r="C19" s="126">
        <f>VLOOKUP($B$3,'Data for Bill Impacts'!$A$3:$Y$15,20,0)</f>
        <v>0</v>
      </c>
      <c r="D19" s="22">
        <f>B19*C19</f>
        <v>0</v>
      </c>
      <c r="E19" s="73">
        <f t="shared" si="4"/>
        <v>109.2</v>
      </c>
      <c r="F19" s="126">
        <f>VLOOKUP($B$3,'Data for Bill Impacts'!$A$3:$Y$15,21,0)</f>
        <v>0</v>
      </c>
      <c r="G19" s="22">
        <f>E19*F19</f>
        <v>0</v>
      </c>
      <c r="H19" s="22">
        <f t="shared" si="2"/>
        <v>0</v>
      </c>
      <c r="I19" s="23">
        <f>IF(ISERROR(H19/D19),0,(H19/D19))</f>
        <v>0</v>
      </c>
      <c r="J19" s="125">
        <f t="shared" si="0"/>
        <v>0</v>
      </c>
    </row>
    <row r="20" spans="1:10" x14ac:dyDescent="0.2">
      <c r="A20" s="110" t="s">
        <v>72</v>
      </c>
      <c r="B20" s="74"/>
      <c r="C20" s="35"/>
      <c r="D20" s="35">
        <f>SUM(D15:D19)</f>
        <v>38.700000000000003</v>
      </c>
      <c r="E20" s="73"/>
      <c r="F20" s="35"/>
      <c r="G20" s="35">
        <f>SUM(G15:G19)</f>
        <v>39.890000000000008</v>
      </c>
      <c r="H20" s="35">
        <f t="shared" si="2"/>
        <v>1.1900000000000048</v>
      </c>
      <c r="I20" s="36">
        <f t="shared" si="3"/>
        <v>3.0749354005168081E-2</v>
      </c>
      <c r="J20" s="111">
        <f t="shared" si="0"/>
        <v>0.70659634649585223</v>
      </c>
    </row>
    <row r="21" spans="1:10" s="1" customFormat="1" x14ac:dyDescent="0.2">
      <c r="A21" s="119" t="s">
        <v>81</v>
      </c>
      <c r="B21" s="120">
        <f>B8-B4</f>
        <v>9.2000000000000028</v>
      </c>
      <c r="C21" s="121">
        <f>IF(B4&gt;B7,C13,C12)</f>
        <v>0.10299999999999999</v>
      </c>
      <c r="D21" s="22">
        <f>B21*C21</f>
        <v>0.94760000000000022</v>
      </c>
      <c r="E21" s="73">
        <f>B21</f>
        <v>9.2000000000000028</v>
      </c>
      <c r="F21" s="121">
        <f>C21</f>
        <v>0.10299999999999999</v>
      </c>
      <c r="G21" s="22">
        <f>E21*F21</f>
        <v>0.94760000000000022</v>
      </c>
      <c r="H21" s="22">
        <f t="shared" si="2"/>
        <v>0</v>
      </c>
      <c r="I21" s="23">
        <f>IF(ISERROR(H21/D21),0,(H21/D21))</f>
        <v>0</v>
      </c>
      <c r="J21" s="125">
        <f t="shared" si="0"/>
        <v>1.6785427373764594E-2</v>
      </c>
    </row>
    <row r="22" spans="1:10" x14ac:dyDescent="0.2">
      <c r="A22" s="110" t="s">
        <v>79</v>
      </c>
      <c r="B22" s="74"/>
      <c r="C22" s="35"/>
      <c r="D22" s="35">
        <f>SUM(D20,D21:D21)</f>
        <v>39.647600000000004</v>
      </c>
      <c r="E22" s="73"/>
      <c r="F22" s="35"/>
      <c r="G22" s="35">
        <f>SUM(G20,G21:G21)</f>
        <v>40.837600000000009</v>
      </c>
      <c r="H22" s="35">
        <f t="shared" si="2"/>
        <v>1.1900000000000048</v>
      </c>
      <c r="I22" s="36">
        <f>IF(ISERROR(H22/D22),0,(H22/D22))</f>
        <v>3.0014427102775569E-2</v>
      </c>
      <c r="J22" s="111">
        <f t="shared" si="0"/>
        <v>0.72338177386961688</v>
      </c>
    </row>
    <row r="23" spans="1:10" x14ac:dyDescent="0.2">
      <c r="A23" s="107" t="s">
        <v>40</v>
      </c>
      <c r="B23" s="73">
        <f>B8</f>
        <v>109.2</v>
      </c>
      <c r="C23" s="126">
        <f>VLOOKUP($B$3,'Data for Bill Impacts'!$A$3:$Y$15,15,0)</f>
        <v>4.7699999999999999E-3</v>
      </c>
      <c r="D23" s="22">
        <f>B23*C23</f>
        <v>0.52088400000000001</v>
      </c>
      <c r="E23" s="73">
        <f t="shared" si="4"/>
        <v>109.2</v>
      </c>
      <c r="F23" s="126">
        <f>VLOOKUP($B$3,'Data for Bill Impacts'!$A$3:$Y$15,24,0)</f>
        <v>4.7699999999999999E-3</v>
      </c>
      <c r="G23" s="22">
        <f>E23*F23</f>
        <v>0.52088400000000001</v>
      </c>
      <c r="H23" s="22">
        <f t="shared" si="2"/>
        <v>0</v>
      </c>
      <c r="I23" s="23">
        <f t="shared" si="3"/>
        <v>0</v>
      </c>
      <c r="J23" s="125">
        <f t="shared" si="0"/>
        <v>9.2267418237188623E-3</v>
      </c>
    </row>
    <row r="24" spans="1:10" s="1" customFormat="1" x14ac:dyDescent="0.2">
      <c r="A24" s="107" t="s">
        <v>41</v>
      </c>
      <c r="B24" s="73">
        <f>B8</f>
        <v>109.2</v>
      </c>
      <c r="C24" s="126">
        <f>VLOOKUP($B$3,'Data for Bill Impacts'!$A$3:$Y$15,16,0)</f>
        <v>3.7950000000000002E-3</v>
      </c>
      <c r="D24" s="22">
        <f>B24*C24</f>
        <v>0.414414</v>
      </c>
      <c r="E24" s="73">
        <f t="shared" si="4"/>
        <v>109.2</v>
      </c>
      <c r="F24" s="126">
        <f>VLOOKUP($B$3,'Data for Bill Impacts'!$A$3:$Y$15,25,0)</f>
        <v>3.7950000000000002E-3</v>
      </c>
      <c r="G24" s="22">
        <f>E24*F24</f>
        <v>0.414414</v>
      </c>
      <c r="H24" s="22">
        <f t="shared" si="2"/>
        <v>0</v>
      </c>
      <c r="I24" s="23">
        <f t="shared" si="3"/>
        <v>0</v>
      </c>
      <c r="J24" s="125">
        <f t="shared" si="0"/>
        <v>7.3407725830216108E-3</v>
      </c>
    </row>
    <row r="25" spans="1:10" s="1" customFormat="1" x14ac:dyDescent="0.2">
      <c r="A25" s="110" t="s">
        <v>76</v>
      </c>
      <c r="B25" s="74"/>
      <c r="C25" s="35"/>
      <c r="D25" s="35">
        <f>SUM(D23:D24)</f>
        <v>0.93529799999999996</v>
      </c>
      <c r="E25" s="73"/>
      <c r="F25" s="35"/>
      <c r="G25" s="35">
        <f>SUM(G23:G24)</f>
        <v>0.93529799999999996</v>
      </c>
      <c r="H25" s="35">
        <f t="shared" si="2"/>
        <v>0</v>
      </c>
      <c r="I25" s="36">
        <f t="shared" si="3"/>
        <v>0</v>
      </c>
      <c r="J25" s="111">
        <f t="shared" si="0"/>
        <v>1.6567514406740473E-2</v>
      </c>
    </row>
    <row r="26" spans="1:10" s="1" customFormat="1" x14ac:dyDescent="0.2">
      <c r="A26" s="110" t="s">
        <v>80</v>
      </c>
      <c r="B26" s="74"/>
      <c r="C26" s="35"/>
      <c r="D26" s="35">
        <f>D22+D25</f>
        <v>40.582898000000007</v>
      </c>
      <c r="E26" s="73"/>
      <c r="F26" s="35"/>
      <c r="G26" s="35">
        <f>G22+G25</f>
        <v>41.772898000000012</v>
      </c>
      <c r="H26" s="35">
        <f t="shared" si="2"/>
        <v>1.1900000000000048</v>
      </c>
      <c r="I26" s="36">
        <f t="shared" si="3"/>
        <v>2.932269647179964E-2</v>
      </c>
      <c r="J26" s="111">
        <f t="shared" si="0"/>
        <v>0.73994928827635742</v>
      </c>
    </row>
    <row r="27" spans="1:10" x14ac:dyDescent="0.2">
      <c r="A27" s="107" t="s">
        <v>42</v>
      </c>
      <c r="B27" s="73">
        <f>B8</f>
        <v>109.2</v>
      </c>
      <c r="C27" s="34">
        <v>3.5999999999999999E-3</v>
      </c>
      <c r="D27" s="22">
        <f>B27*C27</f>
        <v>0.39312000000000002</v>
      </c>
      <c r="E27" s="73">
        <f t="shared" si="4"/>
        <v>109.2</v>
      </c>
      <c r="F27" s="34">
        <v>3.5999999999999999E-3</v>
      </c>
      <c r="G27" s="22">
        <f>E27*F27</f>
        <v>0.39312000000000002</v>
      </c>
      <c r="H27" s="22">
        <f t="shared" si="2"/>
        <v>0</v>
      </c>
      <c r="I27" s="23">
        <f t="shared" si="3"/>
        <v>0</v>
      </c>
      <c r="J27" s="125">
        <f t="shared" si="0"/>
        <v>6.963578734882161E-3</v>
      </c>
    </row>
    <row r="28" spans="1:10" s="1" customFormat="1" x14ac:dyDescent="0.2">
      <c r="A28" s="107" t="s">
        <v>43</v>
      </c>
      <c r="B28" s="73">
        <f>B8</f>
        <v>109.2</v>
      </c>
      <c r="C28" s="34">
        <v>2.0999999999999999E-3</v>
      </c>
      <c r="D28" s="22">
        <f>B28*C28</f>
        <v>0.22932</v>
      </c>
      <c r="E28" s="73">
        <f t="shared" si="4"/>
        <v>109.2</v>
      </c>
      <c r="F28" s="34">
        <v>2.0999999999999999E-3</v>
      </c>
      <c r="G28" s="22">
        <f>E28*F28</f>
        <v>0.22932</v>
      </c>
      <c r="H28" s="22">
        <f>G28-D28</f>
        <v>0</v>
      </c>
      <c r="I28" s="23">
        <f t="shared" si="3"/>
        <v>0</v>
      </c>
      <c r="J28" s="125">
        <f t="shared" si="0"/>
        <v>4.062087595347927E-3</v>
      </c>
    </row>
    <row r="29" spans="1:10" s="1" customFormat="1" x14ac:dyDescent="0.2">
      <c r="A29" s="107" t="s">
        <v>96</v>
      </c>
      <c r="B29" s="73">
        <f>B8</f>
        <v>109.2</v>
      </c>
      <c r="C29" s="34">
        <v>1.1000000000000001E-3</v>
      </c>
      <c r="D29" s="22">
        <f>B29*C29</f>
        <v>0.12012</v>
      </c>
      <c r="E29" s="73">
        <f t="shared" si="4"/>
        <v>109.2</v>
      </c>
      <c r="F29" s="34">
        <v>1.1000000000000001E-3</v>
      </c>
      <c r="G29" s="22">
        <f>E29*F29</f>
        <v>0.12012</v>
      </c>
      <c r="H29" s="22">
        <f>G29-D29</f>
        <v>0</v>
      </c>
      <c r="I29" s="23">
        <f t="shared" ref="I29" si="7">IF(ISERROR(H29/D29),0,(H29/D29))</f>
        <v>0</v>
      </c>
      <c r="J29" s="125">
        <f t="shared" ref="J29" si="8">G29/$G$37</f>
        <v>2.1277601689917713E-3</v>
      </c>
    </row>
    <row r="30" spans="1:10" x14ac:dyDescent="0.2">
      <c r="A30" s="107" t="s">
        <v>44</v>
      </c>
      <c r="B30" s="73">
        <v>1</v>
      </c>
      <c r="C30" s="22">
        <v>0.25</v>
      </c>
      <c r="D30" s="22">
        <f>B30*C30</f>
        <v>0.25</v>
      </c>
      <c r="E30" s="73">
        <f t="shared" si="4"/>
        <v>1</v>
      </c>
      <c r="F30" s="22">
        <f>C30</f>
        <v>0.25</v>
      </c>
      <c r="G30" s="22">
        <f>E30*F30</f>
        <v>0.25</v>
      </c>
      <c r="H30" s="22">
        <f t="shared" si="2"/>
        <v>0</v>
      </c>
      <c r="I30" s="23">
        <f t="shared" si="3"/>
        <v>0</v>
      </c>
      <c r="J30" s="125">
        <f t="shared" ref="J30:J37" si="9">G30/$G$37</f>
        <v>4.4284052801194041E-3</v>
      </c>
    </row>
    <row r="31" spans="1:10" s="1" customFormat="1" x14ac:dyDescent="0.2">
      <c r="A31" s="110" t="s">
        <v>45</v>
      </c>
      <c r="B31" s="74"/>
      <c r="C31" s="35"/>
      <c r="D31" s="35">
        <f>SUM(D27:D30)</f>
        <v>0.99256</v>
      </c>
      <c r="E31" s="73"/>
      <c r="F31" s="35"/>
      <c r="G31" s="35">
        <f>SUM(G27:G30)</f>
        <v>0.99256</v>
      </c>
      <c r="H31" s="35">
        <f t="shared" si="2"/>
        <v>0</v>
      </c>
      <c r="I31" s="36">
        <f t="shared" si="3"/>
        <v>0</v>
      </c>
      <c r="J31" s="111">
        <f t="shared" si="9"/>
        <v>1.7581831779341261E-2</v>
      </c>
    </row>
    <row r="32" spans="1:10" ht="13.5" thickBot="1" x14ac:dyDescent="0.25">
      <c r="A32" s="112" t="s">
        <v>46</v>
      </c>
      <c r="B32" s="113">
        <f>B4</f>
        <v>100</v>
      </c>
      <c r="C32" s="114">
        <v>7.0000000000000001E-3</v>
      </c>
      <c r="D32" s="115">
        <f>B32*C32</f>
        <v>0.70000000000000007</v>
      </c>
      <c r="E32" s="116">
        <f t="shared" si="4"/>
        <v>100</v>
      </c>
      <c r="F32" s="114">
        <f>C32</f>
        <v>7.0000000000000001E-3</v>
      </c>
      <c r="G32" s="115">
        <f>E32*F32</f>
        <v>0.70000000000000007</v>
      </c>
      <c r="H32" s="115">
        <f t="shared" si="2"/>
        <v>0</v>
      </c>
      <c r="I32" s="117">
        <f t="shared" si="3"/>
        <v>0</v>
      </c>
      <c r="J32" s="118">
        <f t="shared" si="9"/>
        <v>1.2399534784334332E-2</v>
      </c>
    </row>
    <row r="33" spans="1:10" x14ac:dyDescent="0.2">
      <c r="A33" s="37" t="s">
        <v>111</v>
      </c>
      <c r="B33" s="38"/>
      <c r="C33" s="39"/>
      <c r="D33" s="39">
        <f>SUM(D14,D22,D25,D31,D32)</f>
        <v>52.575458000000005</v>
      </c>
      <c r="E33" s="38"/>
      <c r="F33" s="39"/>
      <c r="G33" s="39">
        <f>SUM(G14,G22,G25,G31,G32)</f>
        <v>53.76545800000001</v>
      </c>
      <c r="H33" s="39">
        <f t="shared" si="2"/>
        <v>1.1900000000000048</v>
      </c>
      <c r="I33" s="40">
        <f>IF(ISERROR(H33/D33),0,(H33/D33))</f>
        <v>2.2634134732597188E-2</v>
      </c>
      <c r="J33" s="41">
        <f t="shared" si="9"/>
        <v>0.95238095238095233</v>
      </c>
    </row>
    <row r="34" spans="1:10" x14ac:dyDescent="0.2">
      <c r="A34" s="46" t="s">
        <v>102</v>
      </c>
      <c r="B34" s="43"/>
      <c r="C34" s="26">
        <v>0.13</v>
      </c>
      <c r="D34" s="26">
        <f>D33*C34</f>
        <v>6.8348095400000011</v>
      </c>
      <c r="E34" s="26"/>
      <c r="F34" s="26">
        <f>C34</f>
        <v>0.13</v>
      </c>
      <c r="G34" s="26">
        <f>G33*F34</f>
        <v>6.9895095400000011</v>
      </c>
      <c r="H34" s="26">
        <f t="shared" si="2"/>
        <v>0.15470000000000006</v>
      </c>
      <c r="I34" s="44">
        <f t="shared" si="3"/>
        <v>2.2634134732597105E-2</v>
      </c>
      <c r="J34" s="45">
        <f t="shared" si="9"/>
        <v>0.1238095238095238</v>
      </c>
    </row>
    <row r="35" spans="1:10" x14ac:dyDescent="0.2">
      <c r="A35" s="46" t="s">
        <v>103</v>
      </c>
      <c r="B35" s="24"/>
      <c r="C35" s="25"/>
      <c r="D35" s="25">
        <f>SUM(D33:D34)</f>
        <v>59.410267540000007</v>
      </c>
      <c r="E35" s="25"/>
      <c r="F35" s="25"/>
      <c r="G35" s="25">
        <f>SUM(G33:G34)</f>
        <v>60.75496754000001</v>
      </c>
      <c r="H35" s="25">
        <f t="shared" si="2"/>
        <v>1.3447000000000031</v>
      </c>
      <c r="I35" s="27">
        <f t="shared" si="3"/>
        <v>2.263413473259715E-2</v>
      </c>
      <c r="J35" s="47">
        <f t="shared" si="9"/>
        <v>1.0761904761904761</v>
      </c>
    </row>
    <row r="36" spans="1:10" x14ac:dyDescent="0.2">
      <c r="A36" s="46" t="s">
        <v>104</v>
      </c>
      <c r="B36" s="43"/>
      <c r="C36" s="26">
        <v>-0.08</v>
      </c>
      <c r="D36" s="26">
        <f>D33*C36</f>
        <v>-4.2060366400000007</v>
      </c>
      <c r="E36" s="26"/>
      <c r="F36" s="26">
        <f>C36</f>
        <v>-0.08</v>
      </c>
      <c r="G36" s="26">
        <f>G33*F36</f>
        <v>-4.3012366400000008</v>
      </c>
      <c r="H36" s="26">
        <f t="shared" si="2"/>
        <v>-9.5200000000000173E-2</v>
      </c>
      <c r="I36" s="44">
        <f t="shared" si="3"/>
        <v>2.2634134732597136E-2</v>
      </c>
      <c r="J36" s="45">
        <f t="shared" si="9"/>
        <v>-7.6190476190476197E-2</v>
      </c>
    </row>
    <row r="37" spans="1:10" ht="13.5" thickBot="1" x14ac:dyDescent="0.25">
      <c r="A37" s="48" t="s">
        <v>105</v>
      </c>
      <c r="B37" s="49"/>
      <c r="C37" s="50"/>
      <c r="D37" s="50">
        <f>SUM(D35:D36)</f>
        <v>55.204230900000006</v>
      </c>
      <c r="E37" s="50"/>
      <c r="F37" s="50"/>
      <c r="G37" s="50">
        <f>SUM(G35:G36)</f>
        <v>56.453730900000011</v>
      </c>
      <c r="H37" s="50">
        <f t="shared" si="2"/>
        <v>1.2495000000000047</v>
      </c>
      <c r="I37" s="51">
        <f t="shared" si="3"/>
        <v>2.2634134732597181E-2</v>
      </c>
      <c r="J37" s="52">
        <f t="shared" si="9"/>
        <v>1</v>
      </c>
    </row>
    <row r="38" spans="1:10" x14ac:dyDescent="0.2">
      <c r="A38" s="171"/>
      <c r="D38" s="72"/>
      <c r="F38" s="69"/>
    </row>
    <row r="39" spans="1:10" x14ac:dyDescent="0.2">
      <c r="A39" s="171"/>
      <c r="F39" s="69"/>
    </row>
    <row r="40" spans="1:10" x14ac:dyDescent="0.2">
      <c r="A40" s="172"/>
      <c r="B40" s="71"/>
      <c r="F40" s="69"/>
    </row>
    <row r="41" spans="1:10" x14ac:dyDescent="0.2">
      <c r="A41" s="171"/>
      <c r="B41" s="72"/>
      <c r="D41" s="72"/>
      <c r="F41" s="69"/>
    </row>
    <row r="42" spans="1:10" x14ac:dyDescent="0.2">
      <c r="A42" s="171"/>
      <c r="F42" s="69"/>
    </row>
    <row r="43" spans="1:10" x14ac:dyDescent="0.2">
      <c r="A43" s="171"/>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1" tint="0.499984740745262"/>
    <pageSetUpPr fitToPage="1"/>
  </sheetPr>
  <dimension ref="A1:K68"/>
  <sheetViews>
    <sheetView tabSelected="1" zoomScaleNormal="100" zoomScaleSheetLayoutView="100" workbookViewId="0">
      <selection activeCell="C3" sqref="C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118</v>
      </c>
      <c r="B1" s="188"/>
      <c r="C1" s="188"/>
      <c r="D1" s="188"/>
      <c r="E1" s="188"/>
      <c r="F1" s="188"/>
      <c r="G1" s="188"/>
      <c r="H1" s="188"/>
      <c r="I1" s="188"/>
      <c r="J1" s="188"/>
      <c r="K1" s="189"/>
    </row>
    <row r="3" spans="1:11" x14ac:dyDescent="0.2">
      <c r="A3" s="13" t="s">
        <v>13</v>
      </c>
      <c r="B3" s="13" t="s">
        <v>0</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68">
        <f>B4*B6</f>
        <v>792.75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0.4237289222893349</v>
      </c>
      <c r="K12" s="106"/>
    </row>
    <row r="13" spans="1:11" x14ac:dyDescent="0.2">
      <c r="A13" s="107" t="s">
        <v>32</v>
      </c>
      <c r="B13" s="73">
        <f>IF(B4&gt;B7,(B4)-B7,0)</f>
        <v>150</v>
      </c>
      <c r="C13" s="21">
        <v>0.121</v>
      </c>
      <c r="D13" s="22">
        <f>B13*C13</f>
        <v>18.149999999999999</v>
      </c>
      <c r="E13" s="73">
        <f t="shared" ref="E13" si="0">B13</f>
        <v>150</v>
      </c>
      <c r="F13" s="21">
        <f>C13</f>
        <v>0.121</v>
      </c>
      <c r="G13" s="22">
        <f>E13*F13</f>
        <v>18.149999999999999</v>
      </c>
      <c r="H13" s="22">
        <f t="shared" ref="H13:H46" si="1">G13-D13</f>
        <v>0</v>
      </c>
      <c r="I13" s="23">
        <f t="shared" ref="I13:I46" si="2">IF(ISERROR(H13/D13),0,(H13/D13))</f>
        <v>0</v>
      </c>
      <c r="J13" s="23">
        <f>G13/$G$46</f>
        <v>0.12444465921604253</v>
      </c>
      <c r="K13" s="108"/>
    </row>
    <row r="14" spans="1:11" s="1" customFormat="1" x14ac:dyDescent="0.2">
      <c r="A14" s="46" t="s">
        <v>33</v>
      </c>
      <c r="B14" s="24"/>
      <c r="C14" s="25"/>
      <c r="D14" s="25">
        <f>SUM(D12:D13)</f>
        <v>79.949999999999989</v>
      </c>
      <c r="E14" s="76"/>
      <c r="F14" s="25"/>
      <c r="G14" s="25">
        <f>SUM(G12:G13)</f>
        <v>79.949999999999989</v>
      </c>
      <c r="H14" s="25">
        <f t="shared" si="1"/>
        <v>0</v>
      </c>
      <c r="I14" s="27">
        <f t="shared" si="2"/>
        <v>0</v>
      </c>
      <c r="J14" s="27">
        <f>G14/$G$46</f>
        <v>0.54817358150537732</v>
      </c>
      <c r="K14" s="108"/>
    </row>
    <row r="15" spans="1:11" s="1" customFormat="1" x14ac:dyDescent="0.2">
      <c r="A15" s="109" t="s">
        <v>34</v>
      </c>
      <c r="B15" s="75">
        <f>B4*0.65</f>
        <v>487.5</v>
      </c>
      <c r="C15" s="28">
        <v>8.6999999999999994E-2</v>
      </c>
      <c r="D15" s="22">
        <f>B15*C15</f>
        <v>42.412499999999994</v>
      </c>
      <c r="E15" s="73">
        <f t="shared" ref="E15:F17" si="3">B15</f>
        <v>487.5</v>
      </c>
      <c r="F15" s="28">
        <f t="shared" si="3"/>
        <v>8.6999999999999994E-2</v>
      </c>
      <c r="G15" s="22">
        <f>E15*F15</f>
        <v>42.412499999999994</v>
      </c>
      <c r="H15" s="22">
        <f t="shared" si="1"/>
        <v>0</v>
      </c>
      <c r="I15" s="23">
        <f t="shared" si="2"/>
        <v>0</v>
      </c>
      <c r="J15" s="23"/>
      <c r="K15" s="108">
        <f t="shared" ref="K15:K26" si="4">G15/$G$51</f>
        <v>0.28428758132366744</v>
      </c>
    </row>
    <row r="16" spans="1:11" s="1" customFormat="1" x14ac:dyDescent="0.2">
      <c r="A16" s="109" t="s">
        <v>35</v>
      </c>
      <c r="B16" s="75">
        <f>B4*0.17</f>
        <v>127.50000000000001</v>
      </c>
      <c r="C16" s="28">
        <v>0.13200000000000001</v>
      </c>
      <c r="D16" s="22">
        <f>B16*C16</f>
        <v>16.830000000000002</v>
      </c>
      <c r="E16" s="73">
        <f t="shared" si="3"/>
        <v>127.50000000000001</v>
      </c>
      <c r="F16" s="28">
        <f t="shared" si="3"/>
        <v>0.13200000000000001</v>
      </c>
      <c r="G16" s="22">
        <f>E16*F16</f>
        <v>16.830000000000002</v>
      </c>
      <c r="H16" s="22">
        <f t="shared" si="1"/>
        <v>0</v>
      </c>
      <c r="I16" s="23">
        <f t="shared" si="2"/>
        <v>0</v>
      </c>
      <c r="J16" s="23"/>
      <c r="K16" s="108">
        <f t="shared" si="4"/>
        <v>0.11281013837140758</v>
      </c>
    </row>
    <row r="17" spans="1:11" s="1" customFormat="1" x14ac:dyDescent="0.2">
      <c r="A17" s="109" t="s">
        <v>36</v>
      </c>
      <c r="B17" s="75">
        <f>B4*0.18</f>
        <v>135</v>
      </c>
      <c r="C17" s="28">
        <v>0.18</v>
      </c>
      <c r="D17" s="22">
        <f>B17*C17</f>
        <v>24.3</v>
      </c>
      <c r="E17" s="73">
        <f t="shared" si="3"/>
        <v>135</v>
      </c>
      <c r="F17" s="28">
        <f t="shared" si="3"/>
        <v>0.18</v>
      </c>
      <c r="G17" s="22">
        <f>E17*F17</f>
        <v>24.3</v>
      </c>
      <c r="H17" s="22">
        <f t="shared" si="1"/>
        <v>0</v>
      </c>
      <c r="I17" s="23">
        <f t="shared" si="2"/>
        <v>0</v>
      </c>
      <c r="J17" s="23"/>
      <c r="K17" s="108">
        <f t="shared" si="4"/>
        <v>0.16288094845069542</v>
      </c>
    </row>
    <row r="18" spans="1:11" s="1" customFormat="1" x14ac:dyDescent="0.2">
      <c r="A18" s="61" t="s">
        <v>37</v>
      </c>
      <c r="B18" s="29"/>
      <c r="C18" s="30"/>
      <c r="D18" s="30">
        <f>SUM(D15:D17)</f>
        <v>83.54249999999999</v>
      </c>
      <c r="E18" s="77"/>
      <c r="F18" s="30"/>
      <c r="G18" s="30">
        <f>SUM(G15:G17)</f>
        <v>83.54249999999999</v>
      </c>
      <c r="H18" s="31">
        <f t="shared" si="1"/>
        <v>0</v>
      </c>
      <c r="I18" s="32">
        <f t="shared" si="2"/>
        <v>0</v>
      </c>
      <c r="J18" s="33">
        <f t="shared" ref="J18:J26" si="5">G18/$G$46</f>
        <v>0.57280539628408988</v>
      </c>
      <c r="K18" s="62">
        <f t="shared" si="4"/>
        <v>0.55997866814577035</v>
      </c>
    </row>
    <row r="19" spans="1:11" x14ac:dyDescent="0.2">
      <c r="A19" s="107" t="s">
        <v>38</v>
      </c>
      <c r="B19" s="73">
        <v>1</v>
      </c>
      <c r="C19" s="78">
        <f>VLOOKUP($B$3,'Data for Bill Impacts'!$A$3:$Y$15,7,0)</f>
        <v>31.3</v>
      </c>
      <c r="D19" s="22">
        <f>B19*C19</f>
        <v>31.3</v>
      </c>
      <c r="E19" s="73">
        <f t="shared" ref="E19:E41" si="6">B19</f>
        <v>1</v>
      </c>
      <c r="F19" s="78">
        <f>VLOOKUP($B$3,'Data for Bill Impacts'!$A$3:$Y$15,17,0)</f>
        <v>35.880000000000003</v>
      </c>
      <c r="G19" s="22">
        <f>E19*F19</f>
        <v>35.880000000000003</v>
      </c>
      <c r="H19" s="22">
        <f t="shared" si="1"/>
        <v>4.5800000000000018</v>
      </c>
      <c r="I19" s="23">
        <f t="shared" si="2"/>
        <v>0.14632587859424925</v>
      </c>
      <c r="J19" s="23">
        <f t="shared" si="5"/>
        <v>0.24600960730973037</v>
      </c>
      <c r="K19" s="108">
        <f t="shared" si="4"/>
        <v>0.24050075845312557</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6.8564550532254837E-5</v>
      </c>
      <c r="K22" s="108">
        <f t="shared" si="4"/>
        <v>6.7029196893290298E-5</v>
      </c>
    </row>
    <row r="23" spans="1:11" x14ac:dyDescent="0.2">
      <c r="A23" s="107" t="s">
        <v>39</v>
      </c>
      <c r="B23" s="73">
        <f>IF($B$9="kWh",$B$4,$B$5)</f>
        <v>750</v>
      </c>
      <c r="C23" s="78">
        <f>VLOOKUP($B$3,'Data for Bill Impacts'!$A$3:$Y$15,10,0)</f>
        <v>4.7000000000000002E-3</v>
      </c>
      <c r="D23" s="22">
        <f>B23*C23</f>
        <v>3.5250000000000004</v>
      </c>
      <c r="E23" s="73">
        <f t="shared" si="6"/>
        <v>750</v>
      </c>
      <c r="F23" s="78">
        <f>VLOOKUP($B$3,'Data for Bill Impacts'!$A$3:$Y$15,19,0)</f>
        <v>0</v>
      </c>
      <c r="G23" s="22">
        <f>E23*F23</f>
        <v>0</v>
      </c>
      <c r="H23" s="22">
        <f t="shared" si="1"/>
        <v>-3.5250000000000004</v>
      </c>
      <c r="I23" s="23">
        <f t="shared" si="2"/>
        <v>-1</v>
      </c>
      <c r="J23" s="23">
        <f t="shared" si="5"/>
        <v>0</v>
      </c>
      <c r="K23" s="108">
        <f t="shared" si="4"/>
        <v>0</v>
      </c>
    </row>
    <row r="24" spans="1:11" x14ac:dyDescent="0.2">
      <c r="A24" s="107" t="s">
        <v>121</v>
      </c>
      <c r="B24" s="73">
        <f>IF($B$9="kWh",$B$4,$B$5)</f>
        <v>750</v>
      </c>
      <c r="C24" s="126">
        <f>VLOOKUP($B$3,'Data for Bill Impacts'!$A$3:$Y$15,14,0)</f>
        <v>2.0000000000000001E-4</v>
      </c>
      <c r="D24" s="22">
        <f>B24*C24</f>
        <v>0.15</v>
      </c>
      <c r="E24" s="73">
        <f>B24</f>
        <v>750</v>
      </c>
      <c r="F24" s="126">
        <f>VLOOKUP($B$3,'Data for Bill Impacts'!$A$3:$Y$15,23,0)</f>
        <v>2.0000000000000001E-4</v>
      </c>
      <c r="G24" s="22">
        <f>E24*F24</f>
        <v>0.15</v>
      </c>
      <c r="H24" s="22">
        <f>G24-D24</f>
        <v>0</v>
      </c>
      <c r="I24" s="23">
        <f>IF(ISERROR(H24/D24),0,(H24/D24))</f>
        <v>0</v>
      </c>
      <c r="J24" s="23">
        <f t="shared" si="5"/>
        <v>1.0284682579838225E-3</v>
      </c>
      <c r="K24" s="108">
        <f t="shared" si="4"/>
        <v>1.0054379533993543E-3</v>
      </c>
    </row>
    <row r="25" spans="1:11" s="1" customFormat="1" x14ac:dyDescent="0.2">
      <c r="A25" s="110" t="s">
        <v>72</v>
      </c>
      <c r="B25" s="74"/>
      <c r="C25" s="35"/>
      <c r="D25" s="35">
        <f>SUM(D19:D24)</f>
        <v>34.984999999999999</v>
      </c>
      <c r="E25" s="73"/>
      <c r="F25" s="35"/>
      <c r="G25" s="35">
        <f>SUM(G19:G24)</f>
        <v>36.04</v>
      </c>
      <c r="H25" s="35">
        <f t="shared" si="1"/>
        <v>1.0549999999999997</v>
      </c>
      <c r="I25" s="36">
        <f t="shared" si="2"/>
        <v>3.0155781049021002E-2</v>
      </c>
      <c r="J25" s="36">
        <f t="shared" si="5"/>
        <v>0.24710664011824643</v>
      </c>
      <c r="K25" s="111">
        <f t="shared" si="4"/>
        <v>0.24157322560341821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5.4165994920481325E-3</v>
      </c>
      <c r="K26" s="108">
        <f t="shared" si="4"/>
        <v>5.295306554569933E-3</v>
      </c>
    </row>
    <row r="27" spans="1:11" s="1" customFormat="1" x14ac:dyDescent="0.2">
      <c r="A27" s="119" t="s">
        <v>75</v>
      </c>
      <c r="B27" s="120">
        <f>B8-B4</f>
        <v>42.75</v>
      </c>
      <c r="C27" s="121">
        <f>IF(B4&gt;B7,C13,C12)</f>
        <v>0.121</v>
      </c>
      <c r="D27" s="22">
        <f>B27*C27</f>
        <v>5.1727499999999997</v>
      </c>
      <c r="E27" s="73">
        <f>B27</f>
        <v>42.75</v>
      </c>
      <c r="F27" s="121">
        <f>C27</f>
        <v>0.121</v>
      </c>
      <c r="G27" s="22">
        <f>E27*F27</f>
        <v>5.1727499999999997</v>
      </c>
      <c r="H27" s="22">
        <f t="shared" si="1"/>
        <v>0</v>
      </c>
      <c r="I27" s="23">
        <f>IF(ISERROR(H27/D27),0,(H27/D27))</f>
        <v>0</v>
      </c>
      <c r="J27" s="23">
        <f t="shared" ref="J27:J46" si="9">G27/$G$46</f>
        <v>3.5466727876572124E-2</v>
      </c>
      <c r="K27" s="108">
        <f t="shared" ref="K27:K41" si="10">G27/$G$51</f>
        <v>3.4672527822976737E-2</v>
      </c>
    </row>
    <row r="28" spans="1:11" s="1" customFormat="1" x14ac:dyDescent="0.2">
      <c r="A28" s="119" t="s">
        <v>74</v>
      </c>
      <c r="B28" s="120">
        <f>B8-B4</f>
        <v>42.75</v>
      </c>
      <c r="C28" s="121">
        <f>0.65*C15+0.17*C16+0.18*C17</f>
        <v>0.11139</v>
      </c>
      <c r="D28" s="22">
        <f>B28*C28</f>
        <v>4.7619224999999998</v>
      </c>
      <c r="E28" s="73">
        <f>B28</f>
        <v>42.75</v>
      </c>
      <c r="F28" s="121">
        <f>C28</f>
        <v>0.11139</v>
      </c>
      <c r="G28" s="22">
        <f>E28*F28</f>
        <v>4.7619224999999998</v>
      </c>
      <c r="H28" s="22">
        <f t="shared" si="1"/>
        <v>0</v>
      </c>
      <c r="I28" s="23">
        <f>IF(ISERROR(H28/D28),0,(H28/D28))</f>
        <v>0</v>
      </c>
      <c r="J28" s="23">
        <f t="shared" si="9"/>
        <v>3.2649907588193132E-2</v>
      </c>
      <c r="K28" s="108">
        <f t="shared" si="10"/>
        <v>3.1918784084308913E-2</v>
      </c>
    </row>
    <row r="29" spans="1:11" s="1" customFormat="1" x14ac:dyDescent="0.2">
      <c r="A29" s="110" t="s">
        <v>78</v>
      </c>
      <c r="B29" s="74"/>
      <c r="C29" s="35"/>
      <c r="D29" s="35">
        <f>SUM(D25,D26:D27)</f>
        <v>40.947749999999999</v>
      </c>
      <c r="E29" s="73"/>
      <c r="F29" s="35"/>
      <c r="G29" s="35">
        <f>SUM(G25,G26:G27)</f>
        <v>42.002749999999999</v>
      </c>
      <c r="H29" s="35">
        <f t="shared" si="1"/>
        <v>1.0549999999999997</v>
      </c>
      <c r="I29" s="36">
        <f>IF(ISERROR(H29/D29),0,(H29/D29))</f>
        <v>2.5764541397268463E-2</v>
      </c>
      <c r="J29" s="36">
        <f t="shared" si="9"/>
        <v>0.28798996748686667</v>
      </c>
      <c r="K29" s="111">
        <f t="shared" si="10"/>
        <v>0.2815410599809649</v>
      </c>
    </row>
    <row r="30" spans="1:11" s="1" customFormat="1" x14ac:dyDescent="0.2">
      <c r="A30" s="110" t="s">
        <v>77</v>
      </c>
      <c r="B30" s="74"/>
      <c r="C30" s="35"/>
      <c r="D30" s="35">
        <f>SUM(D25,D26,D28)</f>
        <v>40.536922499999996</v>
      </c>
      <c r="E30" s="73"/>
      <c r="F30" s="35"/>
      <c r="G30" s="35">
        <f>SUM(G25,G26,G28)</f>
        <v>41.591922499999995</v>
      </c>
      <c r="H30" s="35">
        <f t="shared" si="1"/>
        <v>1.0549999999999997</v>
      </c>
      <c r="I30" s="36">
        <f>IF(ISERROR(H30/D30),0,(H30/D30))</f>
        <v>2.6025655993002425E-2</v>
      </c>
      <c r="J30" s="36">
        <f t="shared" si="9"/>
        <v>0.28517314719848769</v>
      </c>
      <c r="K30" s="111">
        <f t="shared" si="10"/>
        <v>0.27878731624229702</v>
      </c>
    </row>
    <row r="31" spans="1:11" x14ac:dyDescent="0.2">
      <c r="A31" s="107" t="s">
        <v>40</v>
      </c>
      <c r="B31" s="73">
        <f>B8</f>
        <v>792.75</v>
      </c>
      <c r="C31" s="126">
        <f>VLOOKUP($B$3,'Data for Bill Impacts'!$A$3:$Y$15,15,0)</f>
        <v>7.8279999999999999E-3</v>
      </c>
      <c r="D31" s="22">
        <f>B31*C31</f>
        <v>6.2056469999999999</v>
      </c>
      <c r="E31" s="73">
        <f t="shared" si="6"/>
        <v>792.75</v>
      </c>
      <c r="F31" s="126">
        <f>VLOOKUP($B$3,'Data for Bill Impacts'!$A$3:$Y$15,24,0)</f>
        <v>7.8279999999999999E-3</v>
      </c>
      <c r="G31" s="22">
        <f>E31*F31</f>
        <v>6.2056469999999999</v>
      </c>
      <c r="H31" s="22">
        <f t="shared" si="1"/>
        <v>0</v>
      </c>
      <c r="I31" s="23">
        <f t="shared" si="2"/>
        <v>0</v>
      </c>
      <c r="J31" s="23">
        <f t="shared" si="9"/>
        <v>4.2548739731683563E-2</v>
      </c>
      <c r="K31" s="108">
        <f t="shared" si="10"/>
        <v>4.1595953461325622E-2</v>
      </c>
    </row>
    <row r="32" spans="1:11" x14ac:dyDescent="0.2">
      <c r="A32" s="107" t="s">
        <v>41</v>
      </c>
      <c r="B32" s="73">
        <f>B8</f>
        <v>792.75</v>
      </c>
      <c r="C32" s="126">
        <f>VLOOKUP($B$3,'Data for Bill Impacts'!$A$3:$Y$15,16,0)</f>
        <v>6.4380000000000001E-3</v>
      </c>
      <c r="D32" s="22">
        <f>B32*C32</f>
        <v>5.1037245000000002</v>
      </c>
      <c r="E32" s="73">
        <f t="shared" si="6"/>
        <v>792.75</v>
      </c>
      <c r="F32" s="126">
        <f>VLOOKUP($B$3,'Data for Bill Impacts'!$A$3:$Y$15,25,0)</f>
        <v>6.4380000000000001E-3</v>
      </c>
      <c r="G32" s="22">
        <f>E32*F32</f>
        <v>5.1037245000000002</v>
      </c>
      <c r="H32" s="22">
        <f t="shared" si="1"/>
        <v>0</v>
      </c>
      <c r="I32" s="23">
        <f t="shared" si="2"/>
        <v>0</v>
      </c>
      <c r="J32" s="23">
        <f t="shared" si="9"/>
        <v>3.4993457638295707E-2</v>
      </c>
      <c r="K32" s="108">
        <f t="shared" si="10"/>
        <v>3.4209855439960954E-2</v>
      </c>
    </row>
    <row r="33" spans="1:11" s="1" customFormat="1" x14ac:dyDescent="0.2">
      <c r="A33" s="110" t="s">
        <v>76</v>
      </c>
      <c r="B33" s="74"/>
      <c r="C33" s="35"/>
      <c r="D33" s="35">
        <f>SUM(D31:D32)</f>
        <v>11.309371500000001</v>
      </c>
      <c r="E33" s="73"/>
      <c r="F33" s="35"/>
      <c r="G33" s="35">
        <f>SUM(G31:G32)</f>
        <v>11.309371500000001</v>
      </c>
      <c r="H33" s="35">
        <f t="shared" si="1"/>
        <v>0</v>
      </c>
      <c r="I33" s="36">
        <f t="shared" si="2"/>
        <v>0</v>
      </c>
      <c r="J33" s="36">
        <f t="shared" si="9"/>
        <v>7.7542197369979277E-2</v>
      </c>
      <c r="K33" s="111">
        <f t="shared" si="10"/>
        <v>7.5805808901286589E-2</v>
      </c>
    </row>
    <row r="34" spans="1:11" s="1" customFormat="1" x14ac:dyDescent="0.2">
      <c r="A34" s="110" t="s">
        <v>91</v>
      </c>
      <c r="B34" s="74"/>
      <c r="C34" s="35"/>
      <c r="D34" s="35">
        <f>D29+D33</f>
        <v>52.257121499999997</v>
      </c>
      <c r="E34" s="73"/>
      <c r="F34" s="35"/>
      <c r="G34" s="35">
        <f>G29+G33</f>
        <v>53.312121500000003</v>
      </c>
      <c r="H34" s="35">
        <f t="shared" si="1"/>
        <v>1.0550000000000068</v>
      </c>
      <c r="I34" s="36">
        <f t="shared" si="2"/>
        <v>2.0188635916350787E-2</v>
      </c>
      <c r="J34" s="36">
        <f t="shared" si="9"/>
        <v>0.36553216485684598</v>
      </c>
      <c r="K34" s="111">
        <f t="shared" si="10"/>
        <v>0.35734686888225148</v>
      </c>
    </row>
    <row r="35" spans="1:11" s="1" customFormat="1" x14ac:dyDescent="0.2">
      <c r="A35" s="110" t="s">
        <v>92</v>
      </c>
      <c r="B35" s="74"/>
      <c r="C35" s="35"/>
      <c r="D35" s="35">
        <f>D30+D33</f>
        <v>51.846294</v>
      </c>
      <c r="E35" s="73"/>
      <c r="F35" s="35"/>
      <c r="G35" s="35">
        <f>G30+G33</f>
        <v>52.901293999999993</v>
      </c>
      <c r="H35" s="35">
        <f t="shared" si="1"/>
        <v>1.0549999999999926</v>
      </c>
      <c r="I35" s="36">
        <f t="shared" si="2"/>
        <v>2.0348609680761225E-2</v>
      </c>
      <c r="J35" s="36">
        <f t="shared" si="9"/>
        <v>0.36271534456846694</v>
      </c>
      <c r="K35" s="111">
        <f t="shared" si="10"/>
        <v>0.3545931251435836</v>
      </c>
    </row>
    <row r="36" spans="1:11" x14ac:dyDescent="0.2">
      <c r="A36" s="107" t="s">
        <v>42</v>
      </c>
      <c r="B36" s="73">
        <f>B8</f>
        <v>792.75</v>
      </c>
      <c r="C36" s="34">
        <v>3.5999999999999999E-3</v>
      </c>
      <c r="D36" s="22">
        <f>B36*C36</f>
        <v>2.8538999999999999</v>
      </c>
      <c r="E36" s="73">
        <f t="shared" si="6"/>
        <v>792.75</v>
      </c>
      <c r="F36" s="34">
        <v>3.5999999999999999E-3</v>
      </c>
      <c r="G36" s="22">
        <f>E36*F36</f>
        <v>2.8538999999999999</v>
      </c>
      <c r="H36" s="22">
        <f t="shared" si="1"/>
        <v>0</v>
      </c>
      <c r="I36" s="23">
        <f t="shared" si="2"/>
        <v>0</v>
      </c>
      <c r="J36" s="23">
        <f t="shared" si="9"/>
        <v>1.9567637076400208E-2</v>
      </c>
      <c r="K36" s="108">
        <f t="shared" si="10"/>
        <v>1.9129462501376114E-2</v>
      </c>
    </row>
    <row r="37" spans="1:11" x14ac:dyDescent="0.2">
      <c r="A37" s="107" t="s">
        <v>43</v>
      </c>
      <c r="B37" s="73">
        <f>B8</f>
        <v>792.75</v>
      </c>
      <c r="C37" s="34">
        <v>2.0999999999999999E-3</v>
      </c>
      <c r="D37" s="22">
        <f>B37*C37</f>
        <v>1.6647749999999999</v>
      </c>
      <c r="E37" s="73">
        <f t="shared" si="6"/>
        <v>792.75</v>
      </c>
      <c r="F37" s="34">
        <v>2.0999999999999999E-3</v>
      </c>
      <c r="G37" s="22">
        <f>E37*F37</f>
        <v>1.6647749999999999</v>
      </c>
      <c r="H37" s="22">
        <f>G37-D37</f>
        <v>0</v>
      </c>
      <c r="I37" s="23">
        <f t="shared" si="2"/>
        <v>0</v>
      </c>
      <c r="J37" s="23">
        <f t="shared" si="9"/>
        <v>1.1414454961233455E-2</v>
      </c>
      <c r="K37" s="108">
        <f t="shared" si="10"/>
        <v>1.1158853125802734E-2</v>
      </c>
    </row>
    <row r="38" spans="1:11" x14ac:dyDescent="0.2">
      <c r="A38" s="107" t="s">
        <v>96</v>
      </c>
      <c r="B38" s="73">
        <f>B8</f>
        <v>792.75</v>
      </c>
      <c r="C38" s="34">
        <v>1.1000000000000001E-3</v>
      </c>
      <c r="D38" s="22">
        <f>B38*C38</f>
        <v>0.87202500000000005</v>
      </c>
      <c r="E38" s="73">
        <f t="shared" si="6"/>
        <v>792.75</v>
      </c>
      <c r="F38" s="34">
        <v>1.1000000000000001E-3</v>
      </c>
      <c r="G38" s="22">
        <f>E38*F38</f>
        <v>0.87202500000000005</v>
      </c>
      <c r="H38" s="22">
        <f>G38-D38</f>
        <v>0</v>
      </c>
      <c r="I38" s="23">
        <f t="shared" ref="I38" si="11">IF(ISERROR(H38/D38),0,(H38/D38))</f>
        <v>0</v>
      </c>
      <c r="J38" s="23">
        <f t="shared" ref="J38" si="12">G38/$G$46</f>
        <v>5.9790002177889526E-3</v>
      </c>
      <c r="K38" s="108">
        <f t="shared" ref="K38" si="13">G38/$G$51</f>
        <v>5.8451135420871467E-3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1.714113763306371E-3</v>
      </c>
      <c r="K39" s="108">
        <f t="shared" si="10"/>
        <v>1.6757299223322574E-3</v>
      </c>
    </row>
    <row r="40" spans="1:11" s="1" customFormat="1" x14ac:dyDescent="0.2">
      <c r="A40" s="110" t="s">
        <v>45</v>
      </c>
      <c r="B40" s="74"/>
      <c r="C40" s="35"/>
      <c r="D40" s="35">
        <f>SUM(D36:D39)</f>
        <v>5.6406999999999998</v>
      </c>
      <c r="E40" s="73"/>
      <c r="F40" s="35"/>
      <c r="G40" s="35">
        <f>SUM(G36:G39)</f>
        <v>5.6406999999999998</v>
      </c>
      <c r="H40" s="35">
        <f t="shared" si="1"/>
        <v>0</v>
      </c>
      <c r="I40" s="36">
        <f t="shared" si="2"/>
        <v>0</v>
      </c>
      <c r="J40" s="36">
        <f t="shared" si="9"/>
        <v>3.8675206018728987E-2</v>
      </c>
      <c r="K40" s="111">
        <f t="shared" si="10"/>
        <v>3.7809159091598252E-2</v>
      </c>
    </row>
    <row r="41" spans="1:11" s="1" customFormat="1" ht="13.5" thickBot="1" x14ac:dyDescent="0.25">
      <c r="A41" s="112" t="s">
        <v>46</v>
      </c>
      <c r="B41" s="113">
        <f>B4</f>
        <v>750</v>
      </c>
      <c r="C41" s="114">
        <v>0</v>
      </c>
      <c r="D41" s="115">
        <f>B41*C41</f>
        <v>0</v>
      </c>
      <c r="E41" s="116">
        <f t="shared" si="6"/>
        <v>750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137.84782150000001</v>
      </c>
      <c r="E42" s="38"/>
      <c r="F42" s="39"/>
      <c r="G42" s="39">
        <f>SUM(G14,G25,G26,G27,G33,G40,G41)</f>
        <v>138.90282149999999</v>
      </c>
      <c r="H42" s="39">
        <f t="shared" si="1"/>
        <v>1.0549999999999784</v>
      </c>
      <c r="I42" s="40">
        <f>IF(ISERROR(H42/D42),0,(H42/D42))</f>
        <v>7.6533672314870668E-3</v>
      </c>
      <c r="J42" s="40">
        <f t="shared" si="9"/>
        <v>0.95238095238095233</v>
      </c>
      <c r="K42" s="41"/>
    </row>
    <row r="43" spans="1:11" x14ac:dyDescent="0.2">
      <c r="A43" s="154" t="s">
        <v>102</v>
      </c>
      <c r="B43" s="43"/>
      <c r="C43" s="26">
        <v>0.13</v>
      </c>
      <c r="D43" s="26">
        <f>D42*C43</f>
        <v>17.920216795000002</v>
      </c>
      <c r="E43" s="26"/>
      <c r="F43" s="26">
        <f>C43</f>
        <v>0.13</v>
      </c>
      <c r="G43" s="26">
        <f>G42*F43</f>
        <v>18.057366795</v>
      </c>
      <c r="H43" s="26">
        <f t="shared" si="1"/>
        <v>0.13714999999999833</v>
      </c>
      <c r="I43" s="44">
        <f t="shared" si="2"/>
        <v>7.6533672314871301E-3</v>
      </c>
      <c r="J43" s="44">
        <f t="shared" si="9"/>
        <v>0.12380952380952381</v>
      </c>
      <c r="K43" s="45"/>
    </row>
    <row r="44" spans="1:11" s="1" customFormat="1" x14ac:dyDescent="0.2">
      <c r="A44" s="46" t="s">
        <v>103</v>
      </c>
      <c r="B44" s="24"/>
      <c r="C44" s="25"/>
      <c r="D44" s="25">
        <f>SUM(D42:D43)</f>
        <v>155.768038295</v>
      </c>
      <c r="E44" s="25"/>
      <c r="F44" s="25"/>
      <c r="G44" s="25">
        <f>SUM(G42:G43)</f>
        <v>156.96018829499999</v>
      </c>
      <c r="H44" s="25">
        <f t="shared" si="1"/>
        <v>1.192149999999998</v>
      </c>
      <c r="I44" s="27">
        <f t="shared" si="2"/>
        <v>7.6533672314872117E-3</v>
      </c>
      <c r="J44" s="27">
        <f t="shared" si="9"/>
        <v>1.0761904761904761</v>
      </c>
      <c r="K44" s="47"/>
    </row>
    <row r="45" spans="1:11" x14ac:dyDescent="0.2">
      <c r="A45" s="42" t="s">
        <v>104</v>
      </c>
      <c r="B45" s="43"/>
      <c r="C45" s="26">
        <v>-0.08</v>
      </c>
      <c r="D45" s="26">
        <f>D42*C45</f>
        <v>-11.027825720000001</v>
      </c>
      <c r="E45" s="26"/>
      <c r="F45" s="26">
        <f>C45</f>
        <v>-0.08</v>
      </c>
      <c r="G45" s="26">
        <f>G42*F45</f>
        <v>-11.11222572</v>
      </c>
      <c r="H45" s="26">
        <f t="shared" si="1"/>
        <v>-8.4399999999998698E-2</v>
      </c>
      <c r="I45" s="44">
        <f t="shared" si="2"/>
        <v>7.653367231487105E-3</v>
      </c>
      <c r="J45" s="44">
        <f t="shared" si="9"/>
        <v>-7.6190476190476183E-2</v>
      </c>
      <c r="K45" s="45"/>
    </row>
    <row r="46" spans="1:11" s="1" customFormat="1" ht="13.5" thickBot="1" x14ac:dyDescent="0.25">
      <c r="A46" s="48" t="s">
        <v>105</v>
      </c>
      <c r="B46" s="49"/>
      <c r="C46" s="50"/>
      <c r="D46" s="50">
        <f>SUM(D44:D45)</f>
        <v>144.74021257499999</v>
      </c>
      <c r="E46" s="50"/>
      <c r="F46" s="50"/>
      <c r="G46" s="50">
        <f>SUM(G44:G45)</f>
        <v>145.847962575</v>
      </c>
      <c r="H46" s="50">
        <f t="shared" si="1"/>
        <v>1.10775000000001</v>
      </c>
      <c r="I46" s="51">
        <f t="shared" si="2"/>
        <v>7.6533672314872932E-3</v>
      </c>
      <c r="J46" s="51">
        <f t="shared" si="9"/>
        <v>1</v>
      </c>
      <c r="K46" s="52"/>
    </row>
    <row r="47" spans="1:11" x14ac:dyDescent="0.2">
      <c r="A47" s="53" t="s">
        <v>106</v>
      </c>
      <c r="B47" s="54"/>
      <c r="C47" s="55"/>
      <c r="D47" s="55">
        <f>SUM(D18,D25,D26,D28,D33,D40,D41)</f>
        <v>141.029494</v>
      </c>
      <c r="E47" s="55"/>
      <c r="F47" s="55"/>
      <c r="G47" s="55">
        <f>SUM(G18,G25,G26,G28,G33,G40,G41)</f>
        <v>142.08449400000001</v>
      </c>
      <c r="H47" s="55">
        <f>G47-D47</f>
        <v>1.0550000000000068</v>
      </c>
      <c r="I47" s="56">
        <f>IF(ISERROR(H47/D47),0,(H47/D47))</f>
        <v>7.4807047098956964E-3</v>
      </c>
      <c r="J47" s="56"/>
      <c r="K47" s="57">
        <f>G47/$G$51</f>
        <v>0.95238095238095233</v>
      </c>
    </row>
    <row r="48" spans="1:11" x14ac:dyDescent="0.2">
      <c r="A48" s="155" t="s">
        <v>102</v>
      </c>
      <c r="B48" s="59"/>
      <c r="C48" s="31">
        <v>0.13</v>
      </c>
      <c r="D48" s="31">
        <f>D47*C48</f>
        <v>18.33383422</v>
      </c>
      <c r="E48" s="31"/>
      <c r="F48" s="31">
        <f>C48</f>
        <v>0.13</v>
      </c>
      <c r="G48" s="31">
        <f>G47*F48</f>
        <v>18.470984220000002</v>
      </c>
      <c r="H48" s="31">
        <f>G48-D48</f>
        <v>0.13715000000000188</v>
      </c>
      <c r="I48" s="32">
        <f>IF(ISERROR(H48/D48),0,(H48/D48))</f>
        <v>7.4807047098957502E-3</v>
      </c>
      <c r="J48" s="32"/>
      <c r="K48" s="60">
        <f>G48/$G$51</f>
        <v>0.12380952380952381</v>
      </c>
    </row>
    <row r="49" spans="1:11" x14ac:dyDescent="0.2">
      <c r="A49" s="61" t="s">
        <v>107</v>
      </c>
      <c r="B49" s="29"/>
      <c r="C49" s="30"/>
      <c r="D49" s="30">
        <f>SUM(D47:D48)</f>
        <v>159.36332822</v>
      </c>
      <c r="E49" s="30"/>
      <c r="F49" s="30"/>
      <c r="G49" s="30">
        <f>SUM(G47:G48)</f>
        <v>160.55547822</v>
      </c>
      <c r="H49" s="30">
        <f>G49-D49</f>
        <v>1.192149999999998</v>
      </c>
      <c r="I49" s="33">
        <f>IF(ISERROR(H49/D49),0,(H49/D49))</f>
        <v>7.4807047098956357E-3</v>
      </c>
      <c r="J49" s="33"/>
      <c r="K49" s="62">
        <f>G49/$G$51</f>
        <v>1.0761904761904761</v>
      </c>
    </row>
    <row r="50" spans="1:11" x14ac:dyDescent="0.2">
      <c r="A50" s="58" t="s">
        <v>104</v>
      </c>
      <c r="B50" s="59"/>
      <c r="C50" s="31">
        <v>-0.08</v>
      </c>
      <c r="D50" s="31">
        <f>D47*C50</f>
        <v>-11.28235952</v>
      </c>
      <c r="E50" s="31"/>
      <c r="F50" s="31">
        <f>C50</f>
        <v>-0.08</v>
      </c>
      <c r="G50" s="31">
        <f>G47*F50</f>
        <v>-11.36675952</v>
      </c>
      <c r="H50" s="31">
        <f>G50-D50</f>
        <v>-8.4400000000000475E-2</v>
      </c>
      <c r="I50" s="32">
        <f>IF(ISERROR(H50/D50),0,(H50/D50))</f>
        <v>7.4807047098956895E-3</v>
      </c>
      <c r="J50" s="32"/>
      <c r="K50" s="60">
        <f>G50/$G$51</f>
        <v>-7.6190476190476183E-2</v>
      </c>
    </row>
    <row r="51" spans="1:11" ht="13.5" thickBot="1" x14ac:dyDescent="0.25">
      <c r="A51" s="63" t="s">
        <v>116</v>
      </c>
      <c r="B51" s="64"/>
      <c r="C51" s="65"/>
      <c r="D51" s="65">
        <f>SUM(D49:D50)</f>
        <v>148.0809687</v>
      </c>
      <c r="E51" s="65"/>
      <c r="F51" s="65"/>
      <c r="G51" s="65">
        <f>SUM(G49:G50)</f>
        <v>149.18871870000001</v>
      </c>
      <c r="H51" s="65">
        <f>G51-D51</f>
        <v>1.10775000000001</v>
      </c>
      <c r="I51" s="66">
        <f>IF(ISERROR(H51/D51),0,(H51/D51))</f>
        <v>7.4807047098957155E-3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1" tint="0.499984740745262"/>
    <pageSetUpPr fitToPage="1"/>
  </sheetPr>
  <dimension ref="A1:J48"/>
  <sheetViews>
    <sheetView tabSelected="1" view="pageBreakPreview" topLeftCell="A16"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119</v>
      </c>
      <c r="B1" s="188"/>
      <c r="C1" s="188"/>
      <c r="D1" s="188"/>
      <c r="E1" s="188"/>
      <c r="F1" s="188"/>
      <c r="G1" s="188"/>
      <c r="H1" s="188"/>
      <c r="I1" s="188"/>
      <c r="J1" s="189"/>
    </row>
    <row r="3" spans="1:10" x14ac:dyDescent="0.2">
      <c r="A3" s="13" t="s">
        <v>13</v>
      </c>
      <c r="B3" s="13" t="s">
        <v>12</v>
      </c>
    </row>
    <row r="4" spans="1:10" x14ac:dyDescent="0.2">
      <c r="A4" s="15" t="s">
        <v>62</v>
      </c>
      <c r="B4" s="168">
        <f>VLOOKUP(B3,'Data for Bill Impacts'!A18:D31,3,FALSE)</f>
        <v>364</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8">
        <f>B4*B6</f>
        <v>397.48800000000006</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364</v>
      </c>
      <c r="C12" s="103">
        <v>0.10299999999999999</v>
      </c>
      <c r="D12" s="104">
        <f>B12*C12</f>
        <v>37.491999999999997</v>
      </c>
      <c r="E12" s="102">
        <f>B12</f>
        <v>364</v>
      </c>
      <c r="F12" s="103">
        <f>C12</f>
        <v>0.10299999999999999</v>
      </c>
      <c r="G12" s="104">
        <f>E12*F12</f>
        <v>37.491999999999997</v>
      </c>
      <c r="H12" s="104">
        <f>G12-D12</f>
        <v>0</v>
      </c>
      <c r="I12" s="105">
        <f>IF(ISERROR(H12/D12),0,(H12/D12))</f>
        <v>0</v>
      </c>
      <c r="J12" s="124">
        <f t="shared" ref="J12:J28" si="0">G12/$G$37</f>
        <v>0.36543712415107332</v>
      </c>
    </row>
    <row r="13" spans="1:10" x14ac:dyDescent="0.2">
      <c r="A13" s="107" t="s">
        <v>32</v>
      </c>
      <c r="B13" s="73">
        <f>IF(B4&gt;B7,(B4)-B7,0)</f>
        <v>0</v>
      </c>
      <c r="C13" s="21">
        <v>0.121</v>
      </c>
      <c r="D13" s="22">
        <f>B13*C13</f>
        <v>0</v>
      </c>
      <c r="E13" s="73">
        <f t="shared" ref="E13" si="1">B13</f>
        <v>0</v>
      </c>
      <c r="F13" s="21">
        <f>C13</f>
        <v>0.121</v>
      </c>
      <c r="G13" s="22">
        <f>E13*F13</f>
        <v>0</v>
      </c>
      <c r="H13" s="22">
        <f t="shared" ref="H13:H37" si="2">G13-D13</f>
        <v>0</v>
      </c>
      <c r="I13" s="23">
        <f t="shared" ref="I13:I37" si="3">IF(ISERROR(H13/D13),0,(H13/D13))</f>
        <v>0</v>
      </c>
      <c r="J13" s="125">
        <f t="shared" si="0"/>
        <v>0</v>
      </c>
    </row>
    <row r="14" spans="1:10" s="1" customFormat="1" x14ac:dyDescent="0.2">
      <c r="A14" s="46" t="s">
        <v>33</v>
      </c>
      <c r="B14" s="24"/>
      <c r="C14" s="25"/>
      <c r="D14" s="25">
        <f>SUM(D12:D13)</f>
        <v>37.491999999999997</v>
      </c>
      <c r="E14" s="76"/>
      <c r="F14" s="25"/>
      <c r="G14" s="25">
        <f>SUM(G12:G13)</f>
        <v>37.491999999999997</v>
      </c>
      <c r="H14" s="25">
        <f t="shared" si="2"/>
        <v>0</v>
      </c>
      <c r="I14" s="27">
        <f t="shared" si="3"/>
        <v>0</v>
      </c>
      <c r="J14" s="47">
        <f t="shared" si="0"/>
        <v>0.36543712415107332</v>
      </c>
    </row>
    <row r="15" spans="1:10" x14ac:dyDescent="0.2">
      <c r="A15" s="107" t="s">
        <v>38</v>
      </c>
      <c r="B15" s="73">
        <v>1</v>
      </c>
      <c r="C15" s="78">
        <f>VLOOKUP($B$3,'Data for Bill Impacts'!$A$3:$Y$15,7,0)</f>
        <v>35.76</v>
      </c>
      <c r="D15" s="22">
        <f>B15*C15</f>
        <v>35.76</v>
      </c>
      <c r="E15" s="73">
        <f t="shared" ref="E15:E32" si="4">B15</f>
        <v>1</v>
      </c>
      <c r="F15" s="78">
        <f>VLOOKUP($B$3,'Data for Bill Impacts'!$A$3:$Y$15,17,0)</f>
        <v>36.880000000000003</v>
      </c>
      <c r="G15" s="22">
        <f>E15*F15</f>
        <v>36.880000000000003</v>
      </c>
      <c r="H15" s="22">
        <f t="shared" si="2"/>
        <v>1.1200000000000045</v>
      </c>
      <c r="I15" s="23">
        <f t="shared" si="3"/>
        <v>3.1319910514541513E-2</v>
      </c>
      <c r="J15" s="125">
        <f t="shared" si="0"/>
        <v>0.35947191770755327</v>
      </c>
    </row>
    <row r="16" spans="1:10" x14ac:dyDescent="0.2">
      <c r="A16" s="107" t="s">
        <v>85</v>
      </c>
      <c r="B16" s="73">
        <v>1</v>
      </c>
      <c r="C16" s="78">
        <f>VLOOKUP($B$3,'Data for Bill Impacts'!$A$3:$Y$15,13,0)</f>
        <v>-0.01</v>
      </c>
      <c r="D16" s="22">
        <f t="shared" ref="D16" si="5">B16*C16</f>
        <v>-0.01</v>
      </c>
      <c r="E16" s="73">
        <f t="shared" si="4"/>
        <v>1</v>
      </c>
      <c r="F16" s="78">
        <f>VLOOKUP($B$3,'Data for Bill Impacts'!$A$3:$Y$15,22,0)</f>
        <v>-0.01</v>
      </c>
      <c r="G16" s="22">
        <f t="shared" ref="G16" si="6">E16*F16</f>
        <v>-0.01</v>
      </c>
      <c r="H16" s="22">
        <f t="shared" si="2"/>
        <v>0</v>
      </c>
      <c r="I16" s="23">
        <f t="shared" si="3"/>
        <v>0</v>
      </c>
      <c r="J16" s="125">
        <f t="shared" si="0"/>
        <v>-9.7470693521570833E-5</v>
      </c>
    </row>
    <row r="17" spans="1:10" x14ac:dyDescent="0.2">
      <c r="A17" s="107" t="s">
        <v>39</v>
      </c>
      <c r="B17" s="73">
        <f>IF($B$9="kWh",$B$4,$B$5)</f>
        <v>364</v>
      </c>
      <c r="C17" s="78">
        <f>VLOOKUP($B$3,'Data for Bill Impacts'!$A$3:$Y$15,10,0)</f>
        <v>2.93E-2</v>
      </c>
      <c r="D17" s="22">
        <f>B17*C17</f>
        <v>10.6652</v>
      </c>
      <c r="E17" s="73">
        <f t="shared" si="4"/>
        <v>364</v>
      </c>
      <c r="F17" s="78">
        <f>VLOOKUP($B$3,'Data for Bill Impacts'!$A$3:$Y$15,19,0)</f>
        <v>0.03</v>
      </c>
      <c r="G17" s="22">
        <f>E17*F17</f>
        <v>10.92</v>
      </c>
      <c r="H17" s="22">
        <f t="shared" si="2"/>
        <v>0.25479999999999947</v>
      </c>
      <c r="I17" s="23">
        <f t="shared" si="3"/>
        <v>2.3890784982935103E-2</v>
      </c>
      <c r="J17" s="125">
        <f t="shared" si="0"/>
        <v>0.10643799732555534</v>
      </c>
    </row>
    <row r="18" spans="1:10" s="1" customFormat="1" x14ac:dyDescent="0.2">
      <c r="A18" s="107" t="s">
        <v>121</v>
      </c>
      <c r="B18" s="73">
        <f>IF($B$9="kWh",$B$4,$B$5)</f>
        <v>364</v>
      </c>
      <c r="C18" s="126">
        <f>VLOOKUP($B$3,'Data for Bill Impacts'!$A$3:$Y$15,14,0)</f>
        <v>2.0000000000000001E-4</v>
      </c>
      <c r="D18" s="22">
        <f>B18*C18</f>
        <v>7.2800000000000004E-2</v>
      </c>
      <c r="E18" s="73">
        <f>B18</f>
        <v>364</v>
      </c>
      <c r="F18" s="126">
        <f>VLOOKUP($B$3,'Data for Bill Impacts'!$A$3:$Y$15,23,0)</f>
        <v>2.0000000000000001E-4</v>
      </c>
      <c r="G18" s="22">
        <f>E18*F18</f>
        <v>7.2800000000000004E-2</v>
      </c>
      <c r="H18" s="22">
        <f>G18-D18</f>
        <v>0</v>
      </c>
      <c r="I18" s="23">
        <f>IF(ISERROR(H18/D18),0,(H18/D18))</f>
        <v>0</v>
      </c>
      <c r="J18" s="125">
        <f t="shared" si="0"/>
        <v>7.0958664883703565E-4</v>
      </c>
    </row>
    <row r="19" spans="1:10" x14ac:dyDescent="0.2">
      <c r="A19" s="107" t="s">
        <v>108</v>
      </c>
      <c r="B19" s="73">
        <f>B8</f>
        <v>397.48800000000006</v>
      </c>
      <c r="C19" s="126">
        <f>VLOOKUP($B$3,'Data for Bill Impacts'!$A$3:$Y$15,20,0)</f>
        <v>0</v>
      </c>
      <c r="D19" s="22">
        <f>B19*C19</f>
        <v>0</v>
      </c>
      <c r="E19" s="73">
        <f t="shared" si="4"/>
        <v>397.48800000000006</v>
      </c>
      <c r="F19" s="126">
        <f>VLOOKUP($B$3,'Data for Bill Impacts'!$A$3:$Y$15,21,0)</f>
        <v>0</v>
      </c>
      <c r="G19" s="22">
        <f>E19*F19</f>
        <v>0</v>
      </c>
      <c r="H19" s="22">
        <f t="shared" si="2"/>
        <v>0</v>
      </c>
      <c r="I19" s="23">
        <f>IF(ISERROR(H19/D19),0,(H19/D19))</f>
        <v>0</v>
      </c>
      <c r="J19" s="125">
        <f t="shared" si="0"/>
        <v>0</v>
      </c>
    </row>
    <row r="20" spans="1:10" x14ac:dyDescent="0.2">
      <c r="A20" s="110" t="s">
        <v>72</v>
      </c>
      <c r="B20" s="74"/>
      <c r="C20" s="35"/>
      <c r="D20" s="35">
        <f>SUM(D15:D19)</f>
        <v>46.488</v>
      </c>
      <c r="E20" s="73"/>
      <c r="F20" s="35"/>
      <c r="G20" s="35">
        <f>SUM(G15:G19)</f>
        <v>47.862800000000007</v>
      </c>
      <c r="H20" s="35">
        <f t="shared" si="2"/>
        <v>1.3748000000000076</v>
      </c>
      <c r="I20" s="36">
        <f t="shared" si="3"/>
        <v>2.9573223197384434E-2</v>
      </c>
      <c r="J20" s="111">
        <f t="shared" si="0"/>
        <v>0.4665220309884241</v>
      </c>
    </row>
    <row r="21" spans="1:10" s="1" customFormat="1" x14ac:dyDescent="0.2">
      <c r="A21" s="119" t="s">
        <v>81</v>
      </c>
      <c r="B21" s="120">
        <f>B8-B4</f>
        <v>33.488000000000056</v>
      </c>
      <c r="C21" s="121">
        <f>IF(B4&gt;B7,C13,C12)</f>
        <v>0.10299999999999999</v>
      </c>
      <c r="D21" s="22">
        <f>B21*C21</f>
        <v>3.4492640000000057</v>
      </c>
      <c r="E21" s="73">
        <f>B21</f>
        <v>33.488000000000056</v>
      </c>
      <c r="F21" s="121">
        <f>C21</f>
        <v>0.10299999999999999</v>
      </c>
      <c r="G21" s="22">
        <f>E21*F21</f>
        <v>3.4492640000000057</v>
      </c>
      <c r="H21" s="22">
        <f t="shared" si="2"/>
        <v>0</v>
      </c>
      <c r="I21" s="23">
        <f>IF(ISERROR(H21/D21),0,(H21/D21))</f>
        <v>0</v>
      </c>
      <c r="J21" s="125">
        <f t="shared" si="0"/>
        <v>3.3620215421898803E-2</v>
      </c>
    </row>
    <row r="22" spans="1:10" x14ac:dyDescent="0.2">
      <c r="A22" s="110" t="s">
        <v>79</v>
      </c>
      <c r="B22" s="74"/>
      <c r="C22" s="35"/>
      <c r="D22" s="35">
        <f>SUM(D20,D21:D21)</f>
        <v>49.937264000000006</v>
      </c>
      <c r="E22" s="73"/>
      <c r="F22" s="35"/>
      <c r="G22" s="35">
        <f>SUM(G20,G21:G21)</f>
        <v>51.312064000000014</v>
      </c>
      <c r="H22" s="35">
        <f t="shared" si="2"/>
        <v>1.3748000000000076</v>
      </c>
      <c r="I22" s="36">
        <f>IF(ISERROR(H22/D22),0,(H22/D22))</f>
        <v>2.7530543123067523E-2</v>
      </c>
      <c r="J22" s="111">
        <f t="shared" si="0"/>
        <v>0.5001422464103229</v>
      </c>
    </row>
    <row r="23" spans="1:10" x14ac:dyDescent="0.2">
      <c r="A23" s="107" t="s">
        <v>40</v>
      </c>
      <c r="B23" s="73">
        <f>B8</f>
        <v>397.48800000000006</v>
      </c>
      <c r="C23" s="126">
        <f>VLOOKUP($B$3,'Data for Bill Impacts'!$A$3:$Y$15,15,0)</f>
        <v>4.7699999999999999E-3</v>
      </c>
      <c r="D23" s="22">
        <f>B23*C23</f>
        <v>1.8960177600000003</v>
      </c>
      <c r="E23" s="73">
        <f t="shared" si="4"/>
        <v>397.48800000000006</v>
      </c>
      <c r="F23" s="126">
        <f>VLOOKUP($B$3,'Data for Bill Impacts'!$A$3:$Y$15,24,0)</f>
        <v>4.7699999999999999E-3</v>
      </c>
      <c r="G23" s="22">
        <f>E23*F23</f>
        <v>1.8960177600000003</v>
      </c>
      <c r="H23" s="22">
        <f t="shared" si="2"/>
        <v>0</v>
      </c>
      <c r="I23" s="23">
        <f t="shared" si="3"/>
        <v>0</v>
      </c>
      <c r="J23" s="125">
        <f t="shared" si="0"/>
        <v>1.8480616599641526E-2</v>
      </c>
    </row>
    <row r="24" spans="1:10" s="1" customFormat="1" x14ac:dyDescent="0.2">
      <c r="A24" s="107" t="s">
        <v>41</v>
      </c>
      <c r="B24" s="73">
        <f>B8</f>
        <v>397.48800000000006</v>
      </c>
      <c r="C24" s="126">
        <f>VLOOKUP($B$3,'Data for Bill Impacts'!$A$3:$Y$15,16,0)</f>
        <v>3.7950000000000002E-3</v>
      </c>
      <c r="D24" s="22">
        <f>B24*C24</f>
        <v>1.5084669600000002</v>
      </c>
      <c r="E24" s="73">
        <f t="shared" si="4"/>
        <v>397.48800000000006</v>
      </c>
      <c r="F24" s="126">
        <f>VLOOKUP($B$3,'Data for Bill Impacts'!$A$3:$Y$15,25,0)</f>
        <v>3.7950000000000002E-3</v>
      </c>
      <c r="G24" s="22">
        <f>E24*F24</f>
        <v>1.5084669600000002</v>
      </c>
      <c r="H24" s="22">
        <f t="shared" si="2"/>
        <v>0</v>
      </c>
      <c r="I24" s="23">
        <f t="shared" si="3"/>
        <v>0</v>
      </c>
      <c r="J24" s="125">
        <f t="shared" si="0"/>
        <v>1.4703132074557567E-2</v>
      </c>
    </row>
    <row r="25" spans="1:10" s="1" customFormat="1" x14ac:dyDescent="0.2">
      <c r="A25" s="110" t="s">
        <v>76</v>
      </c>
      <c r="B25" s="74"/>
      <c r="C25" s="35"/>
      <c r="D25" s="35">
        <f>SUM(D23:D24)</f>
        <v>3.4044847200000006</v>
      </c>
      <c r="E25" s="73"/>
      <c r="F25" s="35"/>
      <c r="G25" s="35">
        <f>SUM(G23:G24)</f>
        <v>3.4044847200000006</v>
      </c>
      <c r="H25" s="35">
        <f t="shared" si="2"/>
        <v>0</v>
      </c>
      <c r="I25" s="36">
        <f t="shared" si="3"/>
        <v>0</v>
      </c>
      <c r="J25" s="111">
        <f t="shared" si="0"/>
        <v>3.3183748674199091E-2</v>
      </c>
    </row>
    <row r="26" spans="1:10" s="1" customFormat="1" x14ac:dyDescent="0.2">
      <c r="A26" s="110" t="s">
        <v>80</v>
      </c>
      <c r="B26" s="74"/>
      <c r="C26" s="35"/>
      <c r="D26" s="35">
        <f>D22+D25</f>
        <v>53.341748720000005</v>
      </c>
      <c r="E26" s="73"/>
      <c r="F26" s="35"/>
      <c r="G26" s="35">
        <f>G22+G25</f>
        <v>54.716548720000013</v>
      </c>
      <c r="H26" s="35">
        <f t="shared" si="2"/>
        <v>1.3748000000000076</v>
      </c>
      <c r="I26" s="36">
        <f t="shared" si="3"/>
        <v>2.5773433248627988E-2</v>
      </c>
      <c r="J26" s="111">
        <f t="shared" si="0"/>
        <v>0.53332599508452194</v>
      </c>
    </row>
    <row r="27" spans="1:10" x14ac:dyDescent="0.2">
      <c r="A27" s="107" t="s">
        <v>42</v>
      </c>
      <c r="B27" s="73">
        <f>B8</f>
        <v>397.48800000000006</v>
      </c>
      <c r="C27" s="34">
        <v>3.5999999999999999E-3</v>
      </c>
      <c r="D27" s="22">
        <f>B27*C27</f>
        <v>1.4309568000000001</v>
      </c>
      <c r="E27" s="73">
        <f t="shared" si="4"/>
        <v>397.48800000000006</v>
      </c>
      <c r="F27" s="34">
        <v>3.5999999999999999E-3</v>
      </c>
      <c r="G27" s="22">
        <f>E27*F27</f>
        <v>1.4309568000000001</v>
      </c>
      <c r="H27" s="22">
        <f t="shared" si="2"/>
        <v>0</v>
      </c>
      <c r="I27" s="23">
        <f t="shared" si="3"/>
        <v>0</v>
      </c>
      <c r="J27" s="125">
        <f t="shared" si="0"/>
        <v>1.3947635169540774E-2</v>
      </c>
    </row>
    <row r="28" spans="1:10" s="1" customFormat="1" x14ac:dyDescent="0.2">
      <c r="A28" s="107" t="s">
        <v>43</v>
      </c>
      <c r="B28" s="73">
        <f>B8</f>
        <v>397.48800000000006</v>
      </c>
      <c r="C28" s="34">
        <v>2.0999999999999999E-3</v>
      </c>
      <c r="D28" s="22">
        <f>B28*C28</f>
        <v>0.83472480000000004</v>
      </c>
      <c r="E28" s="73">
        <f t="shared" si="4"/>
        <v>397.48800000000006</v>
      </c>
      <c r="F28" s="34">
        <v>2.0999999999999999E-3</v>
      </c>
      <c r="G28" s="22">
        <f>E28*F28</f>
        <v>0.83472480000000004</v>
      </c>
      <c r="H28" s="22">
        <f>G28-D28</f>
        <v>0</v>
      </c>
      <c r="I28" s="23">
        <f t="shared" si="3"/>
        <v>0</v>
      </c>
      <c r="J28" s="125">
        <f t="shared" si="0"/>
        <v>8.1361205155654516E-3</v>
      </c>
    </row>
    <row r="29" spans="1:10" s="1" customFormat="1" x14ac:dyDescent="0.2">
      <c r="A29" s="107" t="s">
        <v>96</v>
      </c>
      <c r="B29" s="73">
        <f>B8</f>
        <v>397.48800000000006</v>
      </c>
      <c r="C29" s="34">
        <v>1.1000000000000001E-3</v>
      </c>
      <c r="D29" s="22">
        <f>B29*C29</f>
        <v>0.43723680000000009</v>
      </c>
      <c r="E29" s="73">
        <f t="shared" si="4"/>
        <v>397.48800000000006</v>
      </c>
      <c r="F29" s="34">
        <v>1.1000000000000001E-3</v>
      </c>
      <c r="G29" s="22">
        <f>E29*F29</f>
        <v>0.43723680000000009</v>
      </c>
      <c r="H29" s="22">
        <f>G29-D29</f>
        <v>0</v>
      </c>
      <c r="I29" s="23">
        <f t="shared" ref="I29" si="7">IF(ISERROR(H29/D29),0,(H29/D29))</f>
        <v>0</v>
      </c>
      <c r="J29" s="125">
        <f t="shared" ref="J29" si="8">G29/$G$37</f>
        <v>4.2617774129152372E-3</v>
      </c>
    </row>
    <row r="30" spans="1:10" x14ac:dyDescent="0.2">
      <c r="A30" s="107" t="s">
        <v>44</v>
      </c>
      <c r="B30" s="73">
        <v>1</v>
      </c>
      <c r="C30" s="22">
        <v>0.25</v>
      </c>
      <c r="D30" s="22">
        <f>B30*C30</f>
        <v>0.25</v>
      </c>
      <c r="E30" s="73">
        <f t="shared" si="4"/>
        <v>1</v>
      </c>
      <c r="F30" s="22">
        <f>C30</f>
        <v>0.25</v>
      </c>
      <c r="G30" s="22">
        <f>E30*F30</f>
        <v>0.25</v>
      </c>
      <c r="H30" s="22">
        <f t="shared" si="2"/>
        <v>0</v>
      </c>
      <c r="I30" s="23">
        <f t="shared" si="3"/>
        <v>0</v>
      </c>
      <c r="J30" s="125">
        <f t="shared" ref="J30:J37" si="9">G30/$G$37</f>
        <v>2.4367673380392709E-3</v>
      </c>
    </row>
    <row r="31" spans="1:10" s="1" customFormat="1" x14ac:dyDescent="0.2">
      <c r="A31" s="110" t="s">
        <v>45</v>
      </c>
      <c r="B31" s="74"/>
      <c r="C31" s="35"/>
      <c r="D31" s="35">
        <f>SUM(D27:D30)</f>
        <v>2.9529184000000002</v>
      </c>
      <c r="E31" s="73"/>
      <c r="F31" s="35"/>
      <c r="G31" s="35">
        <f>SUM(G27:G30)</f>
        <v>2.9529184000000002</v>
      </c>
      <c r="H31" s="35">
        <f t="shared" si="2"/>
        <v>0</v>
      </c>
      <c r="I31" s="36">
        <f t="shared" si="3"/>
        <v>0</v>
      </c>
      <c r="J31" s="111">
        <f t="shared" si="9"/>
        <v>2.8782300436060733E-2</v>
      </c>
    </row>
    <row r="32" spans="1:10" ht="13.5" thickBot="1" x14ac:dyDescent="0.25">
      <c r="A32" s="112" t="s">
        <v>46</v>
      </c>
      <c r="B32" s="113">
        <f>B4</f>
        <v>364</v>
      </c>
      <c r="C32" s="114">
        <v>7.0000000000000001E-3</v>
      </c>
      <c r="D32" s="115">
        <f>B32*C32</f>
        <v>2.548</v>
      </c>
      <c r="E32" s="116">
        <f t="shared" si="4"/>
        <v>364</v>
      </c>
      <c r="F32" s="114">
        <f>C32</f>
        <v>7.0000000000000001E-3</v>
      </c>
      <c r="G32" s="115">
        <f>E32*F32</f>
        <v>2.548</v>
      </c>
      <c r="H32" s="115">
        <f t="shared" si="2"/>
        <v>0</v>
      </c>
      <c r="I32" s="117">
        <f t="shared" si="3"/>
        <v>0</v>
      </c>
      <c r="J32" s="118">
        <f t="shared" si="9"/>
        <v>2.4835532709296247E-2</v>
      </c>
    </row>
    <row r="33" spans="1:10" x14ac:dyDescent="0.2">
      <c r="A33" s="37" t="s">
        <v>111</v>
      </c>
      <c r="B33" s="38"/>
      <c r="C33" s="39"/>
      <c r="D33" s="39">
        <f>SUM(D14,D22,D25,D31,D32)</f>
        <v>96.334667120000006</v>
      </c>
      <c r="E33" s="38"/>
      <c r="F33" s="39"/>
      <c r="G33" s="39">
        <f>SUM(G14,G22,G25,G31,G32)</f>
        <v>97.709467120000014</v>
      </c>
      <c r="H33" s="39">
        <f t="shared" si="2"/>
        <v>1.3748000000000076</v>
      </c>
      <c r="I33" s="40">
        <f>IF(ISERROR(H33/D33),0,(H33/D33))</f>
        <v>1.4271082686022857E-2</v>
      </c>
      <c r="J33" s="41">
        <f t="shared" si="9"/>
        <v>0.95238095238095233</v>
      </c>
    </row>
    <row r="34" spans="1:10" x14ac:dyDescent="0.2">
      <c r="A34" s="46" t="s">
        <v>102</v>
      </c>
      <c r="B34" s="43"/>
      <c r="C34" s="26">
        <v>0.13</v>
      </c>
      <c r="D34" s="26">
        <f>D33*C34</f>
        <v>12.523506725600001</v>
      </c>
      <c r="E34" s="26"/>
      <c r="F34" s="26">
        <f>C34</f>
        <v>0.13</v>
      </c>
      <c r="G34" s="26">
        <f>G33*F34</f>
        <v>12.702230725600002</v>
      </c>
      <c r="H34" s="26">
        <f t="shared" si="2"/>
        <v>0.17872400000000077</v>
      </c>
      <c r="I34" s="44">
        <f t="shared" si="3"/>
        <v>1.427108268602284E-2</v>
      </c>
      <c r="J34" s="45">
        <f t="shared" si="9"/>
        <v>0.1238095238095238</v>
      </c>
    </row>
    <row r="35" spans="1:10" x14ac:dyDescent="0.2">
      <c r="A35" s="46" t="s">
        <v>103</v>
      </c>
      <c r="B35" s="24"/>
      <c r="C35" s="25"/>
      <c r="D35" s="25">
        <f>SUM(D33:D34)</f>
        <v>108.85817384560001</v>
      </c>
      <c r="E35" s="25"/>
      <c r="F35" s="25"/>
      <c r="G35" s="25">
        <f>SUM(G33:G34)</f>
        <v>110.41169784560002</v>
      </c>
      <c r="H35" s="25">
        <f t="shared" si="2"/>
        <v>1.5535240000000101</v>
      </c>
      <c r="I35" s="27">
        <f t="shared" si="3"/>
        <v>1.4271082686022871E-2</v>
      </c>
      <c r="J35" s="47">
        <f t="shared" si="9"/>
        <v>1.0761904761904761</v>
      </c>
    </row>
    <row r="36" spans="1:10" x14ac:dyDescent="0.2">
      <c r="A36" s="46" t="s">
        <v>104</v>
      </c>
      <c r="B36" s="43"/>
      <c r="C36" s="26">
        <v>-0.08</v>
      </c>
      <c r="D36" s="26">
        <f>D33*C36</f>
        <v>-7.7067733696000005</v>
      </c>
      <c r="E36" s="26"/>
      <c r="F36" s="26">
        <f>C36</f>
        <v>-0.08</v>
      </c>
      <c r="G36" s="26">
        <f>G33*F36</f>
        <v>-7.8167573696000012</v>
      </c>
      <c r="H36" s="26">
        <f t="shared" si="2"/>
        <v>-0.10998400000000075</v>
      </c>
      <c r="I36" s="44">
        <f t="shared" si="3"/>
        <v>1.4271082686022877E-2</v>
      </c>
      <c r="J36" s="45">
        <f t="shared" si="9"/>
        <v>-7.6190476190476183E-2</v>
      </c>
    </row>
    <row r="37" spans="1:10" ht="13.5" thickBot="1" x14ac:dyDescent="0.25">
      <c r="A37" s="48" t="s">
        <v>105</v>
      </c>
      <c r="B37" s="49"/>
      <c r="C37" s="50"/>
      <c r="D37" s="50">
        <f>SUM(D35:D36)</f>
        <v>101.15140047600001</v>
      </c>
      <c r="E37" s="50"/>
      <c r="F37" s="50"/>
      <c r="G37" s="50">
        <f>SUM(G35:G36)</f>
        <v>102.59494047600002</v>
      </c>
      <c r="H37" s="50">
        <f t="shared" si="2"/>
        <v>1.4435400000000129</v>
      </c>
      <c r="I37" s="51">
        <f t="shared" si="3"/>
        <v>1.4271082686022908E-2</v>
      </c>
      <c r="J37" s="52">
        <f t="shared" si="9"/>
        <v>1</v>
      </c>
    </row>
    <row r="38" spans="1:10" x14ac:dyDescent="0.2">
      <c r="A38" s="171"/>
      <c r="D38" s="72"/>
      <c r="F38" s="69"/>
    </row>
    <row r="39" spans="1:10" x14ac:dyDescent="0.2">
      <c r="A39" s="171"/>
      <c r="F39" s="69"/>
    </row>
    <row r="40" spans="1:10" x14ac:dyDescent="0.2">
      <c r="A40" s="172"/>
      <c r="B40" s="71"/>
      <c r="F40" s="69"/>
    </row>
    <row r="41" spans="1:10" x14ac:dyDescent="0.2">
      <c r="A41" s="171"/>
      <c r="B41" s="72"/>
      <c r="D41" s="72"/>
      <c r="F41" s="69"/>
    </row>
    <row r="42" spans="1:10" x14ac:dyDescent="0.2">
      <c r="A42" s="171"/>
      <c r="F42" s="69"/>
    </row>
    <row r="43" spans="1:10" x14ac:dyDescent="0.2">
      <c r="A43" s="171"/>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1" tint="0.499984740745262"/>
    <pageSetUpPr fitToPage="1"/>
  </sheetPr>
  <dimension ref="A1:J48"/>
  <sheetViews>
    <sheetView tabSelected="1" view="pageBreakPreview" topLeftCell="A10"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120</v>
      </c>
      <c r="B1" s="188"/>
      <c r="C1" s="188"/>
      <c r="D1" s="188"/>
      <c r="E1" s="188"/>
      <c r="F1" s="188"/>
      <c r="G1" s="188"/>
      <c r="H1" s="188"/>
      <c r="I1" s="188"/>
      <c r="J1" s="189"/>
    </row>
    <row r="3" spans="1:10" x14ac:dyDescent="0.2">
      <c r="A3" s="13" t="s">
        <v>13</v>
      </c>
      <c r="B3" s="13" t="s">
        <v>12</v>
      </c>
    </row>
    <row r="4" spans="1:10" x14ac:dyDescent="0.2">
      <c r="A4" s="15" t="s">
        <v>62</v>
      </c>
      <c r="B4" s="15">
        <v>1000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8">
        <f>B4*B6</f>
        <v>1092</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24">
        <f t="shared" ref="J12:J28" si="0">G12/$G$37</f>
        <v>0.35079018315511534</v>
      </c>
    </row>
    <row r="13" spans="1:10" x14ac:dyDescent="0.2">
      <c r="A13" s="107" t="s">
        <v>32</v>
      </c>
      <c r="B13" s="73">
        <f>IF(B4&gt;B7,(B4)-B7,0)</f>
        <v>250</v>
      </c>
      <c r="C13" s="21">
        <v>0.121</v>
      </c>
      <c r="D13" s="22">
        <f>B13*C13</f>
        <v>30.25</v>
      </c>
      <c r="E13" s="73">
        <f t="shared" ref="E13" si="1">B13</f>
        <v>250</v>
      </c>
      <c r="F13" s="21">
        <f>C13</f>
        <v>0.121</v>
      </c>
      <c r="G13" s="22">
        <f>E13*F13</f>
        <v>30.25</v>
      </c>
      <c r="H13" s="22">
        <f t="shared" ref="H13:H37" si="2">G13-D13</f>
        <v>0</v>
      </c>
      <c r="I13" s="23">
        <f t="shared" ref="I13:I37" si="3">IF(ISERROR(H13/D13),0,(H13/D13))</f>
        <v>0</v>
      </c>
      <c r="J13" s="125">
        <f t="shared" si="0"/>
        <v>0.13736444065297398</v>
      </c>
    </row>
    <row r="14" spans="1:10" s="1" customFormat="1" x14ac:dyDescent="0.2">
      <c r="A14" s="46" t="s">
        <v>33</v>
      </c>
      <c r="B14" s="24"/>
      <c r="C14" s="25"/>
      <c r="D14" s="25">
        <f>SUM(D12:D13)</f>
        <v>107.5</v>
      </c>
      <c r="E14" s="76"/>
      <c r="F14" s="25"/>
      <c r="G14" s="25">
        <f>SUM(G12:G13)</f>
        <v>107.5</v>
      </c>
      <c r="H14" s="25">
        <f t="shared" si="2"/>
        <v>0</v>
      </c>
      <c r="I14" s="27">
        <f t="shared" si="3"/>
        <v>0</v>
      </c>
      <c r="J14" s="47">
        <f t="shared" si="0"/>
        <v>0.48815462380808933</v>
      </c>
    </row>
    <row r="15" spans="1:10" x14ac:dyDescent="0.2">
      <c r="A15" s="107" t="s">
        <v>38</v>
      </c>
      <c r="B15" s="73">
        <v>1</v>
      </c>
      <c r="C15" s="78">
        <f>VLOOKUP($B$3,'Data for Bill Impacts'!$A$3:$Y$15,7,0)</f>
        <v>35.76</v>
      </c>
      <c r="D15" s="22">
        <f>B15*C15</f>
        <v>35.76</v>
      </c>
      <c r="E15" s="73">
        <f t="shared" ref="E15:E32" si="4">B15</f>
        <v>1</v>
      </c>
      <c r="F15" s="78">
        <f>VLOOKUP($B$3,'Data for Bill Impacts'!$A$3:$Y$15,17,0)</f>
        <v>36.880000000000003</v>
      </c>
      <c r="G15" s="22">
        <f>E15*F15</f>
        <v>36.880000000000003</v>
      </c>
      <c r="H15" s="22">
        <f t="shared" si="2"/>
        <v>1.1200000000000045</v>
      </c>
      <c r="I15" s="23">
        <f t="shared" si="3"/>
        <v>3.1319910514541513E-2</v>
      </c>
      <c r="J15" s="125">
        <f t="shared" si="0"/>
        <v>0.1674710932655101</v>
      </c>
    </row>
    <row r="16" spans="1:10" x14ac:dyDescent="0.2">
      <c r="A16" s="107" t="s">
        <v>85</v>
      </c>
      <c r="B16" s="73">
        <v>1</v>
      </c>
      <c r="C16" s="78">
        <f>VLOOKUP($B$3,'Data for Bill Impacts'!$A$3:$Y$15,13,0)</f>
        <v>-0.01</v>
      </c>
      <c r="D16" s="22">
        <f t="shared" ref="D16" si="5">B16*C16</f>
        <v>-0.01</v>
      </c>
      <c r="E16" s="73">
        <f t="shared" si="4"/>
        <v>1</v>
      </c>
      <c r="F16" s="78">
        <f>VLOOKUP($B$3,'Data for Bill Impacts'!$A$3:$Y$15,22,0)</f>
        <v>-0.01</v>
      </c>
      <c r="G16" s="22">
        <f t="shared" ref="G16" si="6">E16*F16</f>
        <v>-0.01</v>
      </c>
      <c r="H16" s="22">
        <f t="shared" si="2"/>
        <v>0</v>
      </c>
      <c r="I16" s="23">
        <f t="shared" si="3"/>
        <v>0</v>
      </c>
      <c r="J16" s="125">
        <f t="shared" si="0"/>
        <v>-4.5409732447264127E-5</v>
      </c>
    </row>
    <row r="17" spans="1:10" x14ac:dyDescent="0.2">
      <c r="A17" s="107" t="s">
        <v>39</v>
      </c>
      <c r="B17" s="73">
        <f>IF($B$9="kWh",$B$4,$B$5)</f>
        <v>1000</v>
      </c>
      <c r="C17" s="78">
        <f>VLOOKUP($B$3,'Data for Bill Impacts'!$A$3:$Y$15,10,0)</f>
        <v>2.93E-2</v>
      </c>
      <c r="D17" s="22">
        <f>B17*C17</f>
        <v>29.3</v>
      </c>
      <c r="E17" s="73">
        <f t="shared" si="4"/>
        <v>1000</v>
      </c>
      <c r="F17" s="78">
        <f>VLOOKUP($B$3,'Data for Bill Impacts'!$A$3:$Y$15,19,0)</f>
        <v>0.03</v>
      </c>
      <c r="G17" s="22">
        <f>E17*F17</f>
        <v>30</v>
      </c>
      <c r="H17" s="22">
        <f t="shared" si="2"/>
        <v>0.69999999999999929</v>
      </c>
      <c r="I17" s="23">
        <f t="shared" si="3"/>
        <v>2.3890784982935127E-2</v>
      </c>
      <c r="J17" s="125">
        <f t="shared" si="0"/>
        <v>0.13622919734179237</v>
      </c>
    </row>
    <row r="18" spans="1:10" s="1" customFormat="1" x14ac:dyDescent="0.2">
      <c r="A18" s="107" t="s">
        <v>121</v>
      </c>
      <c r="B18" s="73">
        <f>IF($B$9="kWh",$B$4,$B$5)</f>
        <v>1000</v>
      </c>
      <c r="C18" s="126">
        <f>VLOOKUP($B$3,'Data for Bill Impacts'!$A$3:$Y$15,14,0)</f>
        <v>2.0000000000000001E-4</v>
      </c>
      <c r="D18" s="22">
        <f>B18*C18</f>
        <v>0.2</v>
      </c>
      <c r="E18" s="73">
        <f>B18</f>
        <v>1000</v>
      </c>
      <c r="F18" s="126">
        <f>VLOOKUP($B$3,'Data for Bill Impacts'!$A$3:$Y$15,23,0)</f>
        <v>2.0000000000000001E-4</v>
      </c>
      <c r="G18" s="22">
        <f>E18*F18</f>
        <v>0.2</v>
      </c>
      <c r="H18" s="22">
        <f>G18-D18</f>
        <v>0</v>
      </c>
      <c r="I18" s="23">
        <f>IF(ISERROR(H18/D18),0,(H18/D18))</f>
        <v>0</v>
      </c>
      <c r="J18" s="125">
        <f t="shared" si="0"/>
        <v>9.0819464894528257E-4</v>
      </c>
    </row>
    <row r="19" spans="1:10" x14ac:dyDescent="0.2">
      <c r="A19" s="107" t="s">
        <v>108</v>
      </c>
      <c r="B19" s="73">
        <f>B8</f>
        <v>1092</v>
      </c>
      <c r="C19" s="126">
        <f>VLOOKUP($B$3,'Data for Bill Impacts'!$A$3:$Y$15,20,0)</f>
        <v>0</v>
      </c>
      <c r="D19" s="22">
        <f>B19*C19</f>
        <v>0</v>
      </c>
      <c r="E19" s="73">
        <f t="shared" si="4"/>
        <v>1092</v>
      </c>
      <c r="F19" s="126">
        <f>VLOOKUP($B$3,'Data for Bill Impacts'!$A$3:$Y$15,21,0)</f>
        <v>0</v>
      </c>
      <c r="G19" s="22">
        <f>E19*F19</f>
        <v>0</v>
      </c>
      <c r="H19" s="22">
        <f t="shared" si="2"/>
        <v>0</v>
      </c>
      <c r="I19" s="23">
        <f>IF(ISERROR(H19/D19),0,(H19/D19))</f>
        <v>0</v>
      </c>
      <c r="J19" s="125">
        <f t="shared" si="0"/>
        <v>0</v>
      </c>
    </row>
    <row r="20" spans="1:10" x14ac:dyDescent="0.2">
      <c r="A20" s="110" t="s">
        <v>72</v>
      </c>
      <c r="B20" s="74"/>
      <c r="C20" s="35"/>
      <c r="D20" s="35">
        <f>SUM(D15:D19)</f>
        <v>65.25</v>
      </c>
      <c r="E20" s="73"/>
      <c r="F20" s="35"/>
      <c r="G20" s="35">
        <f>SUM(G15:G19)</f>
        <v>67.070000000000007</v>
      </c>
      <c r="H20" s="35">
        <f t="shared" si="2"/>
        <v>1.8200000000000074</v>
      </c>
      <c r="I20" s="36">
        <f t="shared" si="3"/>
        <v>2.7892720306513522E-2</v>
      </c>
      <c r="J20" s="111">
        <f t="shared" si="0"/>
        <v>0.30456307552380052</v>
      </c>
    </row>
    <row r="21" spans="1:10" s="1" customFormat="1" x14ac:dyDescent="0.2">
      <c r="A21" s="119" t="s">
        <v>81</v>
      </c>
      <c r="B21" s="120">
        <f>B8-B4</f>
        <v>92</v>
      </c>
      <c r="C21" s="121">
        <f>IF(B4&gt;B7,C13,C12)</f>
        <v>0.121</v>
      </c>
      <c r="D21" s="22">
        <f>B21*C21</f>
        <v>11.132</v>
      </c>
      <c r="E21" s="73">
        <f>B21</f>
        <v>92</v>
      </c>
      <c r="F21" s="121">
        <f>C21</f>
        <v>0.121</v>
      </c>
      <c r="G21" s="22">
        <f>E21*F21</f>
        <v>11.132</v>
      </c>
      <c r="H21" s="22">
        <f t="shared" si="2"/>
        <v>0</v>
      </c>
      <c r="I21" s="23">
        <f>IF(ISERROR(H21/D21),0,(H21/D21))</f>
        <v>0</v>
      </c>
      <c r="J21" s="125">
        <f t="shared" si="0"/>
        <v>5.0550114160294424E-2</v>
      </c>
    </row>
    <row r="22" spans="1:10" x14ac:dyDescent="0.2">
      <c r="A22" s="110" t="s">
        <v>79</v>
      </c>
      <c r="B22" s="74"/>
      <c r="C22" s="35"/>
      <c r="D22" s="35">
        <f>SUM(D20,D21:D21)</f>
        <v>76.382000000000005</v>
      </c>
      <c r="E22" s="73"/>
      <c r="F22" s="35"/>
      <c r="G22" s="35">
        <f>SUM(G20,G21:G21)</f>
        <v>78.202000000000012</v>
      </c>
      <c r="H22" s="35">
        <f t="shared" si="2"/>
        <v>1.8200000000000074</v>
      </c>
      <c r="I22" s="36">
        <f>IF(ISERROR(H22/D22),0,(H22/D22))</f>
        <v>2.3827603362048744E-2</v>
      </c>
      <c r="J22" s="111">
        <f t="shared" si="0"/>
        <v>0.35511318968409494</v>
      </c>
    </row>
    <row r="23" spans="1:10" x14ac:dyDescent="0.2">
      <c r="A23" s="107" t="s">
        <v>40</v>
      </c>
      <c r="B23" s="73">
        <f>B8</f>
        <v>1092</v>
      </c>
      <c r="C23" s="126">
        <f>VLOOKUP($B$3,'Data for Bill Impacts'!$A$3:$Y$15,15,0)</f>
        <v>4.7699999999999999E-3</v>
      </c>
      <c r="D23" s="22">
        <f>B23*C23</f>
        <v>5.2088400000000004</v>
      </c>
      <c r="E23" s="73">
        <f t="shared" si="4"/>
        <v>1092</v>
      </c>
      <c r="F23" s="126">
        <f>VLOOKUP($B$3,'Data for Bill Impacts'!$A$3:$Y$15,24,0)</f>
        <v>4.7699999999999999E-3</v>
      </c>
      <c r="G23" s="22">
        <f>E23*F23</f>
        <v>5.2088400000000004</v>
      </c>
      <c r="H23" s="22">
        <f t="shared" si="2"/>
        <v>0</v>
      </c>
      <c r="I23" s="23">
        <f t="shared" si="3"/>
        <v>0</v>
      </c>
      <c r="J23" s="125">
        <f t="shared" si="0"/>
        <v>2.3653203076060728E-2</v>
      </c>
    </row>
    <row r="24" spans="1:10" s="1" customFormat="1" x14ac:dyDescent="0.2">
      <c r="A24" s="107" t="s">
        <v>41</v>
      </c>
      <c r="B24" s="73">
        <f>B8</f>
        <v>1092</v>
      </c>
      <c r="C24" s="126">
        <f>VLOOKUP($B$3,'Data for Bill Impacts'!$A$3:$Y$15,16,0)</f>
        <v>3.7950000000000002E-3</v>
      </c>
      <c r="D24" s="22">
        <f>B24*C24</f>
        <v>4.1441400000000002</v>
      </c>
      <c r="E24" s="73">
        <f t="shared" si="4"/>
        <v>1092</v>
      </c>
      <c r="F24" s="126">
        <f>VLOOKUP($B$3,'Data for Bill Impacts'!$A$3:$Y$15,25,0)</f>
        <v>3.7950000000000002E-3</v>
      </c>
      <c r="G24" s="22">
        <f>E24*F24</f>
        <v>4.1441400000000002</v>
      </c>
      <c r="H24" s="22">
        <f t="shared" si="2"/>
        <v>0</v>
      </c>
      <c r="I24" s="23">
        <f t="shared" si="3"/>
        <v>0</v>
      </c>
      <c r="J24" s="125">
        <f t="shared" si="0"/>
        <v>1.8818428862400514E-2</v>
      </c>
    </row>
    <row r="25" spans="1:10" s="1" customFormat="1" x14ac:dyDescent="0.2">
      <c r="A25" s="110" t="s">
        <v>76</v>
      </c>
      <c r="B25" s="74"/>
      <c r="C25" s="35"/>
      <c r="D25" s="35">
        <f>SUM(D23:D24)</f>
        <v>9.3529800000000005</v>
      </c>
      <c r="E25" s="73"/>
      <c r="F25" s="35"/>
      <c r="G25" s="35">
        <f>SUM(G23:G24)</f>
        <v>9.3529800000000005</v>
      </c>
      <c r="H25" s="35">
        <f t="shared" si="2"/>
        <v>0</v>
      </c>
      <c r="I25" s="36">
        <f t="shared" si="3"/>
        <v>0</v>
      </c>
      <c r="J25" s="111">
        <f t="shared" si="0"/>
        <v>4.2471631938461242E-2</v>
      </c>
    </row>
    <row r="26" spans="1:10" s="1" customFormat="1" x14ac:dyDescent="0.2">
      <c r="A26" s="110" t="s">
        <v>80</v>
      </c>
      <c r="B26" s="74"/>
      <c r="C26" s="35"/>
      <c r="D26" s="35">
        <f>D22+D25</f>
        <v>85.734980000000007</v>
      </c>
      <c r="E26" s="73"/>
      <c r="F26" s="35"/>
      <c r="G26" s="35">
        <f>G22+G25</f>
        <v>87.554980000000015</v>
      </c>
      <c r="H26" s="35">
        <f t="shared" si="2"/>
        <v>1.8200000000000074</v>
      </c>
      <c r="I26" s="36">
        <f t="shared" si="3"/>
        <v>2.122820813628238E-2</v>
      </c>
      <c r="J26" s="111">
        <f t="shared" si="0"/>
        <v>0.39758482162255621</v>
      </c>
    </row>
    <row r="27" spans="1:10" x14ac:dyDescent="0.2">
      <c r="A27" s="107" t="s">
        <v>42</v>
      </c>
      <c r="B27" s="73">
        <f>B8</f>
        <v>1092</v>
      </c>
      <c r="C27" s="34">
        <v>3.5999999999999999E-3</v>
      </c>
      <c r="D27" s="22">
        <f>B27*C27</f>
        <v>3.9312</v>
      </c>
      <c r="E27" s="73">
        <f t="shared" si="4"/>
        <v>1092</v>
      </c>
      <c r="F27" s="34">
        <v>3.5999999999999999E-3</v>
      </c>
      <c r="G27" s="22">
        <f>E27*F27</f>
        <v>3.9312</v>
      </c>
      <c r="H27" s="22">
        <f t="shared" si="2"/>
        <v>0</v>
      </c>
      <c r="I27" s="23">
        <f t="shared" si="3"/>
        <v>0</v>
      </c>
      <c r="J27" s="125">
        <f t="shared" si="0"/>
        <v>1.7851474019668471E-2</v>
      </c>
    </row>
    <row r="28" spans="1:10" s="1" customFormat="1" x14ac:dyDescent="0.2">
      <c r="A28" s="107" t="s">
        <v>43</v>
      </c>
      <c r="B28" s="73">
        <f>B8</f>
        <v>1092</v>
      </c>
      <c r="C28" s="34">
        <v>2.0999999999999999E-3</v>
      </c>
      <c r="D28" s="22">
        <f>B28*C28</f>
        <v>2.2931999999999997</v>
      </c>
      <c r="E28" s="73">
        <f t="shared" si="4"/>
        <v>1092</v>
      </c>
      <c r="F28" s="34">
        <v>2.0999999999999999E-3</v>
      </c>
      <c r="G28" s="22">
        <f>E28*F28</f>
        <v>2.2931999999999997</v>
      </c>
      <c r="H28" s="22">
        <f>G28-D28</f>
        <v>0</v>
      </c>
      <c r="I28" s="23">
        <f t="shared" si="3"/>
        <v>0</v>
      </c>
      <c r="J28" s="125">
        <f t="shared" si="0"/>
        <v>1.0413359844806607E-2</v>
      </c>
    </row>
    <row r="29" spans="1:10" s="1" customFormat="1" x14ac:dyDescent="0.2">
      <c r="A29" s="107" t="s">
        <v>96</v>
      </c>
      <c r="B29" s="73">
        <f>B8</f>
        <v>1092</v>
      </c>
      <c r="C29" s="34">
        <v>1.1000000000000001E-3</v>
      </c>
      <c r="D29" s="22">
        <f>B29*C29</f>
        <v>1.2012</v>
      </c>
      <c r="E29" s="73">
        <f t="shared" si="4"/>
        <v>1092</v>
      </c>
      <c r="F29" s="34">
        <v>1.1000000000000001E-3</v>
      </c>
      <c r="G29" s="22">
        <f>E29*F29</f>
        <v>1.2012</v>
      </c>
      <c r="H29" s="22">
        <f>G29-D29</f>
        <v>0</v>
      </c>
      <c r="I29" s="23">
        <f t="shared" ref="I29" si="7">IF(ISERROR(H29/D29),0,(H29/D29))</f>
        <v>0</v>
      </c>
      <c r="J29" s="125">
        <f t="shared" ref="J29" si="8">G29/$G$37</f>
        <v>5.4546170615653667E-3</v>
      </c>
    </row>
    <row r="30" spans="1:10" x14ac:dyDescent="0.2">
      <c r="A30" s="107" t="s">
        <v>44</v>
      </c>
      <c r="B30" s="73">
        <v>1</v>
      </c>
      <c r="C30" s="22">
        <v>0.25</v>
      </c>
      <c r="D30" s="22">
        <f>B30*C30</f>
        <v>0.25</v>
      </c>
      <c r="E30" s="73">
        <f t="shared" si="4"/>
        <v>1</v>
      </c>
      <c r="F30" s="22">
        <f>C30</f>
        <v>0.25</v>
      </c>
      <c r="G30" s="22">
        <f>E30*F30</f>
        <v>0.25</v>
      </c>
      <c r="H30" s="22">
        <f t="shared" si="2"/>
        <v>0</v>
      </c>
      <c r="I30" s="23">
        <f t="shared" si="3"/>
        <v>0</v>
      </c>
      <c r="J30" s="125">
        <f t="shared" ref="J30:J37" si="9">G30/$G$37</f>
        <v>1.135243311181603E-3</v>
      </c>
    </row>
    <row r="31" spans="1:10" s="1" customFormat="1" x14ac:dyDescent="0.2">
      <c r="A31" s="110" t="s">
        <v>45</v>
      </c>
      <c r="B31" s="74"/>
      <c r="C31" s="35"/>
      <c r="D31" s="35">
        <f>SUM(D27:D30)</f>
        <v>7.6755999999999993</v>
      </c>
      <c r="E31" s="73"/>
      <c r="F31" s="35"/>
      <c r="G31" s="35">
        <f>SUM(G27:G30)</f>
        <v>7.6755999999999993</v>
      </c>
      <c r="H31" s="35">
        <f t="shared" si="2"/>
        <v>0</v>
      </c>
      <c r="I31" s="36">
        <f t="shared" si="3"/>
        <v>0</v>
      </c>
      <c r="J31" s="111">
        <f t="shared" si="9"/>
        <v>3.4854694237222046E-2</v>
      </c>
    </row>
    <row r="32" spans="1:10" ht="13.5" thickBot="1" x14ac:dyDescent="0.25">
      <c r="A32" s="112" t="s">
        <v>46</v>
      </c>
      <c r="B32" s="113">
        <f>B4</f>
        <v>1000</v>
      </c>
      <c r="C32" s="114">
        <v>7.0000000000000001E-3</v>
      </c>
      <c r="D32" s="115">
        <f>B32*C32</f>
        <v>7</v>
      </c>
      <c r="E32" s="116">
        <f t="shared" si="4"/>
        <v>1000</v>
      </c>
      <c r="F32" s="114">
        <f>C32</f>
        <v>7.0000000000000001E-3</v>
      </c>
      <c r="G32" s="115">
        <f>E32*F32</f>
        <v>7</v>
      </c>
      <c r="H32" s="115">
        <f t="shared" si="2"/>
        <v>0</v>
      </c>
      <c r="I32" s="117">
        <f t="shared" si="3"/>
        <v>0</v>
      </c>
      <c r="J32" s="118">
        <f t="shared" si="9"/>
        <v>3.1786812713084887E-2</v>
      </c>
    </row>
    <row r="33" spans="1:10" x14ac:dyDescent="0.2">
      <c r="A33" s="37" t="s">
        <v>111</v>
      </c>
      <c r="B33" s="38"/>
      <c r="C33" s="39"/>
      <c r="D33" s="39">
        <f>SUM(D14,D22,D25,D31,D32)</f>
        <v>207.91058000000001</v>
      </c>
      <c r="E33" s="38"/>
      <c r="F33" s="39"/>
      <c r="G33" s="39">
        <f>SUM(G14,G22,G25,G31,G32)</f>
        <v>209.73058</v>
      </c>
      <c r="H33" s="39">
        <f t="shared" si="2"/>
        <v>1.8199999999999932</v>
      </c>
      <c r="I33" s="40">
        <f>IF(ISERROR(H33/D33),0,(H33/D33))</f>
        <v>8.7537632765008547E-3</v>
      </c>
      <c r="J33" s="41">
        <f t="shared" si="9"/>
        <v>0.95238095238095244</v>
      </c>
    </row>
    <row r="34" spans="1:10" x14ac:dyDescent="0.2">
      <c r="A34" s="46" t="s">
        <v>102</v>
      </c>
      <c r="B34" s="43"/>
      <c r="C34" s="26">
        <v>0.13</v>
      </c>
      <c r="D34" s="26">
        <f>D33*C34</f>
        <v>27.028375400000002</v>
      </c>
      <c r="E34" s="26"/>
      <c r="F34" s="26">
        <f>C34</f>
        <v>0.13</v>
      </c>
      <c r="G34" s="26">
        <f>G33*F34</f>
        <v>27.264975400000001</v>
      </c>
      <c r="H34" s="26">
        <f t="shared" si="2"/>
        <v>0.23659999999999926</v>
      </c>
      <c r="I34" s="44">
        <f t="shared" si="3"/>
        <v>8.7537632765008599E-3</v>
      </c>
      <c r="J34" s="45">
        <f t="shared" si="9"/>
        <v>0.12380952380952381</v>
      </c>
    </row>
    <row r="35" spans="1:10" x14ac:dyDescent="0.2">
      <c r="A35" s="46" t="s">
        <v>103</v>
      </c>
      <c r="B35" s="24"/>
      <c r="C35" s="25"/>
      <c r="D35" s="25">
        <f>SUM(D33:D34)</f>
        <v>234.9389554</v>
      </c>
      <c r="E35" s="25"/>
      <c r="F35" s="25"/>
      <c r="G35" s="25">
        <f>SUM(G33:G34)</f>
        <v>236.9955554</v>
      </c>
      <c r="H35" s="25">
        <f t="shared" si="2"/>
        <v>2.0566000000000031</v>
      </c>
      <c r="I35" s="27">
        <f t="shared" si="3"/>
        <v>8.7537632765009015E-3</v>
      </c>
      <c r="J35" s="47">
        <f t="shared" si="9"/>
        <v>1.0761904761904761</v>
      </c>
    </row>
    <row r="36" spans="1:10" x14ac:dyDescent="0.2">
      <c r="A36" s="46" t="s">
        <v>104</v>
      </c>
      <c r="B36" s="43"/>
      <c r="C36" s="26">
        <v>-0.08</v>
      </c>
      <c r="D36" s="26">
        <f>D33*C36</f>
        <v>-16.632846400000002</v>
      </c>
      <c r="E36" s="26"/>
      <c r="F36" s="26">
        <f>C36</f>
        <v>-0.08</v>
      </c>
      <c r="G36" s="26">
        <f>G33*F36</f>
        <v>-16.7784464</v>
      </c>
      <c r="H36" s="26">
        <f t="shared" si="2"/>
        <v>-0.14559999999999818</v>
      </c>
      <c r="I36" s="44">
        <f t="shared" si="3"/>
        <v>8.7537632765007766E-3</v>
      </c>
      <c r="J36" s="45">
        <f t="shared" si="9"/>
        <v>-7.6190476190476197E-2</v>
      </c>
    </row>
    <row r="37" spans="1:10" ht="13.5" thickBot="1" x14ac:dyDescent="0.25">
      <c r="A37" s="48" t="s">
        <v>105</v>
      </c>
      <c r="B37" s="49"/>
      <c r="C37" s="50"/>
      <c r="D37" s="50">
        <f>SUM(D35:D36)</f>
        <v>218.30610899999999</v>
      </c>
      <c r="E37" s="50"/>
      <c r="F37" s="50"/>
      <c r="G37" s="50">
        <f>SUM(G35:G36)</f>
        <v>220.21710899999999</v>
      </c>
      <c r="H37" s="50">
        <f t="shared" si="2"/>
        <v>1.9110000000000014</v>
      </c>
      <c r="I37" s="51">
        <f t="shared" si="3"/>
        <v>8.7537632765008946E-3</v>
      </c>
      <c r="J37" s="52">
        <f t="shared" si="9"/>
        <v>1</v>
      </c>
    </row>
    <row r="38" spans="1:10" x14ac:dyDescent="0.2">
      <c r="A38" s="171"/>
      <c r="D38" s="72"/>
      <c r="F38" s="69"/>
    </row>
    <row r="39" spans="1:10" x14ac:dyDescent="0.2">
      <c r="A39" s="171"/>
      <c r="F39" s="69"/>
    </row>
    <row r="40" spans="1:10" x14ac:dyDescent="0.2">
      <c r="A40" s="172"/>
      <c r="B40" s="71"/>
      <c r="F40" s="69"/>
    </row>
    <row r="41" spans="1:10" x14ac:dyDescent="0.2">
      <c r="A41" s="171"/>
      <c r="B41" s="72"/>
      <c r="D41" s="72"/>
      <c r="F41" s="69"/>
    </row>
    <row r="42" spans="1:10" x14ac:dyDescent="0.2">
      <c r="A42" s="171"/>
      <c r="F42" s="69"/>
    </row>
    <row r="43" spans="1:10" x14ac:dyDescent="0.2">
      <c r="A43" s="171"/>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1" tint="0.499984740745262"/>
    <pageSetUpPr fitToPage="1"/>
  </sheetPr>
  <dimension ref="A1:J48"/>
  <sheetViews>
    <sheetView tabSelected="1" view="pageBreakPreview" topLeftCell="A10"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117</v>
      </c>
      <c r="B1" s="188"/>
      <c r="C1" s="188"/>
      <c r="D1" s="188"/>
      <c r="E1" s="188"/>
      <c r="F1" s="188"/>
      <c r="G1" s="188"/>
      <c r="H1" s="188"/>
      <c r="I1" s="188"/>
      <c r="J1" s="189"/>
    </row>
    <row r="3" spans="1:10" x14ac:dyDescent="0.2">
      <c r="A3" s="13" t="s">
        <v>13</v>
      </c>
      <c r="B3" s="13" t="s">
        <v>9</v>
      </c>
    </row>
    <row r="4" spans="1:10" x14ac:dyDescent="0.2">
      <c r="A4" s="15" t="s">
        <v>62</v>
      </c>
      <c r="B4" s="15">
        <v>20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8">
        <f>B4*B6</f>
        <v>21.840000000000003</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20</v>
      </c>
      <c r="C12" s="103">
        <v>0.10299999999999999</v>
      </c>
      <c r="D12" s="104">
        <f>B12*C12</f>
        <v>2.06</v>
      </c>
      <c r="E12" s="102">
        <f>B12</f>
        <v>20</v>
      </c>
      <c r="F12" s="103">
        <f>C12</f>
        <v>0.10299999999999999</v>
      </c>
      <c r="G12" s="104">
        <f>E12*F12</f>
        <v>2.06</v>
      </c>
      <c r="H12" s="104">
        <f>G12-D12</f>
        <v>0</v>
      </c>
      <c r="I12" s="105">
        <f>IF(ISERROR(H12/D12),0,(H12/D12))</f>
        <v>0</v>
      </c>
      <c r="J12" s="124">
        <f t="shared" ref="J12:J28" si="0">G12/$G$37</f>
        <v>0.21653789422987837</v>
      </c>
    </row>
    <row r="13" spans="1:10" x14ac:dyDescent="0.2">
      <c r="A13" s="107" t="s">
        <v>32</v>
      </c>
      <c r="B13" s="73">
        <f>IF(B4&gt;B7,(B4)-B7,0)</f>
        <v>0</v>
      </c>
      <c r="C13" s="21">
        <v>0.121</v>
      </c>
      <c r="D13" s="22">
        <f>B13*C13</f>
        <v>0</v>
      </c>
      <c r="E13" s="73">
        <f t="shared" ref="E13" si="1">B13</f>
        <v>0</v>
      </c>
      <c r="F13" s="21">
        <f>C13</f>
        <v>0.121</v>
      </c>
      <c r="G13" s="22">
        <f>E13*F13</f>
        <v>0</v>
      </c>
      <c r="H13" s="22">
        <f t="shared" ref="H13:H37" si="2">G13-D13</f>
        <v>0</v>
      </c>
      <c r="I13" s="23">
        <f t="shared" ref="I13:I37" si="3">IF(ISERROR(H13/D13),0,(H13/D13))</f>
        <v>0</v>
      </c>
      <c r="J13" s="125">
        <f t="shared" si="0"/>
        <v>0</v>
      </c>
    </row>
    <row r="14" spans="1:10" s="1" customFormat="1" x14ac:dyDescent="0.2">
      <c r="A14" s="46" t="s">
        <v>33</v>
      </c>
      <c r="B14" s="24"/>
      <c r="C14" s="25"/>
      <c r="D14" s="25">
        <f>SUM(D12:D13)</f>
        <v>2.06</v>
      </c>
      <c r="E14" s="76"/>
      <c r="F14" s="25"/>
      <c r="G14" s="25">
        <f>SUM(G12:G13)</f>
        <v>2.06</v>
      </c>
      <c r="H14" s="25">
        <f t="shared" si="2"/>
        <v>0</v>
      </c>
      <c r="I14" s="27">
        <f t="shared" si="3"/>
        <v>0</v>
      </c>
      <c r="J14" s="47">
        <f t="shared" si="0"/>
        <v>0.21653789422987837</v>
      </c>
    </row>
    <row r="15" spans="1:10" x14ac:dyDescent="0.2">
      <c r="A15" s="107" t="s">
        <v>38</v>
      </c>
      <c r="B15" s="73">
        <v>1</v>
      </c>
      <c r="C15" s="78">
        <f>VLOOKUP($B$3,'Data for Bill Impacts'!$A$3:$Y$15,7,0)</f>
        <v>3.26</v>
      </c>
      <c r="D15" s="22">
        <f>B15*C15</f>
        <v>3.26</v>
      </c>
      <c r="E15" s="73">
        <f t="shared" ref="E15:E32" si="4">B15</f>
        <v>1</v>
      </c>
      <c r="F15" s="78">
        <f>VLOOKUP($B$3,'Data for Bill Impacts'!$A$3:$Y$15,17,0)</f>
        <v>3.45</v>
      </c>
      <c r="G15" s="22">
        <f>E15*F15</f>
        <v>3.45</v>
      </c>
      <c r="H15" s="22">
        <f t="shared" si="2"/>
        <v>0.19000000000000039</v>
      </c>
      <c r="I15" s="23">
        <f t="shared" si="3"/>
        <v>5.8282208588957177E-2</v>
      </c>
      <c r="J15" s="125">
        <f t="shared" si="0"/>
        <v>0.36264841509372836</v>
      </c>
    </row>
    <row r="16" spans="1:10" x14ac:dyDescent="0.2">
      <c r="A16" s="107" t="s">
        <v>85</v>
      </c>
      <c r="B16" s="73">
        <v>1</v>
      </c>
      <c r="C16" s="78">
        <f>VLOOKUP($B$3,'Data for Bill Impacts'!$A$3:$Y$15,13,0)</f>
        <v>0</v>
      </c>
      <c r="D16" s="22">
        <f t="shared" ref="D16" si="5">B16*C16</f>
        <v>0</v>
      </c>
      <c r="E16" s="73">
        <f t="shared" si="4"/>
        <v>1</v>
      </c>
      <c r="F16" s="78">
        <f>VLOOKUP($B$3,'Data for Bill Impacts'!$A$3:$Y$15,22,0)</f>
        <v>0</v>
      </c>
      <c r="G16" s="22">
        <f t="shared" ref="G16" si="6">E16*F16</f>
        <v>0</v>
      </c>
      <c r="H16" s="22">
        <f t="shared" si="2"/>
        <v>0</v>
      </c>
      <c r="I16" s="23">
        <f t="shared" si="3"/>
        <v>0</v>
      </c>
      <c r="J16" s="125">
        <f t="shared" si="0"/>
        <v>0</v>
      </c>
    </row>
    <row r="17" spans="1:10" x14ac:dyDescent="0.2">
      <c r="A17" s="107" t="s">
        <v>39</v>
      </c>
      <c r="B17" s="73">
        <f>IF($B$9="kWh",$B$4,$B$5)</f>
        <v>20</v>
      </c>
      <c r="C17" s="78">
        <f>VLOOKUP($B$3,'Data for Bill Impacts'!$A$3:$Y$15,10,0)</f>
        <v>0.1239</v>
      </c>
      <c r="D17" s="22">
        <f>B17*C17</f>
        <v>2.4779999999999998</v>
      </c>
      <c r="E17" s="73">
        <f t="shared" si="4"/>
        <v>20</v>
      </c>
      <c r="F17" s="78">
        <f>VLOOKUP($B$3,'Data for Bill Impacts'!$A$3:$Y$15,19,0)</f>
        <v>0.13120000000000001</v>
      </c>
      <c r="G17" s="22">
        <f>E17*F17</f>
        <v>2.6240000000000001</v>
      </c>
      <c r="H17" s="22">
        <f t="shared" si="2"/>
        <v>0.14600000000000035</v>
      </c>
      <c r="I17" s="23">
        <f t="shared" si="3"/>
        <v>5.8918482647296357E-2</v>
      </c>
      <c r="J17" s="125">
        <f t="shared" si="0"/>
        <v>0.2758230264365053</v>
      </c>
    </row>
    <row r="18" spans="1:10" s="1" customFormat="1" x14ac:dyDescent="0.2">
      <c r="A18" s="107" t="s">
        <v>121</v>
      </c>
      <c r="B18" s="73">
        <f>IF($B$9="kWh",$B$4,$B$5)</f>
        <v>20</v>
      </c>
      <c r="C18" s="126">
        <f>VLOOKUP($B$3,'Data for Bill Impacts'!$A$3:$Y$15,14,0)</f>
        <v>1E-4</v>
      </c>
      <c r="D18" s="22">
        <f>B18*C18</f>
        <v>2E-3</v>
      </c>
      <c r="E18" s="73">
        <f>B18</f>
        <v>20</v>
      </c>
      <c r="F18" s="126">
        <f>VLOOKUP($B$3,'Data for Bill Impacts'!$A$3:$Y$15,23,0)</f>
        <v>1E-4</v>
      </c>
      <c r="G18" s="22">
        <f>E18*F18</f>
        <v>2E-3</v>
      </c>
      <c r="H18" s="22">
        <f>G18-D18</f>
        <v>0</v>
      </c>
      <c r="I18" s="23">
        <f>IF(ISERROR(H18/D18),0,(H18/D18))</f>
        <v>0</v>
      </c>
      <c r="J18" s="125">
        <f t="shared" si="0"/>
        <v>2.1023096527172659E-4</v>
      </c>
    </row>
    <row r="19" spans="1:10" hidden="1" x14ac:dyDescent="0.2">
      <c r="A19" s="107" t="s">
        <v>108</v>
      </c>
      <c r="B19" s="73">
        <f>B8</f>
        <v>21.840000000000003</v>
      </c>
      <c r="C19" s="126">
        <f>VLOOKUP($B$3,'Data for Bill Impacts'!$A$3:$Y$15,20,0)</f>
        <v>0</v>
      </c>
      <c r="D19" s="22">
        <f>B19*C19</f>
        <v>0</v>
      </c>
      <c r="E19" s="73">
        <f t="shared" si="4"/>
        <v>21.840000000000003</v>
      </c>
      <c r="F19" s="126">
        <f>VLOOKUP($B$3,'Data for Bill Impacts'!$A$3:$Y$15,21,0)</f>
        <v>0</v>
      </c>
      <c r="G19" s="22">
        <f>E19*F19</f>
        <v>0</v>
      </c>
      <c r="H19" s="22">
        <f t="shared" si="2"/>
        <v>0</v>
      </c>
      <c r="I19" s="23">
        <f>IF(ISERROR(H19/D19),0,(H19/D19))</f>
        <v>0</v>
      </c>
      <c r="J19" s="125">
        <f t="shared" si="0"/>
        <v>0</v>
      </c>
    </row>
    <row r="20" spans="1:10" x14ac:dyDescent="0.2">
      <c r="A20" s="110" t="s">
        <v>72</v>
      </c>
      <c r="B20" s="74"/>
      <c r="C20" s="35"/>
      <c r="D20" s="35">
        <f>SUM(D15:D19)</f>
        <v>5.7399999999999993</v>
      </c>
      <c r="E20" s="73"/>
      <c r="F20" s="35"/>
      <c r="G20" s="35">
        <f>SUM(G15:G19)</f>
        <v>6.0759999999999996</v>
      </c>
      <c r="H20" s="35">
        <f t="shared" si="2"/>
        <v>0.3360000000000003</v>
      </c>
      <c r="I20" s="36">
        <f t="shared" si="3"/>
        <v>5.8536585365853717E-2</v>
      </c>
      <c r="J20" s="111">
        <f t="shared" si="0"/>
        <v>0.63868167249550534</v>
      </c>
    </row>
    <row r="21" spans="1:10" s="1" customFormat="1" x14ac:dyDescent="0.2">
      <c r="A21" s="119" t="s">
        <v>81</v>
      </c>
      <c r="B21" s="120">
        <f>B8-B4</f>
        <v>1.8400000000000034</v>
      </c>
      <c r="C21" s="121">
        <f>IF(B4&gt;B7,C13,C12)</f>
        <v>0.10299999999999999</v>
      </c>
      <c r="D21" s="22">
        <f>B21*C21</f>
        <v>0.18952000000000033</v>
      </c>
      <c r="E21" s="73">
        <f>B21</f>
        <v>1.8400000000000034</v>
      </c>
      <c r="F21" s="121">
        <f>C21</f>
        <v>0.10299999999999999</v>
      </c>
      <c r="G21" s="22">
        <f>E21*F21</f>
        <v>0.18952000000000033</v>
      </c>
      <c r="H21" s="22">
        <f t="shared" si="2"/>
        <v>0</v>
      </c>
      <c r="I21" s="23">
        <f>IF(ISERROR(H21/D21),0,(H21/D21))</f>
        <v>0</v>
      </c>
      <c r="J21" s="125">
        <f t="shared" si="0"/>
        <v>1.9921486269148844E-2</v>
      </c>
    </row>
    <row r="22" spans="1:10" x14ac:dyDescent="0.2">
      <c r="A22" s="110" t="s">
        <v>79</v>
      </c>
      <c r="B22" s="74"/>
      <c r="C22" s="35"/>
      <c r="D22" s="35">
        <f>SUM(D20,D21:D21)</f>
        <v>5.9295199999999992</v>
      </c>
      <c r="E22" s="73"/>
      <c r="F22" s="35"/>
      <c r="G22" s="35">
        <f>SUM(G20,G21:G21)</f>
        <v>6.2655199999999995</v>
      </c>
      <c r="H22" s="35">
        <f t="shared" si="2"/>
        <v>0.3360000000000003</v>
      </c>
      <c r="I22" s="36">
        <f>IF(ISERROR(H22/D22),0,(H22/D22))</f>
        <v>5.6665632294013737E-2</v>
      </c>
      <c r="J22" s="111">
        <f t="shared" si="0"/>
        <v>0.65860315876465414</v>
      </c>
    </row>
    <row r="23" spans="1:10" x14ac:dyDescent="0.2">
      <c r="A23" s="107" t="s">
        <v>40</v>
      </c>
      <c r="B23" s="73">
        <f>B8</f>
        <v>21.840000000000003</v>
      </c>
      <c r="C23" s="78">
        <f>VLOOKUP($B$3,'Data for Bill Impacts'!$A$3:$Y$15,15,0)</f>
        <v>4.6979999999999999E-3</v>
      </c>
      <c r="D23" s="22">
        <f>B23*C23</f>
        <v>0.10260432000000001</v>
      </c>
      <c r="E23" s="73">
        <f t="shared" si="4"/>
        <v>21.840000000000003</v>
      </c>
      <c r="F23" s="126">
        <f>VLOOKUP($B$3,'Data for Bill Impacts'!$A$3:$Y$15,24,0)</f>
        <v>4.6979999999999999E-3</v>
      </c>
      <c r="G23" s="22">
        <f>E23*F23</f>
        <v>0.10260432000000001</v>
      </c>
      <c r="H23" s="22">
        <f t="shared" si="2"/>
        <v>0</v>
      </c>
      <c r="I23" s="23">
        <f t="shared" si="3"/>
        <v>0</v>
      </c>
      <c r="J23" s="125">
        <f t="shared" si="0"/>
        <v>1.0785302617324561E-2</v>
      </c>
    </row>
    <row r="24" spans="1:10" s="1" customFormat="1" x14ac:dyDescent="0.2">
      <c r="A24" s="107" t="s">
        <v>41</v>
      </c>
      <c r="B24" s="73">
        <f>B8</f>
        <v>21.840000000000003</v>
      </c>
      <c r="C24" s="78">
        <f>VLOOKUP($B$3,'Data for Bill Impacts'!$A$3:$Y$15,16,0)</f>
        <v>4.2899999999999995E-3</v>
      </c>
      <c r="D24" s="22">
        <f>B24*C24</f>
        <v>9.3693600000000002E-2</v>
      </c>
      <c r="E24" s="73">
        <f t="shared" si="4"/>
        <v>21.840000000000003</v>
      </c>
      <c r="F24" s="126">
        <f>VLOOKUP($B$3,'Data for Bill Impacts'!$A$3:$Y$15,25,0)</f>
        <v>4.2899999999999995E-3</v>
      </c>
      <c r="G24" s="22">
        <f>E24*F24</f>
        <v>9.3693600000000002E-2</v>
      </c>
      <c r="H24" s="22">
        <f t="shared" si="2"/>
        <v>0</v>
      </c>
      <c r="I24" s="23">
        <f t="shared" si="3"/>
        <v>0</v>
      </c>
      <c r="J24" s="125">
        <f t="shared" si="0"/>
        <v>9.8486479838915206E-3</v>
      </c>
    </row>
    <row r="25" spans="1:10" s="1" customFormat="1" x14ac:dyDescent="0.2">
      <c r="A25" s="110" t="s">
        <v>76</v>
      </c>
      <c r="B25" s="74"/>
      <c r="C25" s="35"/>
      <c r="D25" s="35">
        <f>SUM(D23:D24)</f>
        <v>0.19629792000000001</v>
      </c>
      <c r="E25" s="73"/>
      <c r="F25" s="35"/>
      <c r="G25" s="35">
        <f>SUM(G23:G24)</f>
        <v>0.19629792000000001</v>
      </c>
      <c r="H25" s="35">
        <f t="shared" si="2"/>
        <v>0</v>
      </c>
      <c r="I25" s="36">
        <f t="shared" si="3"/>
        <v>0</v>
      </c>
      <c r="J25" s="111">
        <f t="shared" si="0"/>
        <v>2.0633950601216082E-2</v>
      </c>
    </row>
    <row r="26" spans="1:10" s="1" customFormat="1" x14ac:dyDescent="0.2">
      <c r="A26" s="110" t="s">
        <v>80</v>
      </c>
      <c r="B26" s="74"/>
      <c r="C26" s="35"/>
      <c r="D26" s="35">
        <f>D22+D25</f>
        <v>6.1258179199999994</v>
      </c>
      <c r="E26" s="73"/>
      <c r="F26" s="35"/>
      <c r="G26" s="35">
        <f>G22+G25</f>
        <v>6.4618179199999997</v>
      </c>
      <c r="H26" s="35">
        <f t="shared" si="2"/>
        <v>0.3360000000000003</v>
      </c>
      <c r="I26" s="36">
        <f t="shared" si="3"/>
        <v>5.4849818324342284E-2</v>
      </c>
      <c r="J26" s="111">
        <f t="shared" si="0"/>
        <v>0.67923710936587023</v>
      </c>
    </row>
    <row r="27" spans="1:10" x14ac:dyDescent="0.2">
      <c r="A27" s="107" t="s">
        <v>42</v>
      </c>
      <c r="B27" s="73">
        <f>B8</f>
        <v>21.840000000000003</v>
      </c>
      <c r="C27" s="34">
        <v>3.5999999999999999E-3</v>
      </c>
      <c r="D27" s="22">
        <f>B27*C27</f>
        <v>7.8624000000000013E-2</v>
      </c>
      <c r="E27" s="73">
        <f t="shared" si="4"/>
        <v>21.840000000000003</v>
      </c>
      <c r="F27" s="34">
        <v>3.5999999999999999E-3</v>
      </c>
      <c r="G27" s="22">
        <f>E27*F27</f>
        <v>7.8624000000000013E-2</v>
      </c>
      <c r="H27" s="22">
        <f t="shared" si="2"/>
        <v>0</v>
      </c>
      <c r="I27" s="23">
        <f t="shared" si="3"/>
        <v>0</v>
      </c>
      <c r="J27" s="125">
        <f t="shared" si="0"/>
        <v>8.2645997067621168E-3</v>
      </c>
    </row>
    <row r="28" spans="1:10" s="1" customFormat="1" x14ac:dyDescent="0.2">
      <c r="A28" s="107" t="s">
        <v>43</v>
      </c>
      <c r="B28" s="73">
        <f>B8</f>
        <v>21.840000000000003</v>
      </c>
      <c r="C28" s="34">
        <v>2.0999999999999999E-3</v>
      </c>
      <c r="D28" s="22">
        <f>B28*C28</f>
        <v>4.5864000000000002E-2</v>
      </c>
      <c r="E28" s="73">
        <f t="shared" si="4"/>
        <v>21.840000000000003</v>
      </c>
      <c r="F28" s="34">
        <v>2.0999999999999999E-3</v>
      </c>
      <c r="G28" s="22">
        <f>E28*F28</f>
        <v>4.5864000000000002E-2</v>
      </c>
      <c r="H28" s="22">
        <f>G28-D28</f>
        <v>0</v>
      </c>
      <c r="I28" s="23">
        <f t="shared" si="3"/>
        <v>0</v>
      </c>
      <c r="J28" s="125">
        <f t="shared" si="0"/>
        <v>4.8210164956112344E-3</v>
      </c>
    </row>
    <row r="29" spans="1:10" s="1" customFormat="1" x14ac:dyDescent="0.2">
      <c r="A29" s="107" t="s">
        <v>96</v>
      </c>
      <c r="B29" s="73">
        <f>B8</f>
        <v>21.840000000000003</v>
      </c>
      <c r="C29" s="34">
        <v>1.1000000000000001E-3</v>
      </c>
      <c r="D29" s="22">
        <f>B29*C29</f>
        <v>2.4024000000000004E-2</v>
      </c>
      <c r="E29" s="73">
        <f t="shared" si="4"/>
        <v>21.840000000000003</v>
      </c>
      <c r="F29" s="34">
        <v>1.1000000000000001E-3</v>
      </c>
      <c r="G29" s="22">
        <f>E29*F29</f>
        <v>2.4024000000000004E-2</v>
      </c>
      <c r="H29" s="22">
        <f>G29-D29</f>
        <v>0</v>
      </c>
      <c r="I29" s="23">
        <f t="shared" ref="I29" si="7">IF(ISERROR(H29/D29),0,(H29/D29))</f>
        <v>0</v>
      </c>
      <c r="J29" s="125">
        <f t="shared" ref="J29" si="8">G29/$G$37</f>
        <v>2.5252943548439801E-3</v>
      </c>
    </row>
    <row r="30" spans="1:10" x14ac:dyDescent="0.2">
      <c r="A30" s="107" t="s">
        <v>44</v>
      </c>
      <c r="B30" s="73">
        <v>1</v>
      </c>
      <c r="C30" s="22">
        <v>0.25</v>
      </c>
      <c r="D30" s="22">
        <f>B30*C30</f>
        <v>0.25</v>
      </c>
      <c r="E30" s="73">
        <f t="shared" si="4"/>
        <v>1</v>
      </c>
      <c r="F30" s="22">
        <f>C30</f>
        <v>0.25</v>
      </c>
      <c r="G30" s="22">
        <f>E30*F30</f>
        <v>0.25</v>
      </c>
      <c r="H30" s="22">
        <f t="shared" si="2"/>
        <v>0</v>
      </c>
      <c r="I30" s="23">
        <f t="shared" si="3"/>
        <v>0</v>
      </c>
      <c r="J30" s="125">
        <f t="shared" ref="J30:J37" si="9">G30/$G$37</f>
        <v>2.6278870658965822E-2</v>
      </c>
    </row>
    <row r="31" spans="1:10" s="1" customFormat="1" x14ac:dyDescent="0.2">
      <c r="A31" s="110" t="s">
        <v>45</v>
      </c>
      <c r="B31" s="74"/>
      <c r="C31" s="35"/>
      <c r="D31" s="35">
        <f>SUM(D27:D30)</f>
        <v>0.39851200000000003</v>
      </c>
      <c r="E31" s="73"/>
      <c r="F31" s="35"/>
      <c r="G31" s="35">
        <f>SUM(G27:G30)</f>
        <v>0.39851200000000003</v>
      </c>
      <c r="H31" s="35">
        <f t="shared" si="2"/>
        <v>0</v>
      </c>
      <c r="I31" s="36">
        <f t="shared" si="3"/>
        <v>0</v>
      </c>
      <c r="J31" s="111">
        <f t="shared" si="9"/>
        <v>4.1889781216183156E-2</v>
      </c>
    </row>
    <row r="32" spans="1:10" ht="13.5" thickBot="1" x14ac:dyDescent="0.25">
      <c r="A32" s="112" t="s">
        <v>46</v>
      </c>
      <c r="B32" s="113">
        <f>B4</f>
        <v>20</v>
      </c>
      <c r="C32" s="114">
        <v>7.0000000000000001E-3</v>
      </c>
      <c r="D32" s="115">
        <f>B32*C32</f>
        <v>0.14000000000000001</v>
      </c>
      <c r="E32" s="116">
        <f t="shared" si="4"/>
        <v>20</v>
      </c>
      <c r="F32" s="114">
        <f>C32</f>
        <v>7.0000000000000001E-3</v>
      </c>
      <c r="G32" s="115">
        <f>E32*F32</f>
        <v>0.14000000000000001</v>
      </c>
      <c r="H32" s="115">
        <f t="shared" si="2"/>
        <v>0</v>
      </c>
      <c r="I32" s="117">
        <f t="shared" si="3"/>
        <v>0</v>
      </c>
      <c r="J32" s="118">
        <f t="shared" si="9"/>
        <v>1.4716167569020862E-2</v>
      </c>
    </row>
    <row r="33" spans="1:10" x14ac:dyDescent="0.2">
      <c r="A33" s="37" t="s">
        <v>111</v>
      </c>
      <c r="B33" s="38"/>
      <c r="C33" s="39"/>
      <c r="D33" s="39">
        <f>SUM(D14,D22,D25,D31,D32)</f>
        <v>8.7243299199999989</v>
      </c>
      <c r="E33" s="38"/>
      <c r="F33" s="39"/>
      <c r="G33" s="39">
        <f>SUM(G14,G22,G25,G31,G32)</f>
        <v>9.0603299199999991</v>
      </c>
      <c r="H33" s="39">
        <f t="shared" si="2"/>
        <v>0.3360000000000003</v>
      </c>
      <c r="I33" s="40">
        <f>IF(ISERROR(H33/D33),0,(H33/D33))</f>
        <v>3.8512986450654575E-2</v>
      </c>
      <c r="J33" s="41">
        <f t="shared" si="9"/>
        <v>0.95238095238095255</v>
      </c>
    </row>
    <row r="34" spans="1:10" x14ac:dyDescent="0.2">
      <c r="A34" s="46" t="s">
        <v>102</v>
      </c>
      <c r="B34" s="43"/>
      <c r="C34" s="26">
        <v>0.13</v>
      </c>
      <c r="D34" s="26">
        <f>D33*C34</f>
        <v>1.1341628895999998</v>
      </c>
      <c r="E34" s="26"/>
      <c r="F34" s="26">
        <f>C34</f>
        <v>0.13</v>
      </c>
      <c r="G34" s="26">
        <f>G33*F34</f>
        <v>1.1778428895999999</v>
      </c>
      <c r="H34" s="26">
        <f t="shared" si="2"/>
        <v>4.3680000000000163E-2</v>
      </c>
      <c r="I34" s="44">
        <f t="shared" si="3"/>
        <v>3.8512986450654693E-2</v>
      </c>
      <c r="J34" s="45">
        <f t="shared" si="9"/>
        <v>0.12380952380952384</v>
      </c>
    </row>
    <row r="35" spans="1:10" x14ac:dyDescent="0.2">
      <c r="A35" s="46" t="s">
        <v>103</v>
      </c>
      <c r="B35" s="24"/>
      <c r="C35" s="25"/>
      <c r="D35" s="25">
        <f>SUM(D33:D34)</f>
        <v>9.8584928095999977</v>
      </c>
      <c r="E35" s="25"/>
      <c r="F35" s="25"/>
      <c r="G35" s="25">
        <f>SUM(G33:G34)</f>
        <v>10.238172809599998</v>
      </c>
      <c r="H35" s="25">
        <f t="shared" si="2"/>
        <v>0.37968000000000046</v>
      </c>
      <c r="I35" s="27">
        <f t="shared" si="3"/>
        <v>3.8512986450654596E-2</v>
      </c>
      <c r="J35" s="47">
        <f t="shared" si="9"/>
        <v>1.0761904761904764</v>
      </c>
    </row>
    <row r="36" spans="1:10" x14ac:dyDescent="0.2">
      <c r="A36" s="46" t="s">
        <v>104</v>
      </c>
      <c r="B36" s="43"/>
      <c r="C36" s="26">
        <v>-0.08</v>
      </c>
      <c r="D36" s="26">
        <f>D33*C36</f>
        <v>-0.69794639359999988</v>
      </c>
      <c r="E36" s="26"/>
      <c r="F36" s="26">
        <f>C36</f>
        <v>-0.08</v>
      </c>
      <c r="G36" s="26">
        <f>G33*F36</f>
        <v>-0.7248263935999999</v>
      </c>
      <c r="H36" s="26">
        <f t="shared" si="2"/>
        <v>-2.6880000000000015E-2</v>
      </c>
      <c r="I36" s="44">
        <f t="shared" si="3"/>
        <v>3.8512986450654568E-2</v>
      </c>
      <c r="J36" s="45">
        <f t="shared" si="9"/>
        <v>-7.6190476190476197E-2</v>
      </c>
    </row>
    <row r="37" spans="1:10" ht="13.5" thickBot="1" x14ac:dyDescent="0.25">
      <c r="A37" s="48" t="s">
        <v>105</v>
      </c>
      <c r="B37" s="49"/>
      <c r="C37" s="50"/>
      <c r="D37" s="50">
        <f>SUM(D35:D36)</f>
        <v>9.1605464159999972</v>
      </c>
      <c r="E37" s="50"/>
      <c r="F37" s="50"/>
      <c r="G37" s="50">
        <f>SUM(G35:G36)</f>
        <v>9.5133464159999974</v>
      </c>
      <c r="H37" s="50">
        <f t="shared" si="2"/>
        <v>0.35280000000000022</v>
      </c>
      <c r="I37" s="51">
        <f t="shared" si="3"/>
        <v>3.8512986450654575E-2</v>
      </c>
      <c r="J37" s="52">
        <f t="shared" si="9"/>
        <v>1</v>
      </c>
    </row>
    <row r="38" spans="1:10" x14ac:dyDescent="0.2">
      <c r="A38" s="171"/>
      <c r="D38" s="72"/>
      <c r="F38" s="69"/>
    </row>
    <row r="39" spans="1:10" x14ac:dyDescent="0.2">
      <c r="A39" s="171"/>
      <c r="F39" s="69"/>
    </row>
    <row r="40" spans="1:10" x14ac:dyDescent="0.2">
      <c r="A40" s="172"/>
      <c r="B40" s="71"/>
      <c r="F40" s="69"/>
    </row>
    <row r="41" spans="1:10" x14ac:dyDescent="0.2">
      <c r="A41" s="171"/>
      <c r="B41" s="72"/>
      <c r="D41" s="72"/>
      <c r="F41" s="69"/>
    </row>
    <row r="42" spans="1:10" x14ac:dyDescent="0.2">
      <c r="A42" s="171"/>
      <c r="F42" s="69"/>
    </row>
    <row r="43" spans="1:10" x14ac:dyDescent="0.2">
      <c r="A43" s="171"/>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1" tint="0.499984740745262"/>
    <pageSetUpPr fitToPage="1"/>
  </sheetPr>
  <dimension ref="A1:J48"/>
  <sheetViews>
    <sheetView tabSelected="1" view="pageBreakPreview" topLeftCell="A13"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119</v>
      </c>
      <c r="B1" s="188"/>
      <c r="C1" s="188"/>
      <c r="D1" s="188"/>
      <c r="E1" s="188"/>
      <c r="F1" s="188"/>
      <c r="G1" s="188"/>
      <c r="H1" s="188"/>
      <c r="I1" s="188"/>
      <c r="J1" s="189"/>
    </row>
    <row r="3" spans="1:10" x14ac:dyDescent="0.2">
      <c r="A3" s="13" t="s">
        <v>13</v>
      </c>
      <c r="B3" s="13" t="s">
        <v>9</v>
      </c>
    </row>
    <row r="4" spans="1:10" x14ac:dyDescent="0.2">
      <c r="A4" s="15" t="s">
        <v>62</v>
      </c>
      <c r="B4" s="168">
        <f>VLOOKUP(B3,'Data for Bill Impacts'!A18:D31,3,FALSE)</f>
        <v>71</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8">
        <f>B4*B6</f>
        <v>77.532000000000011</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71</v>
      </c>
      <c r="C12" s="103">
        <v>0.10299999999999999</v>
      </c>
      <c r="D12" s="104">
        <f>B12*C12</f>
        <v>7.3129999999999997</v>
      </c>
      <c r="E12" s="102">
        <f>B12</f>
        <v>71</v>
      </c>
      <c r="F12" s="103">
        <f>C12</f>
        <v>0.10299999999999999</v>
      </c>
      <c r="G12" s="104">
        <f>E12*F12</f>
        <v>7.3129999999999997</v>
      </c>
      <c r="H12" s="104">
        <f>G12-D12</f>
        <v>0</v>
      </c>
      <c r="I12" s="105">
        <f>IF(ISERROR(H12/D12),0,(H12/D12))</f>
        <v>0</v>
      </c>
      <c r="J12" s="124">
        <f t="shared" ref="J12:J28" si="0">G12/$G$37</f>
        <v>0.30642392714517991</v>
      </c>
    </row>
    <row r="13" spans="1:10" x14ac:dyDescent="0.2">
      <c r="A13" s="107" t="s">
        <v>32</v>
      </c>
      <c r="B13" s="73">
        <f>IF(B4&gt;B7,(B4)-B7,0)</f>
        <v>0</v>
      </c>
      <c r="C13" s="21">
        <v>0.121</v>
      </c>
      <c r="D13" s="22">
        <f>B13*C13</f>
        <v>0</v>
      </c>
      <c r="E13" s="73">
        <f t="shared" ref="E13" si="1">B13</f>
        <v>0</v>
      </c>
      <c r="F13" s="21">
        <f>C13</f>
        <v>0.121</v>
      </c>
      <c r="G13" s="22">
        <f>E13*F13</f>
        <v>0</v>
      </c>
      <c r="H13" s="22">
        <f t="shared" ref="H13:H37" si="2">G13-D13</f>
        <v>0</v>
      </c>
      <c r="I13" s="23">
        <f t="shared" ref="I13:I37" si="3">IF(ISERROR(H13/D13),0,(H13/D13))</f>
        <v>0</v>
      </c>
      <c r="J13" s="125">
        <f t="shared" si="0"/>
        <v>0</v>
      </c>
    </row>
    <row r="14" spans="1:10" s="1" customFormat="1" x14ac:dyDescent="0.2">
      <c r="A14" s="46" t="s">
        <v>33</v>
      </c>
      <c r="B14" s="24"/>
      <c r="C14" s="25"/>
      <c r="D14" s="25">
        <f>SUM(D12:D13)</f>
        <v>7.3129999999999997</v>
      </c>
      <c r="E14" s="76"/>
      <c r="F14" s="25"/>
      <c r="G14" s="25">
        <f>SUM(G12:G13)</f>
        <v>7.3129999999999997</v>
      </c>
      <c r="H14" s="25">
        <f t="shared" si="2"/>
        <v>0</v>
      </c>
      <c r="I14" s="27">
        <f t="shared" si="3"/>
        <v>0</v>
      </c>
      <c r="J14" s="47">
        <f t="shared" si="0"/>
        <v>0.30642392714517991</v>
      </c>
    </row>
    <row r="15" spans="1:10" x14ac:dyDescent="0.2">
      <c r="A15" s="107" t="s">
        <v>38</v>
      </c>
      <c r="B15" s="73">
        <v>1</v>
      </c>
      <c r="C15" s="78">
        <f>VLOOKUP($B$3,'Data for Bill Impacts'!$A$3:$Y$15,7,0)</f>
        <v>3.26</v>
      </c>
      <c r="D15" s="22">
        <f>B15*C15</f>
        <v>3.26</v>
      </c>
      <c r="E15" s="73">
        <f t="shared" ref="E15:E32" si="4">B15</f>
        <v>1</v>
      </c>
      <c r="F15" s="78">
        <f>VLOOKUP($B$3,'Data for Bill Impacts'!$A$3:$Y$15,17,0)</f>
        <v>3.45</v>
      </c>
      <c r="G15" s="22">
        <f>E15*F15</f>
        <v>3.45</v>
      </c>
      <c r="H15" s="22">
        <f t="shared" si="2"/>
        <v>0.19000000000000039</v>
      </c>
      <c r="I15" s="23">
        <f t="shared" si="3"/>
        <v>5.8282208588957177E-2</v>
      </c>
      <c r="J15" s="125">
        <f t="shared" si="0"/>
        <v>0.14455935302213466</v>
      </c>
    </row>
    <row r="16" spans="1:10" x14ac:dyDescent="0.2">
      <c r="A16" s="107" t="s">
        <v>85</v>
      </c>
      <c r="B16" s="73">
        <v>1</v>
      </c>
      <c r="C16" s="78">
        <f>VLOOKUP($B$3,'Data for Bill Impacts'!$A$3:$Y$15,13,0)</f>
        <v>0</v>
      </c>
      <c r="D16" s="22">
        <f t="shared" ref="D16" si="5">B16*C16</f>
        <v>0</v>
      </c>
      <c r="E16" s="73">
        <f t="shared" si="4"/>
        <v>1</v>
      </c>
      <c r="F16" s="78">
        <f>VLOOKUP($B$3,'Data for Bill Impacts'!$A$3:$Y$15,22,0)</f>
        <v>0</v>
      </c>
      <c r="G16" s="22">
        <f t="shared" ref="G16" si="6">E16*F16</f>
        <v>0</v>
      </c>
      <c r="H16" s="22">
        <f t="shared" si="2"/>
        <v>0</v>
      </c>
      <c r="I16" s="23">
        <f t="shared" si="3"/>
        <v>0</v>
      </c>
      <c r="J16" s="125">
        <f t="shared" si="0"/>
        <v>0</v>
      </c>
    </row>
    <row r="17" spans="1:10" x14ac:dyDescent="0.2">
      <c r="A17" s="107" t="s">
        <v>39</v>
      </c>
      <c r="B17" s="73">
        <f>IF($B$9="kWh",$B$4,$B$5)</f>
        <v>71</v>
      </c>
      <c r="C17" s="78">
        <f>VLOOKUP($B$3,'Data for Bill Impacts'!$A$3:$Y$15,10,0)</f>
        <v>0.1239</v>
      </c>
      <c r="D17" s="22">
        <f>B17*C17</f>
        <v>8.7968999999999991</v>
      </c>
      <c r="E17" s="73">
        <f t="shared" si="4"/>
        <v>71</v>
      </c>
      <c r="F17" s="78">
        <f>VLOOKUP($B$3,'Data for Bill Impacts'!$A$3:$Y$15,19,0)</f>
        <v>0.13120000000000001</v>
      </c>
      <c r="G17" s="22">
        <f>E17*F17</f>
        <v>9.3152000000000008</v>
      </c>
      <c r="H17" s="22">
        <f t="shared" si="2"/>
        <v>0.51830000000000176</v>
      </c>
      <c r="I17" s="23">
        <f t="shared" si="3"/>
        <v>5.8918482647296412E-2</v>
      </c>
      <c r="J17" s="125">
        <f t="shared" si="0"/>
        <v>0.3903186334121127</v>
      </c>
    </row>
    <row r="18" spans="1:10" s="1" customFormat="1" x14ac:dyDescent="0.2">
      <c r="A18" s="107" t="s">
        <v>121</v>
      </c>
      <c r="B18" s="73">
        <f>IF($B$9="kWh",$B$4,$B$5)</f>
        <v>71</v>
      </c>
      <c r="C18" s="126">
        <f>VLOOKUP($B$3,'Data for Bill Impacts'!$A$3:$Y$15,14,0)</f>
        <v>1E-4</v>
      </c>
      <c r="D18" s="22">
        <f>B18*C18</f>
        <v>7.1000000000000004E-3</v>
      </c>
      <c r="E18" s="73">
        <f>B18</f>
        <v>71</v>
      </c>
      <c r="F18" s="126">
        <f>VLOOKUP($B$3,'Data for Bill Impacts'!$A$3:$Y$15,23,0)</f>
        <v>1E-4</v>
      </c>
      <c r="G18" s="22">
        <f>E18*F18</f>
        <v>7.1000000000000004E-3</v>
      </c>
      <c r="H18" s="22">
        <f>G18-D18</f>
        <v>0</v>
      </c>
      <c r="I18" s="23">
        <f>IF(ISERROR(H18/D18),0,(H18/D18))</f>
        <v>0</v>
      </c>
      <c r="J18" s="125">
        <f t="shared" si="0"/>
        <v>2.9749895839337854E-4</v>
      </c>
    </row>
    <row r="19" spans="1:10" hidden="1" x14ac:dyDescent="0.2">
      <c r="A19" s="107" t="s">
        <v>108</v>
      </c>
      <c r="B19" s="73">
        <f>B8</f>
        <v>77.532000000000011</v>
      </c>
      <c r="C19" s="126">
        <f>VLOOKUP($B$3,'Data for Bill Impacts'!$A$3:$Y$15,20,0)</f>
        <v>0</v>
      </c>
      <c r="D19" s="22">
        <f>B19*C19</f>
        <v>0</v>
      </c>
      <c r="E19" s="73">
        <f t="shared" si="4"/>
        <v>77.532000000000011</v>
      </c>
      <c r="F19" s="126">
        <f>VLOOKUP($B$3,'Data for Bill Impacts'!$A$3:$Y$15,21,0)</f>
        <v>0</v>
      </c>
      <c r="G19" s="22">
        <f>E19*F19</f>
        <v>0</v>
      </c>
      <c r="H19" s="22">
        <f t="shared" si="2"/>
        <v>0</v>
      </c>
      <c r="I19" s="23">
        <f>IF(ISERROR(H19/D19),0,(H19/D19))</f>
        <v>0</v>
      </c>
      <c r="J19" s="125">
        <f t="shared" si="0"/>
        <v>0</v>
      </c>
    </row>
    <row r="20" spans="1:10" x14ac:dyDescent="0.2">
      <c r="A20" s="110" t="s">
        <v>72</v>
      </c>
      <c r="B20" s="74"/>
      <c r="C20" s="35"/>
      <c r="D20" s="35">
        <f>SUM(D15:D19)</f>
        <v>12.063999999999998</v>
      </c>
      <c r="E20" s="73"/>
      <c r="F20" s="35"/>
      <c r="G20" s="35">
        <f>SUM(G15:G19)</f>
        <v>12.7723</v>
      </c>
      <c r="H20" s="35">
        <f t="shared" si="2"/>
        <v>0.70830000000000126</v>
      </c>
      <c r="I20" s="36">
        <f t="shared" si="3"/>
        <v>5.8711870026525309E-2</v>
      </c>
      <c r="J20" s="111">
        <f t="shared" si="0"/>
        <v>0.5351754853926407</v>
      </c>
    </row>
    <row r="21" spans="1:10" s="1" customFormat="1" x14ac:dyDescent="0.2">
      <c r="A21" s="119" t="s">
        <v>81</v>
      </c>
      <c r="B21" s="120">
        <f>B8-B4</f>
        <v>6.5320000000000107</v>
      </c>
      <c r="C21" s="121">
        <f>IF(B4&gt;B7,C13,C12)</f>
        <v>0.10299999999999999</v>
      </c>
      <c r="D21" s="22">
        <f>B21*C21</f>
        <v>0.67279600000000106</v>
      </c>
      <c r="E21" s="73">
        <f>B21</f>
        <v>6.5320000000000107</v>
      </c>
      <c r="F21" s="121">
        <f>C21</f>
        <v>0.10299999999999999</v>
      </c>
      <c r="G21" s="22">
        <f>E21*F21</f>
        <v>0.67279600000000106</v>
      </c>
      <c r="H21" s="22">
        <f t="shared" si="2"/>
        <v>0</v>
      </c>
      <c r="I21" s="23">
        <f>IF(ISERROR(H21/D21),0,(H21/D21))</f>
        <v>0</v>
      </c>
      <c r="J21" s="125">
        <f t="shared" si="0"/>
        <v>2.8191001297356594E-2</v>
      </c>
    </row>
    <row r="22" spans="1:10" x14ac:dyDescent="0.2">
      <c r="A22" s="110" t="s">
        <v>79</v>
      </c>
      <c r="B22" s="74"/>
      <c r="C22" s="35"/>
      <c r="D22" s="35">
        <f>SUM(D20,D21:D21)</f>
        <v>12.736796</v>
      </c>
      <c r="E22" s="73"/>
      <c r="F22" s="35"/>
      <c r="G22" s="35">
        <f>SUM(G20,G21:G21)</f>
        <v>13.445096000000001</v>
      </c>
      <c r="H22" s="35">
        <f t="shared" si="2"/>
        <v>0.70830000000000126</v>
      </c>
      <c r="I22" s="36">
        <f>IF(ISERROR(H22/D22),0,(H22/D22))</f>
        <v>5.5610531879446076E-2</v>
      </c>
      <c r="J22" s="111">
        <f t="shared" si="0"/>
        <v>0.56336648668999723</v>
      </c>
    </row>
    <row r="23" spans="1:10" x14ac:dyDescent="0.2">
      <c r="A23" s="107" t="s">
        <v>40</v>
      </c>
      <c r="B23" s="73">
        <f>B8</f>
        <v>77.532000000000011</v>
      </c>
      <c r="C23" s="78">
        <f>VLOOKUP($B$3,'Data for Bill Impacts'!$A$3:$Y$15,15,0)</f>
        <v>4.6979999999999999E-3</v>
      </c>
      <c r="D23" s="22">
        <f>B23*C23</f>
        <v>0.36424533600000003</v>
      </c>
      <c r="E23" s="73">
        <f t="shared" si="4"/>
        <v>77.532000000000011</v>
      </c>
      <c r="F23" s="126">
        <f>VLOOKUP($B$3,'Data for Bill Impacts'!$A$3:$Y$15,24,0)</f>
        <v>4.6979999999999999E-3</v>
      </c>
      <c r="G23" s="22">
        <f>E23*F23</f>
        <v>0.36424533600000003</v>
      </c>
      <c r="H23" s="22">
        <f t="shared" si="2"/>
        <v>0</v>
      </c>
      <c r="I23" s="23">
        <f t="shared" si="3"/>
        <v>0</v>
      </c>
      <c r="J23" s="125">
        <f t="shared" si="0"/>
        <v>1.526233916333045E-2</v>
      </c>
    </row>
    <row r="24" spans="1:10" s="1" customFormat="1" x14ac:dyDescent="0.2">
      <c r="A24" s="107" t="s">
        <v>41</v>
      </c>
      <c r="B24" s="73">
        <f>B8</f>
        <v>77.532000000000011</v>
      </c>
      <c r="C24" s="78">
        <f>VLOOKUP($B$3,'Data for Bill Impacts'!$A$3:$Y$15,16,0)</f>
        <v>4.2899999999999995E-3</v>
      </c>
      <c r="D24" s="22">
        <f>B24*C24</f>
        <v>0.33261228000000004</v>
      </c>
      <c r="E24" s="73">
        <f t="shared" si="4"/>
        <v>77.532000000000011</v>
      </c>
      <c r="F24" s="126">
        <f>VLOOKUP($B$3,'Data for Bill Impacts'!$A$3:$Y$15,25,0)</f>
        <v>4.2899999999999995E-3</v>
      </c>
      <c r="G24" s="22">
        <f>E24*F24</f>
        <v>0.33261228000000004</v>
      </c>
      <c r="H24" s="22">
        <f t="shared" si="2"/>
        <v>0</v>
      </c>
      <c r="I24" s="23">
        <f t="shared" si="3"/>
        <v>0</v>
      </c>
      <c r="J24" s="125">
        <f t="shared" si="0"/>
        <v>1.3936874204062928E-2</v>
      </c>
    </row>
    <row r="25" spans="1:10" s="1" customFormat="1" x14ac:dyDescent="0.2">
      <c r="A25" s="110" t="s">
        <v>76</v>
      </c>
      <c r="B25" s="74"/>
      <c r="C25" s="35"/>
      <c r="D25" s="35">
        <f>SUM(D23:D24)</f>
        <v>0.69685761600000007</v>
      </c>
      <c r="E25" s="73"/>
      <c r="F25" s="35"/>
      <c r="G25" s="35">
        <f>SUM(G23:G24)</f>
        <v>0.69685761600000007</v>
      </c>
      <c r="H25" s="35">
        <f t="shared" si="2"/>
        <v>0</v>
      </c>
      <c r="I25" s="36">
        <f t="shared" si="3"/>
        <v>0</v>
      </c>
      <c r="J25" s="111">
        <f t="shared" si="0"/>
        <v>2.9199213367393378E-2</v>
      </c>
    </row>
    <row r="26" spans="1:10" s="1" customFormat="1" x14ac:dyDescent="0.2">
      <c r="A26" s="110" t="s">
        <v>80</v>
      </c>
      <c r="B26" s="74"/>
      <c r="C26" s="35"/>
      <c r="D26" s="35">
        <f>D22+D25</f>
        <v>13.433653616000001</v>
      </c>
      <c r="E26" s="73"/>
      <c r="F26" s="35"/>
      <c r="G26" s="35">
        <f>G22+G25</f>
        <v>14.141953616000002</v>
      </c>
      <c r="H26" s="35">
        <f t="shared" si="2"/>
        <v>0.70830000000000126</v>
      </c>
      <c r="I26" s="36">
        <f t="shared" si="3"/>
        <v>5.2725790037967672E-2</v>
      </c>
      <c r="J26" s="111">
        <f t="shared" si="0"/>
        <v>0.59256570005739073</v>
      </c>
    </row>
    <row r="27" spans="1:10" x14ac:dyDescent="0.2">
      <c r="A27" s="107" t="s">
        <v>42</v>
      </c>
      <c r="B27" s="73">
        <f>B8</f>
        <v>77.532000000000011</v>
      </c>
      <c r="C27" s="34">
        <v>3.5999999999999999E-3</v>
      </c>
      <c r="D27" s="22">
        <f>B27*C27</f>
        <v>0.27911520000000001</v>
      </c>
      <c r="E27" s="73">
        <f t="shared" si="4"/>
        <v>77.532000000000011</v>
      </c>
      <c r="F27" s="34">
        <v>3.5999999999999999E-3</v>
      </c>
      <c r="G27" s="22">
        <f>E27*F27</f>
        <v>0.27911520000000001</v>
      </c>
      <c r="H27" s="22">
        <f t="shared" si="2"/>
        <v>0</v>
      </c>
      <c r="I27" s="23">
        <f t="shared" si="3"/>
        <v>0</v>
      </c>
      <c r="J27" s="125">
        <f t="shared" si="0"/>
        <v>1.1695279052360497E-2</v>
      </c>
    </row>
    <row r="28" spans="1:10" s="1" customFormat="1" x14ac:dyDescent="0.2">
      <c r="A28" s="107" t="s">
        <v>43</v>
      </c>
      <c r="B28" s="73">
        <f>B8</f>
        <v>77.532000000000011</v>
      </c>
      <c r="C28" s="34">
        <v>2.0999999999999999E-3</v>
      </c>
      <c r="D28" s="22">
        <f>B28*C28</f>
        <v>0.16281720000000002</v>
      </c>
      <c r="E28" s="73">
        <f t="shared" si="4"/>
        <v>77.532000000000011</v>
      </c>
      <c r="F28" s="34">
        <v>2.0999999999999999E-3</v>
      </c>
      <c r="G28" s="22">
        <f>E28*F28</f>
        <v>0.16281720000000002</v>
      </c>
      <c r="H28" s="22">
        <f>G28-D28</f>
        <v>0</v>
      </c>
      <c r="I28" s="23">
        <f t="shared" si="3"/>
        <v>0</v>
      </c>
      <c r="J28" s="125">
        <f t="shared" si="0"/>
        <v>6.8222461138769579E-3</v>
      </c>
    </row>
    <row r="29" spans="1:10" s="1" customFormat="1" x14ac:dyDescent="0.2">
      <c r="A29" s="107" t="s">
        <v>96</v>
      </c>
      <c r="B29" s="73">
        <f>B8</f>
        <v>77.532000000000011</v>
      </c>
      <c r="C29" s="34">
        <v>1.1000000000000001E-3</v>
      </c>
      <c r="D29" s="22">
        <f>B29*C29</f>
        <v>8.5285200000000019E-2</v>
      </c>
      <c r="E29" s="73">
        <f t="shared" si="4"/>
        <v>77.532000000000011</v>
      </c>
      <c r="F29" s="34">
        <v>1.1000000000000001E-3</v>
      </c>
      <c r="G29" s="22">
        <f>E29*F29</f>
        <v>8.5285200000000019E-2</v>
      </c>
      <c r="H29" s="22">
        <f>G29-D29</f>
        <v>0</v>
      </c>
      <c r="I29" s="23">
        <f t="shared" ref="I29" si="7">IF(ISERROR(H29/D29),0,(H29/D29))</f>
        <v>0</v>
      </c>
      <c r="J29" s="125">
        <f t="shared" ref="J29" si="8">G29/$G$37</f>
        <v>3.573557488221264E-3</v>
      </c>
    </row>
    <row r="30" spans="1:10" x14ac:dyDescent="0.2">
      <c r="A30" s="107" t="s">
        <v>44</v>
      </c>
      <c r="B30" s="73">
        <v>1</v>
      </c>
      <c r="C30" s="22">
        <v>0.25</v>
      </c>
      <c r="D30" s="22">
        <f>B30*C30</f>
        <v>0.25</v>
      </c>
      <c r="E30" s="73">
        <f t="shared" si="4"/>
        <v>1</v>
      </c>
      <c r="F30" s="22">
        <f>C30</f>
        <v>0.25</v>
      </c>
      <c r="G30" s="22">
        <f>E30*F30</f>
        <v>0.25</v>
      </c>
      <c r="H30" s="22">
        <f t="shared" si="2"/>
        <v>0</v>
      </c>
      <c r="I30" s="23">
        <f t="shared" si="3"/>
        <v>0</v>
      </c>
      <c r="J30" s="125">
        <f t="shared" ref="J30:J37" si="9">G30/$G$37</f>
        <v>1.0475315436386568E-2</v>
      </c>
    </row>
    <row r="31" spans="1:10" s="1" customFormat="1" x14ac:dyDescent="0.2">
      <c r="A31" s="110" t="s">
        <v>45</v>
      </c>
      <c r="B31" s="74"/>
      <c r="C31" s="35"/>
      <c r="D31" s="35">
        <f>SUM(D27:D30)</f>
        <v>0.77721760000000006</v>
      </c>
      <c r="E31" s="73"/>
      <c r="F31" s="35"/>
      <c r="G31" s="35">
        <f>SUM(G27:G30)</f>
        <v>0.77721760000000006</v>
      </c>
      <c r="H31" s="35">
        <f t="shared" si="2"/>
        <v>0</v>
      </c>
      <c r="I31" s="36">
        <f t="shared" si="3"/>
        <v>0</v>
      </c>
      <c r="J31" s="111">
        <f t="shared" si="9"/>
        <v>3.2566398090845286E-2</v>
      </c>
    </row>
    <row r="32" spans="1:10" ht="13.5" thickBot="1" x14ac:dyDescent="0.25">
      <c r="A32" s="112" t="s">
        <v>46</v>
      </c>
      <c r="B32" s="113">
        <f>B4</f>
        <v>71</v>
      </c>
      <c r="C32" s="114">
        <v>7.0000000000000001E-3</v>
      </c>
      <c r="D32" s="115">
        <f>B32*C32</f>
        <v>0.497</v>
      </c>
      <c r="E32" s="116">
        <f t="shared" si="4"/>
        <v>71</v>
      </c>
      <c r="F32" s="114">
        <f>C32</f>
        <v>7.0000000000000001E-3</v>
      </c>
      <c r="G32" s="115">
        <f>E32*F32</f>
        <v>0.497</v>
      </c>
      <c r="H32" s="115">
        <f t="shared" si="2"/>
        <v>0</v>
      </c>
      <c r="I32" s="117">
        <f t="shared" si="3"/>
        <v>0</v>
      </c>
      <c r="J32" s="118">
        <f t="shared" si="9"/>
        <v>2.0824927087536499E-2</v>
      </c>
    </row>
    <row r="33" spans="1:10" x14ac:dyDescent="0.2">
      <c r="A33" s="37" t="s">
        <v>111</v>
      </c>
      <c r="B33" s="38"/>
      <c r="C33" s="39"/>
      <c r="D33" s="39">
        <f>SUM(D14,D22,D25,D31,D32)</f>
        <v>22.020871216</v>
      </c>
      <c r="E33" s="38"/>
      <c r="F33" s="39"/>
      <c r="G33" s="39">
        <f>SUM(G14,G22,G25,G31,G32)</f>
        <v>22.729171216000001</v>
      </c>
      <c r="H33" s="39">
        <f t="shared" si="2"/>
        <v>0.70830000000000126</v>
      </c>
      <c r="I33" s="40">
        <f>IF(ISERROR(H33/D33),0,(H33/D33))</f>
        <v>3.2164939935953228E-2</v>
      </c>
      <c r="J33" s="41">
        <f t="shared" si="9"/>
        <v>0.95238095238095233</v>
      </c>
    </row>
    <row r="34" spans="1:10" x14ac:dyDescent="0.2">
      <c r="A34" s="46" t="s">
        <v>102</v>
      </c>
      <c r="B34" s="43"/>
      <c r="C34" s="26">
        <v>0.13</v>
      </c>
      <c r="D34" s="26">
        <f>D33*C34</f>
        <v>2.8627132580799999</v>
      </c>
      <c r="E34" s="26"/>
      <c r="F34" s="26">
        <f>C34</f>
        <v>0.13</v>
      </c>
      <c r="G34" s="26">
        <f>G33*F34</f>
        <v>2.9547922580800003</v>
      </c>
      <c r="H34" s="26">
        <f t="shared" si="2"/>
        <v>9.2079000000000466E-2</v>
      </c>
      <c r="I34" s="44">
        <f t="shared" si="3"/>
        <v>3.2164939935953332E-2</v>
      </c>
      <c r="J34" s="45">
        <f t="shared" si="9"/>
        <v>0.12380952380952381</v>
      </c>
    </row>
    <row r="35" spans="1:10" x14ac:dyDescent="0.2">
      <c r="A35" s="46" t="s">
        <v>103</v>
      </c>
      <c r="B35" s="24"/>
      <c r="C35" s="25"/>
      <c r="D35" s="25">
        <f>SUM(D33:D34)</f>
        <v>24.883584474079999</v>
      </c>
      <c r="E35" s="25"/>
      <c r="F35" s="25"/>
      <c r="G35" s="25">
        <f>SUM(G33:G34)</f>
        <v>25.683963474080002</v>
      </c>
      <c r="H35" s="25">
        <f t="shared" si="2"/>
        <v>0.80037900000000306</v>
      </c>
      <c r="I35" s="27">
        <f t="shared" si="3"/>
        <v>3.2164939935953291E-2</v>
      </c>
      <c r="J35" s="47">
        <f t="shared" si="9"/>
        <v>1.0761904761904761</v>
      </c>
    </row>
    <row r="36" spans="1:10" x14ac:dyDescent="0.2">
      <c r="A36" s="46" t="s">
        <v>104</v>
      </c>
      <c r="B36" s="43"/>
      <c r="C36" s="26">
        <v>-0.08</v>
      </c>
      <c r="D36" s="26">
        <f>D33*C36</f>
        <v>-1.7616696972800001</v>
      </c>
      <c r="E36" s="26"/>
      <c r="F36" s="26">
        <f>C36</f>
        <v>-0.08</v>
      </c>
      <c r="G36" s="26">
        <f>G33*F36</f>
        <v>-1.8183336972800002</v>
      </c>
      <c r="H36" s="26">
        <f t="shared" si="2"/>
        <v>-5.6664000000000048E-2</v>
      </c>
      <c r="I36" s="44">
        <f t="shared" si="3"/>
        <v>3.2164939935953193E-2</v>
      </c>
      <c r="J36" s="45">
        <f t="shared" si="9"/>
        <v>-7.6190476190476183E-2</v>
      </c>
    </row>
    <row r="37" spans="1:10" ht="13.5" thickBot="1" x14ac:dyDescent="0.25">
      <c r="A37" s="48" t="s">
        <v>105</v>
      </c>
      <c r="B37" s="49"/>
      <c r="C37" s="50"/>
      <c r="D37" s="50">
        <f>SUM(D35:D36)</f>
        <v>23.121914776800001</v>
      </c>
      <c r="E37" s="50"/>
      <c r="F37" s="50"/>
      <c r="G37" s="50">
        <f>SUM(G35:G36)</f>
        <v>23.865629776800002</v>
      </c>
      <c r="H37" s="50">
        <f t="shared" si="2"/>
        <v>0.74371500000000168</v>
      </c>
      <c r="I37" s="51">
        <f t="shared" si="3"/>
        <v>3.2164939935953242E-2</v>
      </c>
      <c r="J37" s="52">
        <f t="shared" si="9"/>
        <v>1</v>
      </c>
    </row>
    <row r="38" spans="1:10" x14ac:dyDescent="0.2">
      <c r="A38" s="171"/>
      <c r="D38" s="72"/>
      <c r="F38" s="69"/>
    </row>
    <row r="39" spans="1:10" x14ac:dyDescent="0.2">
      <c r="A39" s="171"/>
      <c r="F39" s="69"/>
    </row>
    <row r="40" spans="1:10" x14ac:dyDescent="0.2">
      <c r="A40" s="172"/>
      <c r="B40" s="71"/>
      <c r="F40" s="69"/>
    </row>
    <row r="41" spans="1:10" x14ac:dyDescent="0.2">
      <c r="A41" s="171"/>
      <c r="B41" s="72"/>
      <c r="D41" s="72"/>
      <c r="F41" s="69"/>
    </row>
    <row r="42" spans="1:10" x14ac:dyDescent="0.2">
      <c r="A42" s="171"/>
      <c r="F42" s="69"/>
    </row>
    <row r="43" spans="1:10" x14ac:dyDescent="0.2">
      <c r="A43" s="171"/>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theme="1" tint="0.499984740745262"/>
    <pageSetUpPr fitToPage="1"/>
  </sheetPr>
  <dimension ref="A1:J48"/>
  <sheetViews>
    <sheetView tabSelected="1" view="pageBreakPreview" topLeftCell="A13"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120</v>
      </c>
      <c r="B1" s="188"/>
      <c r="C1" s="188"/>
      <c r="D1" s="188"/>
      <c r="E1" s="188"/>
      <c r="F1" s="188"/>
      <c r="G1" s="188"/>
      <c r="H1" s="188"/>
      <c r="I1" s="188"/>
      <c r="J1" s="189"/>
    </row>
    <row r="3" spans="1:10" x14ac:dyDescent="0.2">
      <c r="A3" s="13" t="s">
        <v>13</v>
      </c>
      <c r="B3" s="13" t="s">
        <v>9</v>
      </c>
    </row>
    <row r="4" spans="1:10" x14ac:dyDescent="0.2">
      <c r="A4" s="15" t="s">
        <v>62</v>
      </c>
      <c r="B4" s="15">
        <v>200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8">
        <f>B4*B6</f>
        <v>218.4</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200</v>
      </c>
      <c r="C12" s="103">
        <v>0.10299999999999999</v>
      </c>
      <c r="D12" s="104">
        <f>B12*C12</f>
        <v>20.599999999999998</v>
      </c>
      <c r="E12" s="102">
        <f>B12</f>
        <v>200</v>
      </c>
      <c r="F12" s="103">
        <f>C12</f>
        <v>0.10299999999999999</v>
      </c>
      <c r="G12" s="104">
        <f>E12*F12</f>
        <v>20.599999999999998</v>
      </c>
      <c r="H12" s="104">
        <f>G12-D12</f>
        <v>0</v>
      </c>
      <c r="I12" s="105">
        <f>IF(ISERROR(H12/D12),0,(H12/D12))</f>
        <v>0</v>
      </c>
      <c r="J12" s="124">
        <f t="shared" ref="J12:J28" si="0">G12/$G$37</f>
        <v>0.34237204302274477</v>
      </c>
    </row>
    <row r="13" spans="1:10" x14ac:dyDescent="0.2">
      <c r="A13" s="107" t="s">
        <v>32</v>
      </c>
      <c r="B13" s="73">
        <f>IF(B4&gt;B7,(B4)-B7,0)</f>
        <v>0</v>
      </c>
      <c r="C13" s="21">
        <v>0.121</v>
      </c>
      <c r="D13" s="22">
        <f>B13*C13</f>
        <v>0</v>
      </c>
      <c r="E13" s="73">
        <f t="shared" ref="E13" si="1">B13</f>
        <v>0</v>
      </c>
      <c r="F13" s="21">
        <f>C13</f>
        <v>0.121</v>
      </c>
      <c r="G13" s="22">
        <f>E13*F13</f>
        <v>0</v>
      </c>
      <c r="H13" s="22">
        <f t="shared" ref="H13:H37" si="2">G13-D13</f>
        <v>0</v>
      </c>
      <c r="I13" s="23">
        <f t="shared" ref="I13:I37" si="3">IF(ISERROR(H13/D13),0,(H13/D13))</f>
        <v>0</v>
      </c>
      <c r="J13" s="125">
        <f t="shared" si="0"/>
        <v>0</v>
      </c>
    </row>
    <row r="14" spans="1:10" s="1" customFormat="1" x14ac:dyDescent="0.2">
      <c r="A14" s="46" t="s">
        <v>33</v>
      </c>
      <c r="B14" s="24"/>
      <c r="C14" s="25"/>
      <c r="D14" s="25">
        <f>SUM(D12:D13)</f>
        <v>20.599999999999998</v>
      </c>
      <c r="E14" s="76"/>
      <c r="F14" s="25"/>
      <c r="G14" s="25">
        <f>SUM(G12:G13)</f>
        <v>20.599999999999998</v>
      </c>
      <c r="H14" s="25">
        <f t="shared" si="2"/>
        <v>0</v>
      </c>
      <c r="I14" s="27">
        <f t="shared" si="3"/>
        <v>0</v>
      </c>
      <c r="J14" s="47">
        <f t="shared" si="0"/>
        <v>0.34237204302274477</v>
      </c>
    </row>
    <row r="15" spans="1:10" x14ac:dyDescent="0.2">
      <c r="A15" s="107" t="s">
        <v>38</v>
      </c>
      <c r="B15" s="73">
        <v>1</v>
      </c>
      <c r="C15" s="78">
        <f>VLOOKUP($B$3,'Data for Bill Impacts'!$A$3:$Y$15,7,0)</f>
        <v>3.26</v>
      </c>
      <c r="D15" s="22">
        <f>B15*C15</f>
        <v>3.26</v>
      </c>
      <c r="E15" s="73">
        <f t="shared" ref="E15:E32" si="4">B15</f>
        <v>1</v>
      </c>
      <c r="F15" s="78">
        <f>VLOOKUP($B$3,'Data for Bill Impacts'!$A$3:$Y$15,17,0)</f>
        <v>3.45</v>
      </c>
      <c r="G15" s="22">
        <f>E15*F15</f>
        <v>3.45</v>
      </c>
      <c r="H15" s="22">
        <f t="shared" si="2"/>
        <v>0.19000000000000039</v>
      </c>
      <c r="I15" s="23">
        <f t="shared" si="3"/>
        <v>5.8282208588957177E-2</v>
      </c>
      <c r="J15" s="125">
        <f t="shared" si="0"/>
        <v>5.7339007205265517E-2</v>
      </c>
    </row>
    <row r="16" spans="1:10" x14ac:dyDescent="0.2">
      <c r="A16" s="107" t="s">
        <v>85</v>
      </c>
      <c r="B16" s="73">
        <v>1</v>
      </c>
      <c r="C16" s="78">
        <f>VLOOKUP($B$3,'Data for Bill Impacts'!$A$3:$Y$15,13,0)</f>
        <v>0</v>
      </c>
      <c r="D16" s="22">
        <f t="shared" ref="D16" si="5">B16*C16</f>
        <v>0</v>
      </c>
      <c r="E16" s="73">
        <f t="shared" si="4"/>
        <v>1</v>
      </c>
      <c r="F16" s="78">
        <f>VLOOKUP($B$3,'Data for Bill Impacts'!$A$3:$Y$15,22,0)</f>
        <v>0</v>
      </c>
      <c r="G16" s="22">
        <f t="shared" ref="G16" si="6">E16*F16</f>
        <v>0</v>
      </c>
      <c r="H16" s="22">
        <f t="shared" si="2"/>
        <v>0</v>
      </c>
      <c r="I16" s="23">
        <f t="shared" si="3"/>
        <v>0</v>
      </c>
      <c r="J16" s="125">
        <f t="shared" si="0"/>
        <v>0</v>
      </c>
    </row>
    <row r="17" spans="1:10" x14ac:dyDescent="0.2">
      <c r="A17" s="107" t="s">
        <v>39</v>
      </c>
      <c r="B17" s="73">
        <f>IF($B$9="kWh",$B$4,$B$5)</f>
        <v>200</v>
      </c>
      <c r="C17" s="78">
        <f>VLOOKUP($B$3,'Data for Bill Impacts'!$A$3:$Y$15,10,0)</f>
        <v>0.1239</v>
      </c>
      <c r="D17" s="22">
        <f>B17*C17</f>
        <v>24.779999999999998</v>
      </c>
      <c r="E17" s="73">
        <f t="shared" si="4"/>
        <v>200</v>
      </c>
      <c r="F17" s="78">
        <f>VLOOKUP($B$3,'Data for Bill Impacts'!$A$3:$Y$15,19,0)</f>
        <v>0.13120000000000001</v>
      </c>
      <c r="G17" s="22">
        <f>E17*F17</f>
        <v>26.240000000000002</v>
      </c>
      <c r="H17" s="22">
        <f t="shared" si="2"/>
        <v>1.4600000000000044</v>
      </c>
      <c r="I17" s="23">
        <f t="shared" si="3"/>
        <v>5.8918482647296391E-2</v>
      </c>
      <c r="J17" s="125">
        <f t="shared" si="0"/>
        <v>0.43610885480178763</v>
      </c>
    </row>
    <row r="18" spans="1:10" s="1" customFormat="1" x14ac:dyDescent="0.2">
      <c r="A18" s="107" t="s">
        <v>121</v>
      </c>
      <c r="B18" s="73">
        <f>IF($B$9="kWh",$B$4,$B$5)</f>
        <v>200</v>
      </c>
      <c r="C18" s="126">
        <f>VLOOKUP($B$3,'Data for Bill Impacts'!$A$3:$Y$15,14,0)</f>
        <v>1E-4</v>
      </c>
      <c r="D18" s="22">
        <f>B18*C18</f>
        <v>0.02</v>
      </c>
      <c r="E18" s="73">
        <f>B18</f>
        <v>200</v>
      </c>
      <c r="F18" s="126">
        <f>VLOOKUP($B$3,'Data for Bill Impacts'!$A$3:$Y$15,23,0)</f>
        <v>1E-4</v>
      </c>
      <c r="G18" s="22">
        <f>E18*F18</f>
        <v>0.02</v>
      </c>
      <c r="H18" s="22">
        <f>G18-D18</f>
        <v>0</v>
      </c>
      <c r="I18" s="23">
        <f>IF(ISERROR(H18/D18),0,(H18/D18))</f>
        <v>0</v>
      </c>
      <c r="J18" s="125">
        <f t="shared" si="0"/>
        <v>3.3240004176965517E-4</v>
      </c>
    </row>
    <row r="19" spans="1:10" hidden="1" x14ac:dyDescent="0.2">
      <c r="A19" s="107" t="s">
        <v>108</v>
      </c>
      <c r="B19" s="73">
        <f>B8</f>
        <v>218.4</v>
      </c>
      <c r="C19" s="126">
        <f>VLOOKUP($B$3,'Data for Bill Impacts'!$A$3:$Y$15,20,0)</f>
        <v>0</v>
      </c>
      <c r="D19" s="22">
        <f>B19*C19</f>
        <v>0</v>
      </c>
      <c r="E19" s="73">
        <f t="shared" si="4"/>
        <v>218.4</v>
      </c>
      <c r="F19" s="126">
        <f>VLOOKUP($B$3,'Data for Bill Impacts'!$A$3:$Y$15,21,0)</f>
        <v>0</v>
      </c>
      <c r="G19" s="22">
        <f>E19*F19</f>
        <v>0</v>
      </c>
      <c r="H19" s="22">
        <f t="shared" si="2"/>
        <v>0</v>
      </c>
      <c r="I19" s="23">
        <f>IF(ISERROR(H19/D19),0,(H19/D19))</f>
        <v>0</v>
      </c>
      <c r="J19" s="125">
        <f t="shared" si="0"/>
        <v>0</v>
      </c>
    </row>
    <row r="20" spans="1:10" x14ac:dyDescent="0.2">
      <c r="A20" s="110" t="s">
        <v>72</v>
      </c>
      <c r="B20" s="74"/>
      <c r="C20" s="35"/>
      <c r="D20" s="35">
        <f>SUM(D15:D19)</f>
        <v>28.06</v>
      </c>
      <c r="E20" s="73"/>
      <c r="F20" s="35"/>
      <c r="G20" s="35">
        <f>SUM(G15:G19)</f>
        <v>29.71</v>
      </c>
      <c r="H20" s="35">
        <f t="shared" si="2"/>
        <v>1.6500000000000021</v>
      </c>
      <c r="I20" s="36">
        <f t="shared" si="3"/>
        <v>5.8802565930149757E-2</v>
      </c>
      <c r="J20" s="111">
        <f t="shared" si="0"/>
        <v>0.49378026204882275</v>
      </c>
    </row>
    <row r="21" spans="1:10" s="1" customFormat="1" x14ac:dyDescent="0.2">
      <c r="A21" s="119" t="s">
        <v>81</v>
      </c>
      <c r="B21" s="120">
        <f>B8-B4</f>
        <v>18.400000000000006</v>
      </c>
      <c r="C21" s="121">
        <f>IF(B4&gt;B7,C13,C12)</f>
        <v>0.10299999999999999</v>
      </c>
      <c r="D21" s="22">
        <f>B21*C21</f>
        <v>1.8952000000000004</v>
      </c>
      <c r="E21" s="73">
        <f>B21</f>
        <v>18.400000000000006</v>
      </c>
      <c r="F21" s="121">
        <f>C21</f>
        <v>0.10299999999999999</v>
      </c>
      <c r="G21" s="22">
        <f>E21*F21</f>
        <v>1.8952000000000004</v>
      </c>
      <c r="H21" s="22">
        <f t="shared" si="2"/>
        <v>0</v>
      </c>
      <c r="I21" s="23">
        <f>IF(ISERROR(H21/D21),0,(H21/D21))</f>
        <v>0</v>
      </c>
      <c r="J21" s="125">
        <f t="shared" si="0"/>
        <v>3.1498227958092533E-2</v>
      </c>
    </row>
    <row r="22" spans="1:10" x14ac:dyDescent="0.2">
      <c r="A22" s="110" t="s">
        <v>79</v>
      </c>
      <c r="B22" s="74"/>
      <c r="C22" s="35"/>
      <c r="D22" s="35">
        <f>SUM(D20,D21:D21)</f>
        <v>29.955199999999998</v>
      </c>
      <c r="E22" s="73"/>
      <c r="F22" s="35"/>
      <c r="G22" s="35">
        <f>SUM(G20,G21:G21)</f>
        <v>31.6052</v>
      </c>
      <c r="H22" s="35">
        <f t="shared" si="2"/>
        <v>1.6500000000000021</v>
      </c>
      <c r="I22" s="36">
        <f>IF(ISERROR(H22/D22),0,(H22/D22))</f>
        <v>5.5082256169212765E-2</v>
      </c>
      <c r="J22" s="111">
        <f t="shared" si="0"/>
        <v>0.52527849000691529</v>
      </c>
    </row>
    <row r="23" spans="1:10" x14ac:dyDescent="0.2">
      <c r="A23" s="107" t="s">
        <v>40</v>
      </c>
      <c r="B23" s="73">
        <f>B8</f>
        <v>218.4</v>
      </c>
      <c r="C23" s="78">
        <f>VLOOKUP($B$3,'Data for Bill Impacts'!$A$3:$Y$15,15,0)</f>
        <v>4.6979999999999999E-3</v>
      </c>
      <c r="D23" s="22">
        <f>B23*C23</f>
        <v>1.0260431999999999</v>
      </c>
      <c r="E23" s="73">
        <f t="shared" si="4"/>
        <v>218.4</v>
      </c>
      <c r="F23" s="126">
        <f>VLOOKUP($B$3,'Data for Bill Impacts'!$A$3:$Y$15,24,0)</f>
        <v>4.6979999999999999E-3</v>
      </c>
      <c r="G23" s="22">
        <f>E23*F23</f>
        <v>1.0260431999999999</v>
      </c>
      <c r="H23" s="22">
        <f t="shared" si="2"/>
        <v>0</v>
      </c>
      <c r="I23" s="23">
        <f t="shared" si="3"/>
        <v>0</v>
      </c>
      <c r="J23" s="125">
        <f t="shared" si="0"/>
        <v>1.7052840126873532E-2</v>
      </c>
    </row>
    <row r="24" spans="1:10" s="1" customFormat="1" x14ac:dyDescent="0.2">
      <c r="A24" s="107" t="s">
        <v>41</v>
      </c>
      <c r="B24" s="73">
        <f>B8</f>
        <v>218.4</v>
      </c>
      <c r="C24" s="78">
        <f>VLOOKUP($B$3,'Data for Bill Impacts'!$A$3:$Y$15,16,0)</f>
        <v>4.2899999999999995E-3</v>
      </c>
      <c r="D24" s="22">
        <f>B24*C24</f>
        <v>0.93693599999999988</v>
      </c>
      <c r="E24" s="73">
        <f t="shared" si="4"/>
        <v>218.4</v>
      </c>
      <c r="F24" s="126">
        <f>VLOOKUP($B$3,'Data for Bill Impacts'!$A$3:$Y$15,25,0)</f>
        <v>4.2899999999999995E-3</v>
      </c>
      <c r="G24" s="22">
        <f>E24*F24</f>
        <v>0.93693599999999988</v>
      </c>
      <c r="H24" s="22">
        <f t="shared" si="2"/>
        <v>0</v>
      </c>
      <c r="I24" s="23">
        <f t="shared" si="3"/>
        <v>0</v>
      </c>
      <c r="J24" s="125">
        <f t="shared" si="0"/>
        <v>1.557187827677468E-2</v>
      </c>
    </row>
    <row r="25" spans="1:10" s="1" customFormat="1" x14ac:dyDescent="0.2">
      <c r="A25" s="110" t="s">
        <v>76</v>
      </c>
      <c r="B25" s="74"/>
      <c r="C25" s="35"/>
      <c r="D25" s="35">
        <f>SUM(D23:D24)</f>
        <v>1.9629791999999999</v>
      </c>
      <c r="E25" s="73"/>
      <c r="F25" s="35"/>
      <c r="G25" s="35">
        <f>SUM(G23:G24)</f>
        <v>1.9629791999999999</v>
      </c>
      <c r="H25" s="35">
        <f t="shared" si="2"/>
        <v>0</v>
      </c>
      <c r="I25" s="36">
        <f t="shared" si="3"/>
        <v>0</v>
      </c>
      <c r="J25" s="111">
        <f t="shared" si="0"/>
        <v>3.2624718403648216E-2</v>
      </c>
    </row>
    <row r="26" spans="1:10" s="1" customFormat="1" x14ac:dyDescent="0.2">
      <c r="A26" s="110" t="s">
        <v>80</v>
      </c>
      <c r="B26" s="74"/>
      <c r="C26" s="35"/>
      <c r="D26" s="35">
        <f>D22+D25</f>
        <v>31.918179199999997</v>
      </c>
      <c r="E26" s="73"/>
      <c r="F26" s="35"/>
      <c r="G26" s="35">
        <f>G22+G25</f>
        <v>33.568179200000003</v>
      </c>
      <c r="H26" s="35">
        <f t="shared" si="2"/>
        <v>1.6500000000000057</v>
      </c>
      <c r="I26" s="36">
        <f t="shared" si="3"/>
        <v>5.169467812249158E-2</v>
      </c>
      <c r="J26" s="111">
        <f t="shared" si="0"/>
        <v>0.55790320841056351</v>
      </c>
    </row>
    <row r="27" spans="1:10" x14ac:dyDescent="0.2">
      <c r="A27" s="107" t="s">
        <v>42</v>
      </c>
      <c r="B27" s="73">
        <f>B8</f>
        <v>218.4</v>
      </c>
      <c r="C27" s="34">
        <v>3.5999999999999999E-3</v>
      </c>
      <c r="D27" s="22">
        <f>B27*C27</f>
        <v>0.78624000000000005</v>
      </c>
      <c r="E27" s="73">
        <f t="shared" si="4"/>
        <v>218.4</v>
      </c>
      <c r="F27" s="34">
        <v>3.5999999999999999E-3</v>
      </c>
      <c r="G27" s="22">
        <f>E27*F27</f>
        <v>0.78624000000000005</v>
      </c>
      <c r="H27" s="22">
        <f t="shared" si="2"/>
        <v>0</v>
      </c>
      <c r="I27" s="23">
        <f t="shared" si="3"/>
        <v>0</v>
      </c>
      <c r="J27" s="125">
        <f t="shared" si="0"/>
        <v>1.3067310442048684E-2</v>
      </c>
    </row>
    <row r="28" spans="1:10" s="1" customFormat="1" x14ac:dyDescent="0.2">
      <c r="A28" s="107" t="s">
        <v>43</v>
      </c>
      <c r="B28" s="73">
        <f>B8</f>
        <v>218.4</v>
      </c>
      <c r="C28" s="34">
        <v>2.0999999999999999E-3</v>
      </c>
      <c r="D28" s="22">
        <f>B28*C28</f>
        <v>0.45863999999999999</v>
      </c>
      <c r="E28" s="73">
        <f t="shared" si="4"/>
        <v>218.4</v>
      </c>
      <c r="F28" s="34">
        <v>2.0999999999999999E-3</v>
      </c>
      <c r="G28" s="22">
        <f>E28*F28</f>
        <v>0.45863999999999999</v>
      </c>
      <c r="H28" s="22">
        <f>G28-D28</f>
        <v>0</v>
      </c>
      <c r="I28" s="23">
        <f t="shared" si="3"/>
        <v>0</v>
      </c>
      <c r="J28" s="125">
        <f t="shared" si="0"/>
        <v>7.6225977578617326E-3</v>
      </c>
    </row>
    <row r="29" spans="1:10" s="1" customFormat="1" x14ac:dyDescent="0.2">
      <c r="A29" s="107" t="s">
        <v>96</v>
      </c>
      <c r="B29" s="73">
        <f>B8</f>
        <v>218.4</v>
      </c>
      <c r="C29" s="34">
        <v>1.1000000000000001E-3</v>
      </c>
      <c r="D29" s="22">
        <f>B29*C29</f>
        <v>0.24024000000000001</v>
      </c>
      <c r="E29" s="73">
        <f t="shared" si="4"/>
        <v>218.4</v>
      </c>
      <c r="F29" s="34">
        <v>1.1000000000000001E-3</v>
      </c>
      <c r="G29" s="22">
        <f>E29*F29</f>
        <v>0.24024000000000001</v>
      </c>
      <c r="H29" s="22">
        <f>G29-D29</f>
        <v>0</v>
      </c>
      <c r="I29" s="23">
        <f t="shared" ref="I29" si="7">IF(ISERROR(H29/D29),0,(H29/D29))</f>
        <v>0</v>
      </c>
      <c r="J29" s="125">
        <f t="shared" ref="J29" si="8">G29/$G$37</f>
        <v>3.992789301737098E-3</v>
      </c>
    </row>
    <row r="30" spans="1:10" x14ac:dyDescent="0.2">
      <c r="A30" s="107" t="s">
        <v>44</v>
      </c>
      <c r="B30" s="73">
        <v>1</v>
      </c>
      <c r="C30" s="22">
        <v>0.25</v>
      </c>
      <c r="D30" s="22">
        <f>B30*C30</f>
        <v>0.25</v>
      </c>
      <c r="E30" s="73">
        <f t="shared" si="4"/>
        <v>1</v>
      </c>
      <c r="F30" s="22">
        <f>C30</f>
        <v>0.25</v>
      </c>
      <c r="G30" s="22">
        <f>E30*F30</f>
        <v>0.25</v>
      </c>
      <c r="H30" s="22">
        <f t="shared" si="2"/>
        <v>0</v>
      </c>
      <c r="I30" s="23">
        <f t="shared" si="3"/>
        <v>0</v>
      </c>
      <c r="J30" s="125">
        <f t="shared" ref="J30:J37" si="9">G30/$G$37</f>
        <v>4.1550005221206894E-3</v>
      </c>
    </row>
    <row r="31" spans="1:10" s="1" customFormat="1" x14ac:dyDescent="0.2">
      <c r="A31" s="110" t="s">
        <v>45</v>
      </c>
      <c r="B31" s="74"/>
      <c r="C31" s="35"/>
      <c r="D31" s="35">
        <f>SUM(D27:D30)</f>
        <v>1.73512</v>
      </c>
      <c r="E31" s="73"/>
      <c r="F31" s="35"/>
      <c r="G31" s="35">
        <f>SUM(G27:G30)</f>
        <v>1.73512</v>
      </c>
      <c r="H31" s="35">
        <f t="shared" si="2"/>
        <v>0</v>
      </c>
      <c r="I31" s="36">
        <f t="shared" si="3"/>
        <v>0</v>
      </c>
      <c r="J31" s="111">
        <f t="shared" si="9"/>
        <v>2.8837698023768205E-2</v>
      </c>
    </row>
    <row r="32" spans="1:10" ht="13.5" thickBot="1" x14ac:dyDescent="0.25">
      <c r="A32" s="112" t="s">
        <v>46</v>
      </c>
      <c r="B32" s="113">
        <f>B4</f>
        <v>200</v>
      </c>
      <c r="C32" s="114">
        <v>7.0000000000000001E-3</v>
      </c>
      <c r="D32" s="115">
        <f>B32*C32</f>
        <v>1.4000000000000001</v>
      </c>
      <c r="E32" s="116">
        <f t="shared" si="4"/>
        <v>200</v>
      </c>
      <c r="F32" s="114">
        <f>C32</f>
        <v>7.0000000000000001E-3</v>
      </c>
      <c r="G32" s="115">
        <f>E32*F32</f>
        <v>1.4000000000000001</v>
      </c>
      <c r="H32" s="115">
        <f t="shared" si="2"/>
        <v>0</v>
      </c>
      <c r="I32" s="117">
        <f t="shared" si="3"/>
        <v>0</v>
      </c>
      <c r="J32" s="118">
        <f t="shared" si="9"/>
        <v>2.3268002923875864E-2</v>
      </c>
    </row>
    <row r="33" spans="1:10" x14ac:dyDescent="0.2">
      <c r="A33" s="37" t="s">
        <v>111</v>
      </c>
      <c r="B33" s="38"/>
      <c r="C33" s="39"/>
      <c r="D33" s="39">
        <f>SUM(D14,D22,D25,D31,D32)</f>
        <v>55.653299199999999</v>
      </c>
      <c r="E33" s="38"/>
      <c r="F33" s="39"/>
      <c r="G33" s="39">
        <f>SUM(G14,G22,G25,G31,G32)</f>
        <v>57.303299199999998</v>
      </c>
      <c r="H33" s="39">
        <f t="shared" si="2"/>
        <v>1.6499999999999986</v>
      </c>
      <c r="I33" s="40">
        <f>IF(ISERROR(H33/D33),0,(H33/D33))</f>
        <v>2.9647838020715196E-2</v>
      </c>
      <c r="J33" s="41">
        <f t="shared" si="9"/>
        <v>0.95238095238095233</v>
      </c>
    </row>
    <row r="34" spans="1:10" x14ac:dyDescent="0.2">
      <c r="A34" s="46" t="s">
        <v>102</v>
      </c>
      <c r="B34" s="43"/>
      <c r="C34" s="26">
        <v>0.13</v>
      </c>
      <c r="D34" s="26">
        <f>D33*C34</f>
        <v>7.2349288960000004</v>
      </c>
      <c r="E34" s="26"/>
      <c r="F34" s="26">
        <f>C34</f>
        <v>0.13</v>
      </c>
      <c r="G34" s="26">
        <f>G33*F34</f>
        <v>7.4494288959999997</v>
      </c>
      <c r="H34" s="26">
        <f t="shared" si="2"/>
        <v>0.21449999999999925</v>
      </c>
      <c r="I34" s="44">
        <f t="shared" si="3"/>
        <v>2.9647838020715116E-2</v>
      </c>
      <c r="J34" s="45">
        <f t="shared" si="9"/>
        <v>0.1238095238095238</v>
      </c>
    </row>
    <row r="35" spans="1:10" x14ac:dyDescent="0.2">
      <c r="A35" s="46" t="s">
        <v>103</v>
      </c>
      <c r="B35" s="24"/>
      <c r="C35" s="25"/>
      <c r="D35" s="25">
        <f>SUM(D33:D34)</f>
        <v>62.888228095999999</v>
      </c>
      <c r="E35" s="25"/>
      <c r="F35" s="25"/>
      <c r="G35" s="25">
        <f>SUM(G33:G34)</f>
        <v>64.752728095999998</v>
      </c>
      <c r="H35" s="25">
        <f t="shared" si="2"/>
        <v>1.8644999999999996</v>
      </c>
      <c r="I35" s="27">
        <f t="shared" si="3"/>
        <v>2.9647838020715217E-2</v>
      </c>
      <c r="J35" s="47">
        <f t="shared" si="9"/>
        <v>1.0761904761904761</v>
      </c>
    </row>
    <row r="36" spans="1:10" x14ac:dyDescent="0.2">
      <c r="A36" s="46" t="s">
        <v>104</v>
      </c>
      <c r="B36" s="43"/>
      <c r="C36" s="26">
        <v>-0.08</v>
      </c>
      <c r="D36" s="26">
        <f>D33*C36</f>
        <v>-4.4522639360000005</v>
      </c>
      <c r="E36" s="26"/>
      <c r="F36" s="26">
        <f>C36</f>
        <v>-0.08</v>
      </c>
      <c r="G36" s="26">
        <f>G33*F36</f>
        <v>-4.5842639360000002</v>
      </c>
      <c r="H36" s="26">
        <f t="shared" si="2"/>
        <v>-0.13199999999999967</v>
      </c>
      <c r="I36" s="44">
        <f t="shared" si="3"/>
        <v>2.9647838020715144E-2</v>
      </c>
      <c r="J36" s="45">
        <f t="shared" si="9"/>
        <v>-7.6190476190476197E-2</v>
      </c>
    </row>
    <row r="37" spans="1:10" ht="13.5" thickBot="1" x14ac:dyDescent="0.25">
      <c r="A37" s="48" t="s">
        <v>105</v>
      </c>
      <c r="B37" s="49"/>
      <c r="C37" s="50"/>
      <c r="D37" s="50">
        <f>SUM(D35:D36)</f>
        <v>58.435964159999997</v>
      </c>
      <c r="E37" s="50"/>
      <c r="F37" s="50"/>
      <c r="G37" s="50">
        <f>SUM(G35:G36)</f>
        <v>60.168464159999999</v>
      </c>
      <c r="H37" s="50">
        <f t="shared" si="2"/>
        <v>1.7325000000000017</v>
      </c>
      <c r="I37" s="51">
        <f t="shared" si="3"/>
        <v>2.9647838020715252E-2</v>
      </c>
      <c r="J37" s="52">
        <f t="shared" si="9"/>
        <v>1</v>
      </c>
    </row>
    <row r="38" spans="1:10" x14ac:dyDescent="0.2">
      <c r="A38" s="171"/>
      <c r="D38" s="72"/>
      <c r="F38" s="69"/>
    </row>
    <row r="39" spans="1:10" x14ac:dyDescent="0.2">
      <c r="A39" s="171"/>
      <c r="F39" s="69"/>
    </row>
    <row r="40" spans="1:10" x14ac:dyDescent="0.2">
      <c r="A40" s="172"/>
      <c r="B40" s="71"/>
      <c r="F40" s="69"/>
    </row>
    <row r="41" spans="1:10" x14ac:dyDescent="0.2">
      <c r="A41" s="171"/>
      <c r="B41" s="72"/>
      <c r="D41" s="72"/>
      <c r="F41" s="69"/>
    </row>
    <row r="42" spans="1:10" x14ac:dyDescent="0.2">
      <c r="A42" s="171"/>
      <c r="F42" s="69"/>
    </row>
    <row r="43" spans="1:10" x14ac:dyDescent="0.2">
      <c r="A43" s="171"/>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1" tint="0.499984740745262"/>
    <pageSetUpPr fitToPage="1"/>
  </sheetPr>
  <dimension ref="A1:K48"/>
  <sheetViews>
    <sheetView tabSelected="1" view="pageBreakPreview"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1" ht="16.5" thickBot="1" x14ac:dyDescent="0.3">
      <c r="A1" s="187" t="s">
        <v>117</v>
      </c>
      <c r="B1" s="188"/>
      <c r="C1" s="188"/>
      <c r="D1" s="188"/>
      <c r="E1" s="188"/>
      <c r="F1" s="188"/>
      <c r="G1" s="188"/>
      <c r="H1" s="188"/>
      <c r="I1" s="188"/>
      <c r="J1" s="189"/>
      <c r="K1" s="128"/>
    </row>
    <row r="3" spans="1:11" x14ac:dyDescent="0.2">
      <c r="A3" s="13" t="s">
        <v>13</v>
      </c>
      <c r="B3" s="13" t="s">
        <v>8</v>
      </c>
    </row>
    <row r="4" spans="1:11" x14ac:dyDescent="0.2">
      <c r="A4" s="15" t="s">
        <v>62</v>
      </c>
      <c r="B4" s="15">
        <v>100</v>
      </c>
    </row>
    <row r="5" spans="1:11" x14ac:dyDescent="0.2">
      <c r="A5" s="15" t="s">
        <v>16</v>
      </c>
      <c r="B5" s="15">
        <f>VLOOKUP($B$3,'Data for Bill Impacts'!$A$3:$Y$15,5,0)</f>
        <v>0</v>
      </c>
    </row>
    <row r="6" spans="1:11" x14ac:dyDescent="0.2">
      <c r="A6" s="15" t="s">
        <v>20</v>
      </c>
      <c r="B6" s="15">
        <f>VLOOKUP($B$3,'Data for Bill Impacts'!$A$3:$Y$15,2,0)</f>
        <v>1.0920000000000001</v>
      </c>
    </row>
    <row r="7" spans="1:11" x14ac:dyDescent="0.2">
      <c r="A7" s="15" t="s">
        <v>15</v>
      </c>
      <c r="B7" s="15">
        <f>VLOOKUP($B$3,'Data for Bill Impacts'!$A$3:$Y$15,4,0)</f>
        <v>750</v>
      </c>
    </row>
    <row r="8" spans="1:11" x14ac:dyDescent="0.2">
      <c r="A8" s="15" t="s">
        <v>82</v>
      </c>
      <c r="B8" s="15">
        <f>B4*B6</f>
        <v>109.2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23" t="s">
        <v>29</v>
      </c>
    </row>
    <row r="12" spans="1:11" x14ac:dyDescent="0.2">
      <c r="A12" s="101" t="s">
        <v>31</v>
      </c>
      <c r="B12" s="102">
        <f>IF(B4&gt;B7,B7,B4)</f>
        <v>100</v>
      </c>
      <c r="C12" s="103">
        <v>0.10299999999999999</v>
      </c>
      <c r="D12" s="104">
        <f>B12*C12</f>
        <v>10.299999999999999</v>
      </c>
      <c r="E12" s="102">
        <f>B12</f>
        <v>100</v>
      </c>
      <c r="F12" s="103">
        <f>C12</f>
        <v>0.10299999999999999</v>
      </c>
      <c r="G12" s="104">
        <f>E12*F12</f>
        <v>10.299999999999999</v>
      </c>
      <c r="H12" s="104">
        <f>G12-D12</f>
        <v>0</v>
      </c>
      <c r="I12" s="105">
        <f>IF(ISERROR(H12/D12),0,(H12/D12))</f>
        <v>0</v>
      </c>
      <c r="J12" s="124">
        <f t="shared" ref="J12:J28" si="0">G12/$G$37</f>
        <v>0.34165657307004083</v>
      </c>
    </row>
    <row r="13" spans="1:11" x14ac:dyDescent="0.2">
      <c r="A13" s="107" t="s">
        <v>32</v>
      </c>
      <c r="B13" s="73">
        <f>IF(B4&gt;B7,(B4)-B7,0)</f>
        <v>0</v>
      </c>
      <c r="C13" s="21">
        <v>0.121</v>
      </c>
      <c r="D13" s="22">
        <f>B13*C13</f>
        <v>0</v>
      </c>
      <c r="E13" s="73">
        <f t="shared" ref="E13:E32" si="1">B13</f>
        <v>0</v>
      </c>
      <c r="F13" s="21">
        <f>C13</f>
        <v>0.121</v>
      </c>
      <c r="G13" s="22">
        <f>E13*F13</f>
        <v>0</v>
      </c>
      <c r="H13" s="22">
        <f t="shared" ref="H13:H37" si="2">G13-D13</f>
        <v>0</v>
      </c>
      <c r="I13" s="23">
        <f t="shared" ref="I13:I37" si="3">IF(ISERROR(H13/D13),0,(H13/D13))</f>
        <v>0</v>
      </c>
      <c r="J13" s="125">
        <f t="shared" si="0"/>
        <v>0</v>
      </c>
    </row>
    <row r="14" spans="1:11" s="1" customFormat="1" x14ac:dyDescent="0.2">
      <c r="A14" s="46" t="s">
        <v>33</v>
      </c>
      <c r="B14" s="24"/>
      <c r="C14" s="25"/>
      <c r="D14" s="25">
        <f>SUM(D12:D13)</f>
        <v>10.299999999999999</v>
      </c>
      <c r="E14" s="76"/>
      <c r="F14" s="25"/>
      <c r="G14" s="25">
        <f>SUM(G12:G13)</f>
        <v>10.299999999999999</v>
      </c>
      <c r="H14" s="25">
        <f t="shared" si="2"/>
        <v>0</v>
      </c>
      <c r="I14" s="27">
        <f t="shared" si="3"/>
        <v>0</v>
      </c>
      <c r="J14" s="47">
        <f t="shared" si="0"/>
        <v>0.34165657307004083</v>
      </c>
    </row>
    <row r="15" spans="1:11" x14ac:dyDescent="0.2">
      <c r="A15" s="107" t="s">
        <v>38</v>
      </c>
      <c r="B15" s="73">
        <v>1</v>
      </c>
      <c r="C15" s="78">
        <f>VLOOKUP($B$3,'Data for Bill Impacts'!$A$3:$Y$15,7,0)</f>
        <v>4.21</v>
      </c>
      <c r="D15" s="22">
        <f>B15*C15</f>
        <v>4.21</v>
      </c>
      <c r="E15" s="73">
        <f t="shared" si="1"/>
        <v>1</v>
      </c>
      <c r="F15" s="78">
        <f>VLOOKUP($B$3,'Data for Bill Impacts'!$A$3:$Y$15,17,0)</f>
        <v>4.33</v>
      </c>
      <c r="G15" s="22">
        <f>E15*F15</f>
        <v>4.33</v>
      </c>
      <c r="H15" s="22">
        <f t="shared" si="2"/>
        <v>0.12000000000000011</v>
      </c>
      <c r="I15" s="23">
        <f t="shared" si="3"/>
        <v>2.8503562945368197E-2</v>
      </c>
      <c r="J15" s="125">
        <f t="shared" si="0"/>
        <v>0.1436284428537162</v>
      </c>
    </row>
    <row r="16" spans="1:11" x14ac:dyDescent="0.2">
      <c r="A16" s="107" t="s">
        <v>85</v>
      </c>
      <c r="B16" s="73">
        <v>1</v>
      </c>
      <c r="C16" s="122">
        <f>VLOOKUP($B$3,'Data for Bill Impacts'!$A$3:$Y$15,13,0)</f>
        <v>0</v>
      </c>
      <c r="D16" s="22">
        <f t="shared" ref="D16" si="4">B16*C16</f>
        <v>0</v>
      </c>
      <c r="E16" s="73">
        <f t="shared" si="1"/>
        <v>1</v>
      </c>
      <c r="F16" s="122">
        <f>VLOOKUP($B$3,'Data for Bill Impacts'!$A$3:$Y$15,22,0)</f>
        <v>0</v>
      </c>
      <c r="G16" s="22">
        <f t="shared" ref="G16" si="5">E16*F16</f>
        <v>0</v>
      </c>
      <c r="H16" s="22">
        <f t="shared" ref="H16" si="6">G16-D16</f>
        <v>0</v>
      </c>
      <c r="I16" s="23">
        <f t="shared" ref="I16" si="7">IF(ISERROR(H16/D16),0,(H16/D16))</f>
        <v>0</v>
      </c>
      <c r="J16" s="125">
        <f t="shared" si="0"/>
        <v>0</v>
      </c>
    </row>
    <row r="17" spans="1:10" x14ac:dyDescent="0.2">
      <c r="A17" s="107" t="s">
        <v>39</v>
      </c>
      <c r="B17" s="73">
        <f>IF($B$9="kWh",$B$4,$B$5)</f>
        <v>100</v>
      </c>
      <c r="C17" s="78">
        <f>VLOOKUP($B$3,'Data for Bill Impacts'!$A$3:$Y$15,10,0)</f>
        <v>0.1013</v>
      </c>
      <c r="D17" s="22">
        <f>B17*C17</f>
        <v>10.130000000000001</v>
      </c>
      <c r="E17" s="73">
        <f t="shared" si="1"/>
        <v>100</v>
      </c>
      <c r="F17" s="78">
        <f>VLOOKUP($B$3,'Data for Bill Impacts'!$A$3:$Y$15,19,0)</f>
        <v>0.10440000000000001</v>
      </c>
      <c r="G17" s="22">
        <f>E17*F17</f>
        <v>10.440000000000001</v>
      </c>
      <c r="H17" s="22">
        <f t="shared" si="2"/>
        <v>0.3100000000000005</v>
      </c>
      <c r="I17" s="23">
        <f t="shared" si="3"/>
        <v>3.0602171767028674E-2</v>
      </c>
      <c r="J17" s="125">
        <f t="shared" si="0"/>
        <v>0.34630044882050748</v>
      </c>
    </row>
    <row r="18" spans="1:10" s="1" customFormat="1" x14ac:dyDescent="0.2">
      <c r="A18" s="107" t="s">
        <v>121</v>
      </c>
      <c r="B18" s="73">
        <f>IF($B$9="kWh",$B$4,$B$5)</f>
        <v>100</v>
      </c>
      <c r="C18" s="126">
        <f>VLOOKUP($B$3,'Data for Bill Impacts'!$A$3:$Y$15,14,0)</f>
        <v>2.0000000000000001E-4</v>
      </c>
      <c r="D18" s="22">
        <f>B18*C18</f>
        <v>0.02</v>
      </c>
      <c r="E18" s="73">
        <f>B18</f>
        <v>100</v>
      </c>
      <c r="F18" s="126">
        <f>VLOOKUP($B$3,'Data for Bill Impacts'!$A$3:$Y$15,23,0)</f>
        <v>2.0000000000000001E-4</v>
      </c>
      <c r="G18" s="22">
        <f>E18*F18</f>
        <v>0.02</v>
      </c>
      <c r="H18" s="22">
        <f>G18-D18</f>
        <v>0</v>
      </c>
      <c r="I18" s="23">
        <f>IF(ISERROR(H18/D18),0,(H18/D18))</f>
        <v>0</v>
      </c>
      <c r="J18" s="125">
        <f t="shared" si="0"/>
        <v>6.6341082149522505E-4</v>
      </c>
    </row>
    <row r="19" spans="1:10" hidden="1" x14ac:dyDescent="0.2">
      <c r="A19" s="107" t="s">
        <v>108</v>
      </c>
      <c r="B19" s="73">
        <f>B8</f>
        <v>109.2</v>
      </c>
      <c r="C19" s="78">
        <f>VLOOKUP($B$3,'Data for Bill Impacts'!$A$3:$Y$15,20,0)</f>
        <v>0</v>
      </c>
      <c r="D19" s="22">
        <f>B19*C19</f>
        <v>0</v>
      </c>
      <c r="E19" s="73">
        <f t="shared" si="1"/>
        <v>109.2</v>
      </c>
      <c r="F19" s="78">
        <f>VLOOKUP($B$3,'Data for Bill Impacts'!$A$3:$Y$15,21,0)</f>
        <v>0</v>
      </c>
      <c r="G19" s="22">
        <f>E19*F19</f>
        <v>0</v>
      </c>
      <c r="H19" s="22">
        <f t="shared" si="2"/>
        <v>0</v>
      </c>
      <c r="I19" s="23">
        <f>IF(ISERROR(H19/D19),0,(H19/D19))</f>
        <v>0</v>
      </c>
      <c r="J19" s="125">
        <f t="shared" si="0"/>
        <v>0</v>
      </c>
    </row>
    <row r="20" spans="1:10" x14ac:dyDescent="0.2">
      <c r="A20" s="110" t="s">
        <v>72</v>
      </c>
      <c r="B20" s="74"/>
      <c r="C20" s="35"/>
      <c r="D20" s="35">
        <f>SUM(D15:D19)</f>
        <v>14.36</v>
      </c>
      <c r="E20" s="73"/>
      <c r="F20" s="35"/>
      <c r="G20" s="35">
        <f>SUM(G15:G19)</f>
        <v>14.790000000000001</v>
      </c>
      <c r="H20" s="35">
        <f t="shared" si="2"/>
        <v>0.43000000000000149</v>
      </c>
      <c r="I20" s="36">
        <f t="shared" si="3"/>
        <v>2.9944289693593421E-2</v>
      </c>
      <c r="J20" s="111">
        <f t="shared" si="0"/>
        <v>0.49059230249571895</v>
      </c>
    </row>
    <row r="21" spans="1:10" s="1" customFormat="1" x14ac:dyDescent="0.2">
      <c r="A21" s="119" t="s">
        <v>81</v>
      </c>
      <c r="B21" s="120">
        <f>B8-B4</f>
        <v>9.2000000000000028</v>
      </c>
      <c r="C21" s="121">
        <f>IF(B4&gt;B7,C13,C12)</f>
        <v>0.10299999999999999</v>
      </c>
      <c r="D21" s="22">
        <f>B21*C21</f>
        <v>0.94760000000000022</v>
      </c>
      <c r="E21" s="73">
        <f>B21</f>
        <v>9.2000000000000028</v>
      </c>
      <c r="F21" s="121">
        <f>C21</f>
        <v>0.10299999999999999</v>
      </c>
      <c r="G21" s="22">
        <f>E21*F21</f>
        <v>0.94760000000000022</v>
      </c>
      <c r="H21" s="22">
        <f t="shared" si="2"/>
        <v>0</v>
      </c>
      <c r="I21" s="23">
        <f>IF(ISERROR(H21/D21),0,(H21/D21))</f>
        <v>0</v>
      </c>
      <c r="J21" s="125">
        <f t="shared" si="0"/>
        <v>3.1432404722443769E-2</v>
      </c>
    </row>
    <row r="22" spans="1:10" x14ac:dyDescent="0.2">
      <c r="A22" s="110" t="s">
        <v>79</v>
      </c>
      <c r="B22" s="74"/>
      <c r="C22" s="35"/>
      <c r="D22" s="35">
        <f>SUM(D20,D21:D21)</f>
        <v>15.307599999999999</v>
      </c>
      <c r="E22" s="73"/>
      <c r="F22" s="35"/>
      <c r="G22" s="35">
        <f>SUM(G20,G21:G21)</f>
        <v>15.7376</v>
      </c>
      <c r="H22" s="35">
        <f t="shared" si="2"/>
        <v>0.43000000000000149</v>
      </c>
      <c r="I22" s="36">
        <f>IF(ISERROR(H22/D22),0,(H22/D22))</f>
        <v>2.8090621651989962E-2</v>
      </c>
      <c r="J22" s="111">
        <f t="shared" si="0"/>
        <v>0.52202470721816263</v>
      </c>
    </row>
    <row r="23" spans="1:10" x14ac:dyDescent="0.2">
      <c r="A23" s="107" t="s">
        <v>40</v>
      </c>
      <c r="B23" s="73">
        <f>B8</f>
        <v>109.2</v>
      </c>
      <c r="C23" s="126">
        <f>VLOOKUP($B$3,'Data for Bill Impacts'!$A$3:$Y$15,15,0)</f>
        <v>4.6979999999999999E-3</v>
      </c>
      <c r="D23" s="22">
        <f>B23*C23</f>
        <v>0.51302159999999997</v>
      </c>
      <c r="E23" s="73">
        <f t="shared" si="1"/>
        <v>109.2</v>
      </c>
      <c r="F23" s="126">
        <f>VLOOKUP($B$3,'Data for Bill Impacts'!$A$3:$Y$15,24,0)</f>
        <v>4.6979999999999999E-3</v>
      </c>
      <c r="G23" s="22">
        <f>E23*F23</f>
        <v>0.51302159999999997</v>
      </c>
      <c r="H23" s="22">
        <f t="shared" si="2"/>
        <v>0</v>
      </c>
      <c r="I23" s="23">
        <f t="shared" si="3"/>
        <v>0</v>
      </c>
      <c r="J23" s="125">
        <f t="shared" si="0"/>
        <v>1.7017204055039734E-2</v>
      </c>
    </row>
    <row r="24" spans="1:10" s="1" customFormat="1" x14ac:dyDescent="0.2">
      <c r="A24" s="107" t="s">
        <v>41</v>
      </c>
      <c r="B24" s="73">
        <f>B8</f>
        <v>109.2</v>
      </c>
      <c r="C24" s="126">
        <f>VLOOKUP($B$3,'Data for Bill Impacts'!$A$3:$Y$15,16,0)</f>
        <v>4.2899999999999995E-3</v>
      </c>
      <c r="D24" s="22">
        <f>B24*C24</f>
        <v>0.46846799999999994</v>
      </c>
      <c r="E24" s="73">
        <f t="shared" si="1"/>
        <v>109.2</v>
      </c>
      <c r="F24" s="126">
        <f>VLOOKUP($B$3,'Data for Bill Impacts'!$A$3:$Y$15,25,0)</f>
        <v>4.2899999999999995E-3</v>
      </c>
      <c r="G24" s="22">
        <f>E24*F24</f>
        <v>0.46846799999999994</v>
      </c>
      <c r="H24" s="22">
        <f t="shared" si="2"/>
        <v>0</v>
      </c>
      <c r="I24" s="23">
        <f t="shared" si="3"/>
        <v>0</v>
      </c>
      <c r="J24" s="125">
        <f t="shared" si="0"/>
        <v>1.5539337036211251E-2</v>
      </c>
    </row>
    <row r="25" spans="1:10" s="1" customFormat="1" x14ac:dyDescent="0.2">
      <c r="A25" s="110" t="s">
        <v>76</v>
      </c>
      <c r="B25" s="74"/>
      <c r="C25" s="35"/>
      <c r="D25" s="35">
        <f>SUM(D23:D24)</f>
        <v>0.98148959999999996</v>
      </c>
      <c r="E25" s="73"/>
      <c r="F25" s="35"/>
      <c r="G25" s="35">
        <f>SUM(G23:G24)</f>
        <v>0.98148959999999996</v>
      </c>
      <c r="H25" s="35">
        <f t="shared" si="2"/>
        <v>0</v>
      </c>
      <c r="I25" s="36">
        <f t="shared" si="3"/>
        <v>0</v>
      </c>
      <c r="J25" s="111">
        <f t="shared" si="0"/>
        <v>3.2556541091250987E-2</v>
      </c>
    </row>
    <row r="26" spans="1:10" s="1" customFormat="1" x14ac:dyDescent="0.2">
      <c r="A26" s="110" t="s">
        <v>80</v>
      </c>
      <c r="B26" s="74"/>
      <c r="C26" s="35"/>
      <c r="D26" s="35">
        <f>D22+D25</f>
        <v>16.289089600000001</v>
      </c>
      <c r="E26" s="73"/>
      <c r="F26" s="35"/>
      <c r="G26" s="35">
        <f>G22+G25</f>
        <v>16.7190896</v>
      </c>
      <c r="H26" s="35">
        <f t="shared" si="2"/>
        <v>0.42999999999999972</v>
      </c>
      <c r="I26" s="36">
        <f t="shared" si="3"/>
        <v>2.6398037616540564E-2</v>
      </c>
      <c r="J26" s="111">
        <f t="shared" si="0"/>
        <v>0.55458124830941369</v>
      </c>
    </row>
    <row r="27" spans="1:10" x14ac:dyDescent="0.2">
      <c r="A27" s="107" t="s">
        <v>42</v>
      </c>
      <c r="B27" s="73">
        <f>B8</f>
        <v>109.2</v>
      </c>
      <c r="C27" s="34">
        <v>3.5999999999999999E-3</v>
      </c>
      <c r="D27" s="22">
        <f>B27*C27</f>
        <v>0.39312000000000002</v>
      </c>
      <c r="E27" s="73">
        <f t="shared" si="1"/>
        <v>109.2</v>
      </c>
      <c r="F27" s="34">
        <v>3.5999999999999999E-3</v>
      </c>
      <c r="G27" s="22">
        <f>E27*F27</f>
        <v>0.39312000000000002</v>
      </c>
      <c r="H27" s="22">
        <f t="shared" si="2"/>
        <v>0</v>
      </c>
      <c r="I27" s="23">
        <f t="shared" si="3"/>
        <v>0</v>
      </c>
      <c r="J27" s="125">
        <f t="shared" si="0"/>
        <v>1.3040003107310143E-2</v>
      </c>
    </row>
    <row r="28" spans="1:10" s="1" customFormat="1" x14ac:dyDescent="0.2">
      <c r="A28" s="107" t="s">
        <v>43</v>
      </c>
      <c r="B28" s="73">
        <f>B8</f>
        <v>109.2</v>
      </c>
      <c r="C28" s="34">
        <v>2.0999999999999999E-3</v>
      </c>
      <c r="D28" s="22">
        <f>B28*C28</f>
        <v>0.22932</v>
      </c>
      <c r="E28" s="73">
        <f t="shared" si="1"/>
        <v>109.2</v>
      </c>
      <c r="F28" s="34">
        <v>2.0999999999999999E-3</v>
      </c>
      <c r="G28" s="22">
        <f>E28*F28</f>
        <v>0.22932</v>
      </c>
      <c r="H28" s="22">
        <f>G28-D28</f>
        <v>0</v>
      </c>
      <c r="I28" s="23">
        <f t="shared" si="3"/>
        <v>0</v>
      </c>
      <c r="J28" s="125">
        <f t="shared" si="0"/>
        <v>7.6066684792642503E-3</v>
      </c>
    </row>
    <row r="29" spans="1:10" s="1" customFormat="1" x14ac:dyDescent="0.2">
      <c r="A29" s="107" t="s">
        <v>96</v>
      </c>
      <c r="B29" s="73">
        <f>B8</f>
        <v>109.2</v>
      </c>
      <c r="C29" s="34">
        <v>1.1000000000000001E-3</v>
      </c>
      <c r="D29" s="22">
        <f>B29*C29</f>
        <v>0.12012</v>
      </c>
      <c r="E29" s="73">
        <f t="shared" si="1"/>
        <v>109.2</v>
      </c>
      <c r="F29" s="34">
        <v>1.1000000000000001E-3</v>
      </c>
      <c r="G29" s="22">
        <f>E29*F29</f>
        <v>0.12012</v>
      </c>
      <c r="H29" s="22">
        <f>G29-D29</f>
        <v>0</v>
      </c>
      <c r="I29" s="23">
        <f t="shared" ref="I29" si="8">IF(ISERROR(H29/D29),0,(H29/D29))</f>
        <v>0</v>
      </c>
      <c r="J29" s="125">
        <f t="shared" ref="J29" si="9">G29/$G$37</f>
        <v>3.9844453939003217E-3</v>
      </c>
    </row>
    <row r="30" spans="1:10" x14ac:dyDescent="0.2">
      <c r="A30" s="107" t="s">
        <v>44</v>
      </c>
      <c r="B30" s="73">
        <v>1</v>
      </c>
      <c r="C30" s="22">
        <v>0.25</v>
      </c>
      <c r="D30" s="22">
        <f>B30*C30</f>
        <v>0.25</v>
      </c>
      <c r="E30" s="73">
        <f t="shared" si="1"/>
        <v>1</v>
      </c>
      <c r="F30" s="22">
        <f>C30</f>
        <v>0.25</v>
      </c>
      <c r="G30" s="22">
        <f>E30*F30</f>
        <v>0.25</v>
      </c>
      <c r="H30" s="22">
        <f t="shared" si="2"/>
        <v>0</v>
      </c>
      <c r="I30" s="23">
        <f t="shared" si="3"/>
        <v>0</v>
      </c>
      <c r="J30" s="125">
        <f t="shared" ref="J30:J37" si="10">G30/$G$37</f>
        <v>8.2926352686903126E-3</v>
      </c>
    </row>
    <row r="31" spans="1:10" s="1" customFormat="1" x14ac:dyDescent="0.2">
      <c r="A31" s="110" t="s">
        <v>45</v>
      </c>
      <c r="B31" s="74"/>
      <c r="C31" s="35"/>
      <c r="D31" s="35">
        <f>SUM(D27:D30)</f>
        <v>0.99256</v>
      </c>
      <c r="E31" s="73"/>
      <c r="F31" s="35"/>
      <c r="G31" s="35">
        <f>SUM(G27:G30)</f>
        <v>0.99256</v>
      </c>
      <c r="H31" s="35">
        <f t="shared" si="2"/>
        <v>0</v>
      </c>
      <c r="I31" s="36">
        <f t="shared" si="3"/>
        <v>0</v>
      </c>
      <c r="J31" s="111">
        <f t="shared" si="10"/>
        <v>3.2923752249165029E-2</v>
      </c>
    </row>
    <row r="32" spans="1:10" ht="13.5" thickBot="1" x14ac:dyDescent="0.25">
      <c r="A32" s="112" t="s">
        <v>46</v>
      </c>
      <c r="B32" s="113">
        <f>B4</f>
        <v>100</v>
      </c>
      <c r="C32" s="114">
        <v>7.0000000000000001E-3</v>
      </c>
      <c r="D32" s="115">
        <f>B32*C32</f>
        <v>0.70000000000000007</v>
      </c>
      <c r="E32" s="116">
        <f t="shared" si="1"/>
        <v>100</v>
      </c>
      <c r="F32" s="114">
        <f>C32</f>
        <v>7.0000000000000001E-3</v>
      </c>
      <c r="G32" s="115">
        <f>E32*F32</f>
        <v>0.70000000000000007</v>
      </c>
      <c r="H32" s="115">
        <f t="shared" si="2"/>
        <v>0</v>
      </c>
      <c r="I32" s="117">
        <f t="shared" si="3"/>
        <v>0</v>
      </c>
      <c r="J32" s="118">
        <f t="shared" si="10"/>
        <v>2.3219378752332879E-2</v>
      </c>
    </row>
    <row r="33" spans="1:10" x14ac:dyDescent="0.2">
      <c r="A33" s="37" t="s">
        <v>111</v>
      </c>
      <c r="B33" s="38"/>
      <c r="C33" s="39"/>
      <c r="D33" s="39">
        <f>SUM(D14,D22,D25,D31,D32)</f>
        <v>28.281649599999998</v>
      </c>
      <c r="E33" s="38"/>
      <c r="F33" s="39"/>
      <c r="G33" s="39">
        <f>SUM(G14,G22,G25,G31,G32)</f>
        <v>28.711649599999998</v>
      </c>
      <c r="H33" s="39">
        <f t="shared" si="2"/>
        <v>0.42999999999999972</v>
      </c>
      <c r="I33" s="40">
        <f>IF(ISERROR(H33/D33),0,(H33/D33))</f>
        <v>1.5204205061645335E-2</v>
      </c>
      <c r="J33" s="41">
        <f t="shared" si="10"/>
        <v>0.95238095238095233</v>
      </c>
    </row>
    <row r="34" spans="1:10" x14ac:dyDescent="0.2">
      <c r="A34" s="46" t="s">
        <v>102</v>
      </c>
      <c r="B34" s="43"/>
      <c r="C34" s="26">
        <v>0.13</v>
      </c>
      <c r="D34" s="26">
        <f>D33*C34</f>
        <v>3.676614448</v>
      </c>
      <c r="E34" s="26"/>
      <c r="F34" s="26">
        <f>C34</f>
        <v>0.13</v>
      </c>
      <c r="G34" s="26">
        <f>G33*F34</f>
        <v>3.7325144479999999</v>
      </c>
      <c r="H34" s="26">
        <f t="shared" si="2"/>
        <v>5.5899999999999839E-2</v>
      </c>
      <c r="I34" s="44">
        <f t="shared" si="3"/>
        <v>1.52042050616453E-2</v>
      </c>
      <c r="J34" s="45">
        <f t="shared" si="10"/>
        <v>0.12380952380952381</v>
      </c>
    </row>
    <row r="35" spans="1:10" x14ac:dyDescent="0.2">
      <c r="A35" s="46" t="s">
        <v>103</v>
      </c>
      <c r="B35" s="24"/>
      <c r="C35" s="25"/>
      <c r="D35" s="25">
        <f>SUM(D33:D34)</f>
        <v>31.958264047999997</v>
      </c>
      <c r="E35" s="25"/>
      <c r="F35" s="25"/>
      <c r="G35" s="25">
        <f>SUM(G33:G34)</f>
        <v>32.444164047999998</v>
      </c>
      <c r="H35" s="25">
        <f t="shared" si="2"/>
        <v>0.48590000000000089</v>
      </c>
      <c r="I35" s="27">
        <f t="shared" si="3"/>
        <v>1.5204205061645373E-2</v>
      </c>
      <c r="J35" s="47">
        <f t="shared" si="10"/>
        <v>1.0761904761904761</v>
      </c>
    </row>
    <row r="36" spans="1:10" x14ac:dyDescent="0.2">
      <c r="A36" s="46" t="s">
        <v>104</v>
      </c>
      <c r="B36" s="43"/>
      <c r="C36" s="26">
        <v>-0.08</v>
      </c>
      <c r="D36" s="26">
        <f>D33*C36</f>
        <v>-2.2625319679999998</v>
      </c>
      <c r="E36" s="26"/>
      <c r="F36" s="26">
        <f>C36</f>
        <v>-0.08</v>
      </c>
      <c r="G36" s="26">
        <f>G33*F36</f>
        <v>-2.296931968</v>
      </c>
      <c r="H36" s="26">
        <f t="shared" si="2"/>
        <v>-3.4400000000000208E-2</v>
      </c>
      <c r="I36" s="44">
        <f t="shared" si="3"/>
        <v>1.5204205061645437E-2</v>
      </c>
      <c r="J36" s="45">
        <f t="shared" si="10"/>
        <v>-7.6190476190476197E-2</v>
      </c>
    </row>
    <row r="37" spans="1:10" ht="13.5" thickBot="1" x14ac:dyDescent="0.25">
      <c r="A37" s="48" t="s">
        <v>105</v>
      </c>
      <c r="B37" s="49"/>
      <c r="C37" s="50"/>
      <c r="D37" s="50">
        <f>SUM(D35:D36)</f>
        <v>29.695732079999996</v>
      </c>
      <c r="E37" s="50"/>
      <c r="F37" s="50"/>
      <c r="G37" s="50">
        <f>SUM(G35:G36)</f>
        <v>30.147232079999998</v>
      </c>
      <c r="H37" s="50">
        <f t="shared" si="2"/>
        <v>0.4515000000000029</v>
      </c>
      <c r="I37" s="51">
        <f t="shared" si="3"/>
        <v>1.5204205061645444E-2</v>
      </c>
      <c r="J37" s="52">
        <f t="shared" si="10"/>
        <v>1</v>
      </c>
    </row>
    <row r="38" spans="1:10" x14ac:dyDescent="0.2">
      <c r="A38" s="171"/>
      <c r="D38" s="72"/>
      <c r="F38" s="69"/>
    </row>
    <row r="39" spans="1:10" x14ac:dyDescent="0.2">
      <c r="A39" s="171"/>
      <c r="F39" s="69"/>
    </row>
    <row r="40" spans="1:10" x14ac:dyDescent="0.2">
      <c r="A40" s="172"/>
      <c r="B40" s="71"/>
      <c r="F40" s="69"/>
    </row>
    <row r="41" spans="1:10" x14ac:dyDescent="0.2">
      <c r="A41" s="171"/>
      <c r="B41" s="72"/>
      <c r="D41" s="72"/>
      <c r="F41" s="69"/>
    </row>
    <row r="42" spans="1:10" x14ac:dyDescent="0.2">
      <c r="A42" s="171"/>
      <c r="F42" s="69"/>
    </row>
    <row r="43" spans="1:10" x14ac:dyDescent="0.2">
      <c r="A43" s="171"/>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theme="1" tint="0.499984740745262"/>
    <pageSetUpPr fitToPage="1"/>
  </sheetPr>
  <dimension ref="A1:J48"/>
  <sheetViews>
    <sheetView tabSelected="1" view="pageBreakPreview" topLeftCell="A10"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119</v>
      </c>
      <c r="B1" s="188"/>
      <c r="C1" s="188"/>
      <c r="D1" s="188"/>
      <c r="E1" s="188"/>
      <c r="F1" s="188"/>
      <c r="G1" s="188"/>
      <c r="H1" s="188"/>
      <c r="I1" s="188"/>
      <c r="J1" s="189"/>
    </row>
    <row r="3" spans="1:10" ht="15" customHeight="1" x14ac:dyDescent="0.2">
      <c r="A3" s="13" t="s">
        <v>13</v>
      </c>
      <c r="B3" s="13" t="s">
        <v>8</v>
      </c>
    </row>
    <row r="4" spans="1:10" x14ac:dyDescent="0.2">
      <c r="A4" s="15" t="s">
        <v>62</v>
      </c>
      <c r="B4" s="168">
        <f>VLOOKUP(B3,'Data for Bill Impacts'!A18:D31,3,FALSE)</f>
        <v>517</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8">
        <f>B4*B6</f>
        <v>564.56400000000008</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517</v>
      </c>
      <c r="C12" s="103">
        <v>0.10299999999999999</v>
      </c>
      <c r="D12" s="104">
        <f>B12*C12</f>
        <v>53.250999999999998</v>
      </c>
      <c r="E12" s="102">
        <f>B12</f>
        <v>517</v>
      </c>
      <c r="F12" s="103">
        <f>C12</f>
        <v>0.10299999999999999</v>
      </c>
      <c r="G12" s="104">
        <f>E12*F12</f>
        <v>53.250999999999998</v>
      </c>
      <c r="H12" s="104">
        <f>G12-D12</f>
        <v>0</v>
      </c>
      <c r="I12" s="105">
        <f>IF(ISERROR(H12/D12),0,(H12/D12))</f>
        <v>0</v>
      </c>
      <c r="J12" s="124">
        <f t="shared" ref="J12:J28" si="0">G12/$G$37</f>
        <v>0.39348002586715175</v>
      </c>
    </row>
    <row r="13" spans="1:10" x14ac:dyDescent="0.2">
      <c r="A13" s="107" t="s">
        <v>32</v>
      </c>
      <c r="B13" s="73">
        <f>IF(B4&gt;B7,(B4)-B7,0)</f>
        <v>0</v>
      </c>
      <c r="C13" s="21">
        <v>0.121</v>
      </c>
      <c r="D13" s="22">
        <f>B13*C13</f>
        <v>0</v>
      </c>
      <c r="E13" s="73">
        <f t="shared" ref="E13" si="1">B13</f>
        <v>0</v>
      </c>
      <c r="F13" s="21">
        <f>C13</f>
        <v>0.121</v>
      </c>
      <c r="G13" s="22">
        <f>E13*F13</f>
        <v>0</v>
      </c>
      <c r="H13" s="22">
        <f t="shared" ref="H13:H37" si="2">G13-D13</f>
        <v>0</v>
      </c>
      <c r="I13" s="23">
        <f t="shared" ref="I13:I37" si="3">IF(ISERROR(H13/D13),0,(H13/D13))</f>
        <v>0</v>
      </c>
      <c r="J13" s="125">
        <f t="shared" si="0"/>
        <v>0</v>
      </c>
    </row>
    <row r="14" spans="1:10" s="1" customFormat="1" x14ac:dyDescent="0.2">
      <c r="A14" s="46" t="s">
        <v>33</v>
      </c>
      <c r="B14" s="24"/>
      <c r="C14" s="25"/>
      <c r="D14" s="25">
        <f>SUM(D12:D13)</f>
        <v>53.250999999999998</v>
      </c>
      <c r="E14" s="76"/>
      <c r="F14" s="25"/>
      <c r="G14" s="25">
        <f>SUM(G12:G13)</f>
        <v>53.250999999999998</v>
      </c>
      <c r="H14" s="25">
        <f t="shared" si="2"/>
        <v>0</v>
      </c>
      <c r="I14" s="27">
        <f t="shared" si="3"/>
        <v>0</v>
      </c>
      <c r="J14" s="47">
        <f t="shared" si="0"/>
        <v>0.39348002586715175</v>
      </c>
    </row>
    <row r="15" spans="1:10" x14ac:dyDescent="0.2">
      <c r="A15" s="107" t="s">
        <v>38</v>
      </c>
      <c r="B15" s="73">
        <v>1</v>
      </c>
      <c r="C15" s="78">
        <f>VLOOKUP($B$3,'Data for Bill Impacts'!$A$3:$Y$15,7,0)</f>
        <v>4.21</v>
      </c>
      <c r="D15" s="22">
        <f>B15*C15</f>
        <v>4.21</v>
      </c>
      <c r="E15" s="73">
        <f t="shared" ref="E15:E32" si="4">B15</f>
        <v>1</v>
      </c>
      <c r="F15" s="78">
        <f>VLOOKUP($B$3,'Data for Bill Impacts'!$A$3:$Y$15,17,0)</f>
        <v>4.33</v>
      </c>
      <c r="G15" s="22">
        <f>E15*F15</f>
        <v>4.33</v>
      </c>
      <c r="H15" s="22">
        <f t="shared" si="2"/>
        <v>0.12000000000000011</v>
      </c>
      <c r="I15" s="23">
        <f t="shared" si="3"/>
        <v>2.8503562945368197E-2</v>
      </c>
      <c r="J15" s="125">
        <f t="shared" si="0"/>
        <v>3.1995051961555034E-2</v>
      </c>
    </row>
    <row r="16" spans="1:10" x14ac:dyDescent="0.2">
      <c r="A16" s="107" t="s">
        <v>85</v>
      </c>
      <c r="B16" s="73">
        <v>1</v>
      </c>
      <c r="C16" s="122">
        <f>VLOOKUP($B$3,'Data for Bill Impacts'!$A$3:$Y$15,11,0)</f>
        <v>0</v>
      </c>
      <c r="D16" s="22">
        <f t="shared" ref="D16" si="5">B16*C16</f>
        <v>0</v>
      </c>
      <c r="E16" s="73">
        <f t="shared" si="4"/>
        <v>1</v>
      </c>
      <c r="F16" s="122">
        <f>VLOOKUP($B$3,'Data for Bill Impacts'!$A$3:$Y$15,22,0)</f>
        <v>0</v>
      </c>
      <c r="G16" s="22">
        <f t="shared" ref="G16" si="6">E16*F16</f>
        <v>0</v>
      </c>
      <c r="H16" s="22">
        <f t="shared" si="2"/>
        <v>0</v>
      </c>
      <c r="I16" s="23">
        <f t="shared" si="3"/>
        <v>0</v>
      </c>
      <c r="J16" s="125">
        <f t="shared" si="0"/>
        <v>0</v>
      </c>
    </row>
    <row r="17" spans="1:10" x14ac:dyDescent="0.2">
      <c r="A17" s="107" t="s">
        <v>39</v>
      </c>
      <c r="B17" s="73">
        <f>IF($B$9="kWh",$B$4,$B$5)</f>
        <v>517</v>
      </c>
      <c r="C17" s="78">
        <f>VLOOKUP($B$3,'Data for Bill Impacts'!$A$3:$Y$15,10,0)</f>
        <v>0.1013</v>
      </c>
      <c r="D17" s="22">
        <f>B17*C17</f>
        <v>52.372100000000003</v>
      </c>
      <c r="E17" s="73">
        <f t="shared" si="4"/>
        <v>517</v>
      </c>
      <c r="F17" s="78">
        <f>VLOOKUP($B$3,'Data for Bill Impacts'!$A$3:$Y$15,19,0)</f>
        <v>0.10440000000000001</v>
      </c>
      <c r="G17" s="22">
        <f>E17*F17</f>
        <v>53.974800000000002</v>
      </c>
      <c r="H17" s="22">
        <f t="shared" si="2"/>
        <v>1.6026999999999987</v>
      </c>
      <c r="I17" s="23">
        <f t="shared" si="3"/>
        <v>3.0602171767028601E-2</v>
      </c>
      <c r="J17" s="125">
        <f t="shared" si="0"/>
        <v>0.39882829806340436</v>
      </c>
    </row>
    <row r="18" spans="1:10" s="1" customFormat="1" x14ac:dyDescent="0.2">
      <c r="A18" s="107" t="s">
        <v>121</v>
      </c>
      <c r="B18" s="73">
        <f>IF($B$9="kWh",$B$4,$B$5)</f>
        <v>517</v>
      </c>
      <c r="C18" s="126">
        <f>VLOOKUP($B$3,'Data for Bill Impacts'!$A$3:$Y$15,14,0)</f>
        <v>2.0000000000000001E-4</v>
      </c>
      <c r="D18" s="22">
        <f>B18*C18</f>
        <v>0.10340000000000001</v>
      </c>
      <c r="E18" s="73">
        <f>B18</f>
        <v>517</v>
      </c>
      <c r="F18" s="126">
        <f>VLOOKUP($B$3,'Data for Bill Impacts'!$A$3:$Y$15,23,0)</f>
        <v>2.0000000000000001E-4</v>
      </c>
      <c r="G18" s="22">
        <f>E18*F18</f>
        <v>0.10340000000000001</v>
      </c>
      <c r="H18" s="22">
        <f>G18-D18</f>
        <v>0</v>
      </c>
      <c r="I18" s="23">
        <f>IF(ISERROR(H18/D18),0,(H18/D18))</f>
        <v>0</v>
      </c>
      <c r="J18" s="125">
        <f t="shared" si="0"/>
        <v>7.6403888517893555E-4</v>
      </c>
    </row>
    <row r="19" spans="1:10" hidden="1" x14ac:dyDescent="0.2">
      <c r="A19" s="107" t="s">
        <v>108</v>
      </c>
      <c r="B19" s="73">
        <f>B8</f>
        <v>564.56400000000008</v>
      </c>
      <c r="C19" s="78">
        <f>VLOOKUP($B$3,'Data for Bill Impacts'!$A$3:$Y$15,20,0)</f>
        <v>0</v>
      </c>
      <c r="D19" s="22">
        <f>B19*C19</f>
        <v>0</v>
      </c>
      <c r="E19" s="73">
        <f t="shared" si="4"/>
        <v>564.56400000000008</v>
      </c>
      <c r="F19" s="78">
        <f>VLOOKUP($B$3,'Data for Bill Impacts'!$A$3:$Y$15,21,0)</f>
        <v>0</v>
      </c>
      <c r="G19" s="22">
        <f>E19*F19</f>
        <v>0</v>
      </c>
      <c r="H19" s="22">
        <f t="shared" si="2"/>
        <v>0</v>
      </c>
      <c r="I19" s="23">
        <f>IF(ISERROR(H19/D19),0,(H19/D19))</f>
        <v>0</v>
      </c>
      <c r="J19" s="125">
        <f t="shared" si="0"/>
        <v>0</v>
      </c>
    </row>
    <row r="20" spans="1:10" x14ac:dyDescent="0.2">
      <c r="A20" s="110" t="s">
        <v>72</v>
      </c>
      <c r="B20" s="74"/>
      <c r="C20" s="35"/>
      <c r="D20" s="35">
        <f>SUM(D15:D19)</f>
        <v>56.685500000000005</v>
      </c>
      <c r="E20" s="73"/>
      <c r="F20" s="35"/>
      <c r="G20" s="35">
        <f>SUM(G15:G19)</f>
        <v>58.408200000000001</v>
      </c>
      <c r="H20" s="35">
        <f t="shared" si="2"/>
        <v>1.7226999999999961</v>
      </c>
      <c r="I20" s="36">
        <f t="shared" si="3"/>
        <v>3.0390487867267571E-2</v>
      </c>
      <c r="J20" s="111">
        <f t="shared" si="0"/>
        <v>0.43158738891013831</v>
      </c>
    </row>
    <row r="21" spans="1:10" s="1" customFormat="1" x14ac:dyDescent="0.2">
      <c r="A21" s="119" t="s">
        <v>81</v>
      </c>
      <c r="B21" s="120">
        <f>B8-B4</f>
        <v>47.564000000000078</v>
      </c>
      <c r="C21" s="121">
        <f>IF(B4&gt;B7,C13,C12)</f>
        <v>0.10299999999999999</v>
      </c>
      <c r="D21" s="22">
        <f>B21*C21</f>
        <v>4.8990920000000076</v>
      </c>
      <c r="E21" s="73">
        <f>B21</f>
        <v>47.564000000000078</v>
      </c>
      <c r="F21" s="121">
        <f>C21</f>
        <v>0.10299999999999999</v>
      </c>
      <c r="G21" s="22">
        <f>E21*F21</f>
        <v>4.8990920000000076</v>
      </c>
      <c r="H21" s="22">
        <f t="shared" si="2"/>
        <v>0</v>
      </c>
      <c r="I21" s="23">
        <f>IF(ISERROR(H21/D21),0,(H21/D21))</f>
        <v>0</v>
      </c>
      <c r="J21" s="125">
        <f t="shared" si="0"/>
        <v>3.6200162379778023E-2</v>
      </c>
    </row>
    <row r="22" spans="1:10" x14ac:dyDescent="0.2">
      <c r="A22" s="110" t="s">
        <v>79</v>
      </c>
      <c r="B22" s="74"/>
      <c r="C22" s="35"/>
      <c r="D22" s="35">
        <f>SUM(D20,D21:D21)</f>
        <v>61.584592000000015</v>
      </c>
      <c r="E22" s="73"/>
      <c r="F22" s="35"/>
      <c r="G22" s="35">
        <f>SUM(G20,G21:G21)</f>
        <v>63.307292000000011</v>
      </c>
      <c r="H22" s="35">
        <f t="shared" si="2"/>
        <v>1.7226999999999961</v>
      </c>
      <c r="I22" s="36">
        <f>IF(ISERROR(H22/D22),0,(H22/D22))</f>
        <v>2.797290595024151E-2</v>
      </c>
      <c r="J22" s="111">
        <f t="shared" si="0"/>
        <v>0.46778755128991634</v>
      </c>
    </row>
    <row r="23" spans="1:10" x14ac:dyDescent="0.2">
      <c r="A23" s="107" t="s">
        <v>40</v>
      </c>
      <c r="B23" s="73">
        <f>B8</f>
        <v>564.56400000000008</v>
      </c>
      <c r="C23" s="126">
        <f>VLOOKUP($B$3,'Data for Bill Impacts'!$A$3:$Y$15,15,0)</f>
        <v>4.6979999999999999E-3</v>
      </c>
      <c r="D23" s="22">
        <f>B23*C23</f>
        <v>2.6523216720000002</v>
      </c>
      <c r="E23" s="73">
        <f t="shared" si="4"/>
        <v>564.56400000000008</v>
      </c>
      <c r="F23" s="126">
        <f>VLOOKUP($B$3,'Data for Bill Impacts'!$A$3:$Y$15,24,0)</f>
        <v>4.6979999999999999E-3</v>
      </c>
      <c r="G23" s="22">
        <f>E23*F23</f>
        <v>2.6523216720000002</v>
      </c>
      <c r="H23" s="22">
        <f t="shared" si="2"/>
        <v>0</v>
      </c>
      <c r="I23" s="23">
        <f t="shared" si="3"/>
        <v>0</v>
      </c>
      <c r="J23" s="125">
        <f t="shared" si="0"/>
        <v>1.959842256683569E-2</v>
      </c>
    </row>
    <row r="24" spans="1:10" s="1" customFormat="1" x14ac:dyDescent="0.2">
      <c r="A24" s="107" t="s">
        <v>41</v>
      </c>
      <c r="B24" s="73">
        <f>B8</f>
        <v>564.56400000000008</v>
      </c>
      <c r="C24" s="126">
        <f>VLOOKUP($B$3,'Data for Bill Impacts'!$A$3:$Y$15,16,0)</f>
        <v>4.2899999999999995E-3</v>
      </c>
      <c r="D24" s="22">
        <f>B24*C24</f>
        <v>2.42197956</v>
      </c>
      <c r="E24" s="73">
        <f t="shared" si="4"/>
        <v>564.56400000000008</v>
      </c>
      <c r="F24" s="126">
        <f>VLOOKUP($B$3,'Data for Bill Impacts'!$A$3:$Y$15,25,0)</f>
        <v>4.2899999999999995E-3</v>
      </c>
      <c r="G24" s="22">
        <f>E24*F24</f>
        <v>2.42197956</v>
      </c>
      <c r="H24" s="22">
        <f t="shared" si="2"/>
        <v>0</v>
      </c>
      <c r="I24" s="23">
        <f t="shared" si="3"/>
        <v>0</v>
      </c>
      <c r="J24" s="125">
        <f t="shared" si="0"/>
        <v>1.7896388423100276E-2</v>
      </c>
    </row>
    <row r="25" spans="1:10" s="1" customFormat="1" x14ac:dyDescent="0.2">
      <c r="A25" s="110" t="s">
        <v>76</v>
      </c>
      <c r="B25" s="74"/>
      <c r="C25" s="35"/>
      <c r="D25" s="35">
        <f>SUM(D23:D24)</f>
        <v>5.0743012319999998</v>
      </c>
      <c r="E25" s="73"/>
      <c r="F25" s="35"/>
      <c r="G25" s="35">
        <f>SUM(G23:G24)</f>
        <v>5.0743012319999998</v>
      </c>
      <c r="H25" s="35">
        <f t="shared" si="2"/>
        <v>0</v>
      </c>
      <c r="I25" s="36">
        <f t="shared" si="3"/>
        <v>0</v>
      </c>
      <c r="J25" s="111">
        <f t="shared" si="0"/>
        <v>3.7494810989935963E-2</v>
      </c>
    </row>
    <row r="26" spans="1:10" s="1" customFormat="1" x14ac:dyDescent="0.2">
      <c r="A26" s="110" t="s">
        <v>80</v>
      </c>
      <c r="B26" s="74"/>
      <c r="C26" s="35"/>
      <c r="D26" s="35">
        <f>D22+D25</f>
        <v>66.658893232000011</v>
      </c>
      <c r="E26" s="73"/>
      <c r="F26" s="35"/>
      <c r="G26" s="35">
        <f>G22+G25</f>
        <v>68.381593232000014</v>
      </c>
      <c r="H26" s="35">
        <f t="shared" si="2"/>
        <v>1.7227000000000032</v>
      </c>
      <c r="I26" s="36">
        <f t="shared" si="3"/>
        <v>2.5843513392943801E-2</v>
      </c>
      <c r="J26" s="111">
        <f t="shared" si="0"/>
        <v>0.50528236227985235</v>
      </c>
    </row>
    <row r="27" spans="1:10" x14ac:dyDescent="0.2">
      <c r="A27" s="107" t="s">
        <v>42</v>
      </c>
      <c r="B27" s="73">
        <f>B8</f>
        <v>564.56400000000008</v>
      </c>
      <c r="C27" s="34">
        <v>3.5999999999999999E-3</v>
      </c>
      <c r="D27" s="22">
        <f>B27*C27</f>
        <v>2.0324304000000004</v>
      </c>
      <c r="E27" s="73">
        <f t="shared" si="4"/>
        <v>564.56400000000008</v>
      </c>
      <c r="F27" s="34">
        <v>3.5999999999999999E-3</v>
      </c>
      <c r="G27" s="22">
        <f>E27*F27</f>
        <v>2.0324304000000004</v>
      </c>
      <c r="H27" s="22">
        <f t="shared" si="2"/>
        <v>0</v>
      </c>
      <c r="I27" s="23">
        <f t="shared" si="3"/>
        <v>0</v>
      </c>
      <c r="J27" s="125">
        <f t="shared" si="0"/>
        <v>1.5017948327077158E-2</v>
      </c>
    </row>
    <row r="28" spans="1:10" s="1" customFormat="1" x14ac:dyDescent="0.2">
      <c r="A28" s="107" t="s">
        <v>43</v>
      </c>
      <c r="B28" s="73">
        <f>B8</f>
        <v>564.56400000000008</v>
      </c>
      <c r="C28" s="34">
        <v>1.2999999999999999E-3</v>
      </c>
      <c r="D28" s="22">
        <f>B28*C28</f>
        <v>0.73393320000000006</v>
      </c>
      <c r="E28" s="73">
        <f t="shared" si="4"/>
        <v>564.56400000000008</v>
      </c>
      <c r="F28" s="34">
        <v>1.2999999999999999E-3</v>
      </c>
      <c r="G28" s="22">
        <f>E28*F28</f>
        <v>0.73393320000000006</v>
      </c>
      <c r="H28" s="22">
        <f>G28-D28</f>
        <v>0</v>
      </c>
      <c r="I28" s="23">
        <f t="shared" si="3"/>
        <v>0</v>
      </c>
      <c r="J28" s="125">
        <f t="shared" si="0"/>
        <v>5.4231480070000846E-3</v>
      </c>
    </row>
    <row r="29" spans="1:10" s="1" customFormat="1" x14ac:dyDescent="0.2">
      <c r="A29" s="107" t="s">
        <v>96</v>
      </c>
      <c r="B29" s="73">
        <f>B8</f>
        <v>564.56400000000008</v>
      </c>
      <c r="C29" s="34">
        <v>1.1000000000000001E-3</v>
      </c>
      <c r="D29" s="22">
        <f>B29*C29</f>
        <v>0.62102040000000014</v>
      </c>
      <c r="E29" s="73">
        <f t="shared" si="4"/>
        <v>564.56400000000008</v>
      </c>
      <c r="F29" s="34">
        <v>1.1000000000000001E-3</v>
      </c>
      <c r="G29" s="22">
        <f>E29*F29</f>
        <v>0.62102040000000014</v>
      </c>
      <c r="H29" s="22">
        <f>G29-D29</f>
        <v>0</v>
      </c>
      <c r="I29" s="23">
        <f t="shared" ref="I29" si="7">IF(ISERROR(H29/D29),0,(H29/D29))</f>
        <v>0</v>
      </c>
      <c r="J29" s="125">
        <f t="shared" ref="J29" si="8">G29/$G$37</f>
        <v>4.5888175443846877E-3</v>
      </c>
    </row>
    <row r="30" spans="1:10" x14ac:dyDescent="0.2">
      <c r="A30" s="107" t="s">
        <v>44</v>
      </c>
      <c r="B30" s="73">
        <v>1</v>
      </c>
      <c r="C30" s="22">
        <v>0.25</v>
      </c>
      <c r="D30" s="22">
        <f>B30*C30</f>
        <v>0.25</v>
      </c>
      <c r="E30" s="73">
        <f t="shared" si="4"/>
        <v>1</v>
      </c>
      <c r="F30" s="22">
        <f>C30</f>
        <v>0.25</v>
      </c>
      <c r="G30" s="22">
        <f>E30*F30</f>
        <v>0.25</v>
      </c>
      <c r="H30" s="22">
        <f t="shared" si="2"/>
        <v>0</v>
      </c>
      <c r="I30" s="23">
        <f t="shared" si="3"/>
        <v>0</v>
      </c>
      <c r="J30" s="125">
        <f t="shared" ref="J30:J37" si="9">G30/$G$37</f>
        <v>1.8472893742237319E-3</v>
      </c>
    </row>
    <row r="31" spans="1:10" s="1" customFormat="1" x14ac:dyDescent="0.2">
      <c r="A31" s="110" t="s">
        <v>45</v>
      </c>
      <c r="B31" s="74"/>
      <c r="C31" s="35"/>
      <c r="D31" s="35">
        <f>SUM(D27:D30)</f>
        <v>3.6373840000000008</v>
      </c>
      <c r="E31" s="73"/>
      <c r="F31" s="35"/>
      <c r="G31" s="35">
        <f>SUM(G27:G30)</f>
        <v>3.6373840000000008</v>
      </c>
      <c r="H31" s="35">
        <f t="shared" si="2"/>
        <v>0</v>
      </c>
      <c r="I31" s="36">
        <f t="shared" si="3"/>
        <v>0</v>
      </c>
      <c r="J31" s="111">
        <f t="shared" si="9"/>
        <v>2.6877203252685666E-2</v>
      </c>
    </row>
    <row r="32" spans="1:10" ht="13.5" thickBot="1" x14ac:dyDescent="0.25">
      <c r="A32" s="112" t="s">
        <v>46</v>
      </c>
      <c r="B32" s="113">
        <f>B4</f>
        <v>517</v>
      </c>
      <c r="C32" s="114">
        <v>7.0000000000000001E-3</v>
      </c>
      <c r="D32" s="115">
        <f>B32*C32</f>
        <v>3.6190000000000002</v>
      </c>
      <c r="E32" s="116">
        <f t="shared" si="4"/>
        <v>517</v>
      </c>
      <c r="F32" s="114">
        <f>C32</f>
        <v>7.0000000000000001E-3</v>
      </c>
      <c r="G32" s="115">
        <f>E32*F32</f>
        <v>3.6190000000000002</v>
      </c>
      <c r="H32" s="115">
        <f t="shared" si="2"/>
        <v>0</v>
      </c>
      <c r="I32" s="117">
        <f t="shared" si="3"/>
        <v>0</v>
      </c>
      <c r="J32" s="118">
        <f t="shared" si="9"/>
        <v>2.6741360981262743E-2</v>
      </c>
    </row>
    <row r="33" spans="1:10" x14ac:dyDescent="0.2">
      <c r="A33" s="37" t="s">
        <v>111</v>
      </c>
      <c r="B33" s="38"/>
      <c r="C33" s="39"/>
      <c r="D33" s="39">
        <f>SUM(D14,D22,D25,D31,D32)</f>
        <v>127.16627723200001</v>
      </c>
      <c r="E33" s="38"/>
      <c r="F33" s="39"/>
      <c r="G33" s="39">
        <f>SUM(G14,G22,G25,G31,G32)</f>
        <v>128.888977232</v>
      </c>
      <c r="H33" s="39">
        <f t="shared" si="2"/>
        <v>1.722699999999989</v>
      </c>
      <c r="I33" s="40">
        <f>IF(ISERROR(H33/D33),0,(H33/D33))</f>
        <v>1.3546830476582436E-2</v>
      </c>
      <c r="J33" s="41">
        <f t="shared" si="9"/>
        <v>0.95238095238095244</v>
      </c>
    </row>
    <row r="34" spans="1:10" x14ac:dyDescent="0.2">
      <c r="A34" s="46" t="s">
        <v>102</v>
      </c>
      <c r="B34" s="43"/>
      <c r="C34" s="26">
        <v>0.13</v>
      </c>
      <c r="D34" s="26">
        <f>D33*C34</f>
        <v>16.531616040160003</v>
      </c>
      <c r="E34" s="26"/>
      <c r="F34" s="26">
        <f>C34</f>
        <v>0.13</v>
      </c>
      <c r="G34" s="26">
        <f>G33*F34</f>
        <v>16.755567040160003</v>
      </c>
      <c r="H34" s="26">
        <f t="shared" si="2"/>
        <v>0.22395099999999957</v>
      </c>
      <c r="I34" s="44">
        <f t="shared" si="3"/>
        <v>1.3546830476582497E-2</v>
      </c>
      <c r="J34" s="45">
        <f t="shared" si="9"/>
        <v>0.12380952380952383</v>
      </c>
    </row>
    <row r="35" spans="1:10" x14ac:dyDescent="0.2">
      <c r="A35" s="46" t="s">
        <v>103</v>
      </c>
      <c r="B35" s="24"/>
      <c r="C35" s="25"/>
      <c r="D35" s="25">
        <f>SUM(D33:D34)</f>
        <v>143.69789327216</v>
      </c>
      <c r="E35" s="25"/>
      <c r="F35" s="25"/>
      <c r="G35" s="25">
        <f>SUM(G33:G34)</f>
        <v>145.64454427216</v>
      </c>
      <c r="H35" s="25">
        <f t="shared" si="2"/>
        <v>1.9466510000000028</v>
      </c>
      <c r="I35" s="27">
        <f t="shared" si="3"/>
        <v>1.3546830476582544E-2</v>
      </c>
      <c r="J35" s="47">
        <f t="shared" si="9"/>
        <v>1.0761904761904761</v>
      </c>
    </row>
    <row r="36" spans="1:10" x14ac:dyDescent="0.2">
      <c r="A36" s="46" t="s">
        <v>104</v>
      </c>
      <c r="B36" s="43"/>
      <c r="C36" s="26">
        <v>-0.08</v>
      </c>
      <c r="D36" s="26">
        <f>D33*C36</f>
        <v>-10.173302178560002</v>
      </c>
      <c r="E36" s="26"/>
      <c r="F36" s="26">
        <f>C36</f>
        <v>-0.08</v>
      </c>
      <c r="G36" s="26">
        <f>G33*F36</f>
        <v>-10.311118178560001</v>
      </c>
      <c r="H36" s="26">
        <f t="shared" si="2"/>
        <v>-0.13781599999999905</v>
      </c>
      <c r="I36" s="44">
        <f t="shared" si="3"/>
        <v>1.3546830476582429E-2</v>
      </c>
      <c r="J36" s="45">
        <f t="shared" si="9"/>
        <v>-7.6190476190476197E-2</v>
      </c>
    </row>
    <row r="37" spans="1:10" ht="13.5" thickBot="1" x14ac:dyDescent="0.25">
      <c r="A37" s="48" t="s">
        <v>105</v>
      </c>
      <c r="B37" s="49"/>
      <c r="C37" s="50"/>
      <c r="D37" s="50">
        <f>SUM(D35:D36)</f>
        <v>133.52459109360001</v>
      </c>
      <c r="E37" s="50"/>
      <c r="F37" s="50"/>
      <c r="G37" s="50">
        <f>SUM(G35:G36)</f>
        <v>135.3334260936</v>
      </c>
      <c r="H37" s="50">
        <f t="shared" si="2"/>
        <v>1.8088349999999878</v>
      </c>
      <c r="I37" s="51">
        <f t="shared" si="3"/>
        <v>1.3546830476582433E-2</v>
      </c>
      <c r="J37" s="52">
        <f t="shared" si="9"/>
        <v>1</v>
      </c>
    </row>
    <row r="38" spans="1:10" x14ac:dyDescent="0.2">
      <c r="A38" s="171"/>
      <c r="D38" s="72"/>
      <c r="F38" s="69"/>
    </row>
    <row r="39" spans="1:10" x14ac:dyDescent="0.2">
      <c r="A39" s="171"/>
      <c r="F39" s="69"/>
    </row>
    <row r="40" spans="1:10" x14ac:dyDescent="0.2">
      <c r="A40" s="172"/>
      <c r="B40" s="71"/>
      <c r="F40" s="69"/>
    </row>
    <row r="41" spans="1:10" x14ac:dyDescent="0.2">
      <c r="A41" s="171"/>
      <c r="B41" s="72"/>
      <c r="D41" s="72"/>
      <c r="F41" s="69"/>
    </row>
    <row r="42" spans="1:10" x14ac:dyDescent="0.2">
      <c r="A42" s="171"/>
      <c r="F42" s="69"/>
    </row>
    <row r="43" spans="1:10" x14ac:dyDescent="0.2">
      <c r="A43" s="171"/>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theme="1" tint="0.499984740745262"/>
    <pageSetUpPr fitToPage="1"/>
  </sheetPr>
  <dimension ref="A1:J48"/>
  <sheetViews>
    <sheetView tabSelected="1" view="pageBreakPreview" topLeftCell="A10" zoomScaleNormal="100" zoomScaleSheetLayoutView="100" workbookViewId="0">
      <selection activeCell="C3" sqref="C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120</v>
      </c>
      <c r="B1" s="188"/>
      <c r="C1" s="188"/>
      <c r="D1" s="188"/>
      <c r="E1" s="188"/>
      <c r="F1" s="188"/>
      <c r="G1" s="188"/>
      <c r="H1" s="188"/>
      <c r="I1" s="188"/>
      <c r="J1" s="189"/>
    </row>
    <row r="3" spans="1:10" x14ac:dyDescent="0.2">
      <c r="A3" s="13" t="s">
        <v>13</v>
      </c>
      <c r="B3" s="13" t="s">
        <v>8</v>
      </c>
    </row>
    <row r="4" spans="1:10" x14ac:dyDescent="0.2">
      <c r="A4" s="15" t="s">
        <v>62</v>
      </c>
      <c r="B4" s="15">
        <v>2000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2184</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24">
        <f t="shared" ref="J12:J28" si="0">G12/$G$37</f>
        <v>0.14340710436856954</v>
      </c>
    </row>
    <row r="13" spans="1:10" x14ac:dyDescent="0.2">
      <c r="A13" s="107" t="s">
        <v>32</v>
      </c>
      <c r="B13" s="73">
        <f>IF(B4&gt;B7,(B4)-B7,0)</f>
        <v>1250</v>
      </c>
      <c r="C13" s="21">
        <v>0.121</v>
      </c>
      <c r="D13" s="22">
        <f>B13*C13</f>
        <v>151.25</v>
      </c>
      <c r="E13" s="73">
        <f t="shared" ref="E13" si="1">B13</f>
        <v>1250</v>
      </c>
      <c r="F13" s="21">
        <f>C13</f>
        <v>0.121</v>
      </c>
      <c r="G13" s="22">
        <f>E13*F13</f>
        <v>151.25</v>
      </c>
      <c r="H13" s="22">
        <f t="shared" ref="H13:H37" si="2">G13-D13</f>
        <v>0</v>
      </c>
      <c r="I13" s="23">
        <f t="shared" ref="I13:I37" si="3">IF(ISERROR(H13/D13),0,(H13/D13))</f>
        <v>0</v>
      </c>
      <c r="J13" s="125">
        <f t="shared" si="0"/>
        <v>0.28078090013910867</v>
      </c>
    </row>
    <row r="14" spans="1:10" s="1" customFormat="1" x14ac:dyDescent="0.2">
      <c r="A14" s="46" t="s">
        <v>33</v>
      </c>
      <c r="B14" s="24"/>
      <c r="C14" s="25"/>
      <c r="D14" s="25">
        <f>SUM(D12:D13)</f>
        <v>228.5</v>
      </c>
      <c r="E14" s="76"/>
      <c r="F14" s="25"/>
      <c r="G14" s="25">
        <f>SUM(G12:G13)</f>
        <v>228.5</v>
      </c>
      <c r="H14" s="25">
        <f t="shared" si="2"/>
        <v>0</v>
      </c>
      <c r="I14" s="27">
        <f t="shared" si="3"/>
        <v>0</v>
      </c>
      <c r="J14" s="47">
        <f t="shared" si="0"/>
        <v>0.42418800450767818</v>
      </c>
    </row>
    <row r="15" spans="1:10" x14ac:dyDescent="0.2">
      <c r="A15" s="107" t="s">
        <v>38</v>
      </c>
      <c r="B15" s="73">
        <v>1</v>
      </c>
      <c r="C15" s="78">
        <f>VLOOKUP($B$3,'Data for Bill Impacts'!$A$3:$Y$15,7,0)</f>
        <v>4.21</v>
      </c>
      <c r="D15" s="22">
        <f>B15*C15</f>
        <v>4.21</v>
      </c>
      <c r="E15" s="73">
        <f t="shared" ref="E15:E32" si="4">B15</f>
        <v>1</v>
      </c>
      <c r="F15" s="78">
        <f>VLOOKUP($B$3,'Data for Bill Impacts'!$A$3:$Y$15,17,0)</f>
        <v>4.33</v>
      </c>
      <c r="G15" s="22">
        <f>E15*F15</f>
        <v>4.33</v>
      </c>
      <c r="H15" s="22">
        <f t="shared" si="2"/>
        <v>0.12000000000000011</v>
      </c>
      <c r="I15" s="23">
        <f t="shared" si="3"/>
        <v>2.8503562945368197E-2</v>
      </c>
      <c r="J15" s="125">
        <f t="shared" si="0"/>
        <v>8.0382234552220863E-3</v>
      </c>
    </row>
    <row r="16" spans="1:10" x14ac:dyDescent="0.2">
      <c r="A16" s="107" t="s">
        <v>85</v>
      </c>
      <c r="B16" s="73">
        <v>1</v>
      </c>
      <c r="C16" s="122">
        <f>VLOOKUP($B$3,'Data for Bill Impacts'!$A$3:$Y$15,11,0)</f>
        <v>0</v>
      </c>
      <c r="D16" s="22">
        <f t="shared" ref="D16" si="5">B16*C16</f>
        <v>0</v>
      </c>
      <c r="E16" s="73">
        <f t="shared" si="4"/>
        <v>1</v>
      </c>
      <c r="F16" s="122">
        <f>VLOOKUP($B$3,'Data for Bill Impacts'!$A$3:$Y$15,22,0)</f>
        <v>0</v>
      </c>
      <c r="G16" s="22">
        <f t="shared" ref="G16" si="6">E16*F16</f>
        <v>0</v>
      </c>
      <c r="H16" s="22">
        <f t="shared" si="2"/>
        <v>0</v>
      </c>
      <c r="I16" s="23">
        <f t="shared" si="3"/>
        <v>0</v>
      </c>
      <c r="J16" s="125">
        <f t="shared" si="0"/>
        <v>0</v>
      </c>
    </row>
    <row r="17" spans="1:10" x14ac:dyDescent="0.2">
      <c r="A17" s="107" t="s">
        <v>39</v>
      </c>
      <c r="B17" s="73">
        <f>IF($B$9="kWh",$B$4,$B$5)</f>
        <v>2000</v>
      </c>
      <c r="C17" s="78">
        <f>VLOOKUP($B$3,'Data for Bill Impacts'!$A$3:$Y$15,10,0)</f>
        <v>0.1013</v>
      </c>
      <c r="D17" s="22">
        <f>B17*C17</f>
        <v>202.6</v>
      </c>
      <c r="E17" s="73">
        <f t="shared" si="4"/>
        <v>2000</v>
      </c>
      <c r="F17" s="78">
        <f>VLOOKUP($B$3,'Data for Bill Impacts'!$A$3:$Y$15,19,0)</f>
        <v>0.10440000000000001</v>
      </c>
      <c r="G17" s="22">
        <f>E17*F17</f>
        <v>208.8</v>
      </c>
      <c r="H17" s="22">
        <f t="shared" si="2"/>
        <v>6.2000000000000171</v>
      </c>
      <c r="I17" s="23">
        <f t="shared" si="3"/>
        <v>3.0602171767028712E-2</v>
      </c>
      <c r="J17" s="125">
        <f t="shared" si="0"/>
        <v>0.38761687239038606</v>
      </c>
    </row>
    <row r="18" spans="1:10" s="1" customFormat="1" x14ac:dyDescent="0.2">
      <c r="A18" s="107" t="s">
        <v>121</v>
      </c>
      <c r="B18" s="73">
        <f>IF($B$9="kWh",$B$4,$B$5)</f>
        <v>2000</v>
      </c>
      <c r="C18" s="126">
        <f>VLOOKUP($B$3,'Data for Bill Impacts'!$A$3:$Y$15,14,0)</f>
        <v>2.0000000000000001E-4</v>
      </c>
      <c r="D18" s="22">
        <f>B18*C18</f>
        <v>0.4</v>
      </c>
      <c r="E18" s="73">
        <f>B18</f>
        <v>2000</v>
      </c>
      <c r="F18" s="126">
        <f>VLOOKUP($B$3,'Data for Bill Impacts'!$A$3:$Y$15,23,0)</f>
        <v>2.0000000000000001E-4</v>
      </c>
      <c r="G18" s="22">
        <f>E18*F18</f>
        <v>0.4</v>
      </c>
      <c r="H18" s="22">
        <f>G18-D18</f>
        <v>0</v>
      </c>
      <c r="I18" s="23">
        <f>IF(ISERROR(H18/D18),0,(H18/D18))</f>
        <v>0</v>
      </c>
      <c r="J18" s="125">
        <f t="shared" si="0"/>
        <v>7.4256105821913034E-4</v>
      </c>
    </row>
    <row r="19" spans="1:10" hidden="1" x14ac:dyDescent="0.2">
      <c r="A19" s="107" t="s">
        <v>108</v>
      </c>
      <c r="B19" s="73">
        <f>B8</f>
        <v>2184</v>
      </c>
      <c r="C19" s="78">
        <f>VLOOKUP($B$3,'Data for Bill Impacts'!$A$3:$Y$15,20,0)</f>
        <v>0</v>
      </c>
      <c r="D19" s="22">
        <f>B19*C19</f>
        <v>0</v>
      </c>
      <c r="E19" s="73">
        <f t="shared" si="4"/>
        <v>2184</v>
      </c>
      <c r="F19" s="78">
        <f>VLOOKUP($B$3,'Data for Bill Impacts'!$A$3:$Y$15,21,0)</f>
        <v>0</v>
      </c>
      <c r="G19" s="22">
        <f>E19*F19</f>
        <v>0</v>
      </c>
      <c r="H19" s="22">
        <f t="shared" si="2"/>
        <v>0</v>
      </c>
      <c r="I19" s="23">
        <f>IF(ISERROR(H19/D19),0,(H19/D19))</f>
        <v>0</v>
      </c>
      <c r="J19" s="125">
        <f t="shared" si="0"/>
        <v>0</v>
      </c>
    </row>
    <row r="20" spans="1:10" x14ac:dyDescent="0.2">
      <c r="A20" s="110" t="s">
        <v>72</v>
      </c>
      <c r="B20" s="74"/>
      <c r="C20" s="35"/>
      <c r="D20" s="35">
        <f>SUM(D15:D19)</f>
        <v>207.21</v>
      </c>
      <c r="E20" s="73"/>
      <c r="F20" s="35"/>
      <c r="G20" s="35">
        <f>SUM(G15:G19)</f>
        <v>213.53000000000003</v>
      </c>
      <c r="H20" s="35">
        <f t="shared" si="2"/>
        <v>6.3200000000000216</v>
      </c>
      <c r="I20" s="36">
        <f t="shared" si="3"/>
        <v>3.0500458472081566E-2</v>
      </c>
      <c r="J20" s="111">
        <f t="shared" si="0"/>
        <v>0.39639765690382728</v>
      </c>
    </row>
    <row r="21" spans="1:10" s="1" customFormat="1" x14ac:dyDescent="0.2">
      <c r="A21" s="119" t="s">
        <v>81</v>
      </c>
      <c r="B21" s="120">
        <f>B8-B4</f>
        <v>184</v>
      </c>
      <c r="C21" s="121">
        <f>IF(B4&gt;B7,C13,C12)</f>
        <v>0.121</v>
      </c>
      <c r="D21" s="22">
        <f>B21*C21</f>
        <v>22.263999999999999</v>
      </c>
      <c r="E21" s="73">
        <f>B21</f>
        <v>184</v>
      </c>
      <c r="F21" s="121">
        <f>C21</f>
        <v>0.121</v>
      </c>
      <c r="G21" s="22">
        <f>E21*F21</f>
        <v>22.263999999999999</v>
      </c>
      <c r="H21" s="22">
        <f t="shared" si="2"/>
        <v>0</v>
      </c>
      <c r="I21" s="23">
        <f>IF(ISERROR(H21/D21),0,(H21/D21))</f>
        <v>0</v>
      </c>
      <c r="J21" s="125">
        <f t="shared" si="0"/>
        <v>4.1330948500476791E-2</v>
      </c>
    </row>
    <row r="22" spans="1:10" x14ac:dyDescent="0.2">
      <c r="A22" s="110" t="s">
        <v>79</v>
      </c>
      <c r="B22" s="74"/>
      <c r="C22" s="35"/>
      <c r="D22" s="35">
        <f>SUM(D20,D21:D21)</f>
        <v>229.47400000000002</v>
      </c>
      <c r="E22" s="73"/>
      <c r="F22" s="35"/>
      <c r="G22" s="35">
        <f>SUM(G20,G21:G21)</f>
        <v>235.79400000000004</v>
      </c>
      <c r="H22" s="35">
        <f t="shared" si="2"/>
        <v>6.3200000000000216</v>
      </c>
      <c r="I22" s="36">
        <f>IF(ISERROR(H22/D22),0,(H22/D22))</f>
        <v>2.7541246502871878E-2</v>
      </c>
      <c r="J22" s="111">
        <f t="shared" si="0"/>
        <v>0.43772860540430408</v>
      </c>
    </row>
    <row r="23" spans="1:10" x14ac:dyDescent="0.2">
      <c r="A23" s="107" t="s">
        <v>40</v>
      </c>
      <c r="B23" s="73">
        <f>B8</f>
        <v>2184</v>
      </c>
      <c r="C23" s="126">
        <f>VLOOKUP($B$3,'Data for Bill Impacts'!$A$3:$Y$15,15,0)</f>
        <v>4.6979999999999999E-3</v>
      </c>
      <c r="D23" s="22">
        <f>B23*C23</f>
        <v>10.260432</v>
      </c>
      <c r="E23" s="73">
        <f t="shared" si="4"/>
        <v>2184</v>
      </c>
      <c r="F23" s="126">
        <f>VLOOKUP($B$3,'Data for Bill Impacts'!$A$3:$Y$15,24,0)</f>
        <v>4.6979999999999999E-3</v>
      </c>
      <c r="G23" s="22">
        <f>E23*F23</f>
        <v>10.260432</v>
      </c>
      <c r="H23" s="22">
        <f t="shared" si="2"/>
        <v>0</v>
      </c>
      <c r="I23" s="23">
        <f t="shared" si="3"/>
        <v>0</v>
      </c>
      <c r="J23" s="125">
        <f t="shared" si="0"/>
        <v>1.9047493109263569E-2</v>
      </c>
    </row>
    <row r="24" spans="1:10" s="1" customFormat="1" x14ac:dyDescent="0.2">
      <c r="A24" s="107" t="s">
        <v>41</v>
      </c>
      <c r="B24" s="73">
        <f>B8</f>
        <v>2184</v>
      </c>
      <c r="C24" s="126">
        <f>VLOOKUP($B$3,'Data for Bill Impacts'!$A$3:$Y$15,16,0)</f>
        <v>4.2899999999999995E-3</v>
      </c>
      <c r="D24" s="22">
        <f>B24*C24</f>
        <v>9.3693599999999986</v>
      </c>
      <c r="E24" s="73">
        <f t="shared" si="4"/>
        <v>2184</v>
      </c>
      <c r="F24" s="126">
        <f>VLOOKUP($B$3,'Data for Bill Impacts'!$A$3:$Y$15,25,0)</f>
        <v>4.2899999999999995E-3</v>
      </c>
      <c r="G24" s="22">
        <f>E24*F24</f>
        <v>9.3693599999999986</v>
      </c>
      <c r="H24" s="22">
        <f t="shared" si="2"/>
        <v>0</v>
      </c>
      <c r="I24" s="23">
        <f t="shared" si="3"/>
        <v>0</v>
      </c>
      <c r="J24" s="125">
        <f t="shared" si="0"/>
        <v>1.7393304691089975E-2</v>
      </c>
    </row>
    <row r="25" spans="1:10" s="1" customFormat="1" x14ac:dyDescent="0.2">
      <c r="A25" s="110" t="s">
        <v>76</v>
      </c>
      <c r="B25" s="74"/>
      <c r="C25" s="35"/>
      <c r="D25" s="35">
        <f>SUM(D23:D24)</f>
        <v>19.629791999999998</v>
      </c>
      <c r="E25" s="73"/>
      <c r="F25" s="35"/>
      <c r="G25" s="35">
        <f>SUM(G23:G24)</f>
        <v>19.629791999999998</v>
      </c>
      <c r="H25" s="35">
        <f t="shared" si="2"/>
        <v>0</v>
      </c>
      <c r="I25" s="36">
        <f t="shared" si="3"/>
        <v>0</v>
      </c>
      <c r="J25" s="111">
        <f t="shared" si="0"/>
        <v>3.6440797800353544E-2</v>
      </c>
    </row>
    <row r="26" spans="1:10" s="1" customFormat="1" x14ac:dyDescent="0.2">
      <c r="A26" s="110" t="s">
        <v>80</v>
      </c>
      <c r="B26" s="74"/>
      <c r="C26" s="35"/>
      <c r="D26" s="35">
        <f>D22+D25</f>
        <v>249.10379200000003</v>
      </c>
      <c r="E26" s="73"/>
      <c r="F26" s="35"/>
      <c r="G26" s="35">
        <f>G22+G25</f>
        <v>255.42379200000005</v>
      </c>
      <c r="H26" s="35">
        <f t="shared" si="2"/>
        <v>6.3200000000000216</v>
      </c>
      <c r="I26" s="36">
        <f t="shared" si="3"/>
        <v>2.5370950595565486E-2</v>
      </c>
      <c r="J26" s="111">
        <f t="shared" si="0"/>
        <v>0.47416940320465767</v>
      </c>
    </row>
    <row r="27" spans="1:10" x14ac:dyDescent="0.2">
      <c r="A27" s="107" t="s">
        <v>42</v>
      </c>
      <c r="B27" s="73">
        <f>B8</f>
        <v>2184</v>
      </c>
      <c r="C27" s="34">
        <v>3.5999999999999999E-3</v>
      </c>
      <c r="D27" s="22">
        <f>B27*C27</f>
        <v>7.8624000000000001</v>
      </c>
      <c r="E27" s="73">
        <f t="shared" si="4"/>
        <v>2184</v>
      </c>
      <c r="F27" s="34">
        <v>3.5999999999999999E-3</v>
      </c>
      <c r="G27" s="22">
        <f>E27*F27</f>
        <v>7.8624000000000001</v>
      </c>
      <c r="H27" s="22">
        <f t="shared" si="2"/>
        <v>0</v>
      </c>
      <c r="I27" s="23">
        <f t="shared" si="3"/>
        <v>0</v>
      </c>
      <c r="J27" s="125">
        <f t="shared" si="0"/>
        <v>1.4595780160355225E-2</v>
      </c>
    </row>
    <row r="28" spans="1:10" s="1" customFormat="1" x14ac:dyDescent="0.2">
      <c r="A28" s="107" t="s">
        <v>43</v>
      </c>
      <c r="B28" s="73">
        <f>B8</f>
        <v>2184</v>
      </c>
      <c r="C28" s="34">
        <v>2.0999999999999999E-3</v>
      </c>
      <c r="D28" s="22">
        <f>B28*C28</f>
        <v>4.5863999999999994</v>
      </c>
      <c r="E28" s="73">
        <f t="shared" si="4"/>
        <v>2184</v>
      </c>
      <c r="F28" s="34">
        <v>2.0999999999999999E-3</v>
      </c>
      <c r="G28" s="22">
        <f>E28*F28</f>
        <v>4.5863999999999994</v>
      </c>
      <c r="H28" s="22">
        <f>G28-D28</f>
        <v>0</v>
      </c>
      <c r="I28" s="23">
        <f t="shared" si="3"/>
        <v>0</v>
      </c>
      <c r="J28" s="125">
        <f t="shared" si="0"/>
        <v>8.5142050935405472E-3</v>
      </c>
    </row>
    <row r="29" spans="1:10" s="1" customFormat="1" x14ac:dyDescent="0.2">
      <c r="A29" s="107" t="s">
        <v>96</v>
      </c>
      <c r="B29" s="73">
        <f>B8</f>
        <v>2184</v>
      </c>
      <c r="C29" s="34">
        <v>1.1000000000000001E-3</v>
      </c>
      <c r="D29" s="22">
        <f>B29*C29</f>
        <v>2.4024000000000001</v>
      </c>
      <c r="E29" s="73">
        <f t="shared" si="4"/>
        <v>2184</v>
      </c>
      <c r="F29" s="34">
        <v>1.1000000000000001E-3</v>
      </c>
      <c r="G29" s="22">
        <f>E29*F29</f>
        <v>2.4024000000000001</v>
      </c>
      <c r="H29" s="22">
        <f>G29-D29</f>
        <v>0</v>
      </c>
      <c r="I29" s="23">
        <f t="shared" ref="I29" si="7">IF(ISERROR(H29/D29),0,(H29/D29))</f>
        <v>0</v>
      </c>
      <c r="J29" s="125">
        <f t="shared" ref="J29" si="8">G29/$G$37</f>
        <v>4.4598217156640967E-3</v>
      </c>
    </row>
    <row r="30" spans="1:10" x14ac:dyDescent="0.2">
      <c r="A30" s="107" t="s">
        <v>44</v>
      </c>
      <c r="B30" s="73">
        <v>1</v>
      </c>
      <c r="C30" s="22">
        <v>0.25</v>
      </c>
      <c r="D30" s="22">
        <f>B30*C30</f>
        <v>0.25</v>
      </c>
      <c r="E30" s="73">
        <f t="shared" si="4"/>
        <v>1</v>
      </c>
      <c r="F30" s="22">
        <f>C30</f>
        <v>0.25</v>
      </c>
      <c r="G30" s="22">
        <f>E30*F30</f>
        <v>0.25</v>
      </c>
      <c r="H30" s="22">
        <f t="shared" si="2"/>
        <v>0</v>
      </c>
      <c r="I30" s="23">
        <f t="shared" si="3"/>
        <v>0</v>
      </c>
      <c r="J30" s="125">
        <f t="shared" ref="J30:J37" si="9">G30/$G$37</f>
        <v>4.6410066138695644E-4</v>
      </c>
    </row>
    <row r="31" spans="1:10" s="1" customFormat="1" x14ac:dyDescent="0.2">
      <c r="A31" s="110" t="s">
        <v>45</v>
      </c>
      <c r="B31" s="74"/>
      <c r="C31" s="35"/>
      <c r="D31" s="35">
        <f>SUM(D27:D30)</f>
        <v>15.101199999999999</v>
      </c>
      <c r="E31" s="73"/>
      <c r="F31" s="35"/>
      <c r="G31" s="35">
        <f>SUM(G27:G30)</f>
        <v>15.101199999999999</v>
      </c>
      <c r="H31" s="35">
        <f t="shared" si="2"/>
        <v>0</v>
      </c>
      <c r="I31" s="36">
        <f t="shared" si="3"/>
        <v>0</v>
      </c>
      <c r="J31" s="111">
        <f t="shared" si="9"/>
        <v>2.8033907630946823E-2</v>
      </c>
    </row>
    <row r="32" spans="1:10" ht="13.5" thickBot="1" x14ac:dyDescent="0.25">
      <c r="A32" s="112" t="s">
        <v>46</v>
      </c>
      <c r="B32" s="113">
        <f>B4</f>
        <v>2000</v>
      </c>
      <c r="C32" s="114">
        <v>7.0000000000000001E-3</v>
      </c>
      <c r="D32" s="115">
        <f>B32*C32</f>
        <v>14</v>
      </c>
      <c r="E32" s="116">
        <f t="shared" si="4"/>
        <v>2000</v>
      </c>
      <c r="F32" s="114">
        <f>C32</f>
        <v>7.0000000000000001E-3</v>
      </c>
      <c r="G32" s="115">
        <f>E32*F32</f>
        <v>14</v>
      </c>
      <c r="H32" s="115">
        <f t="shared" si="2"/>
        <v>0</v>
      </c>
      <c r="I32" s="117">
        <f t="shared" si="3"/>
        <v>0</v>
      </c>
      <c r="J32" s="118">
        <f t="shared" si="9"/>
        <v>2.5989637037669561E-2</v>
      </c>
    </row>
    <row r="33" spans="1:10" x14ac:dyDescent="0.2">
      <c r="A33" s="37" t="s">
        <v>111</v>
      </c>
      <c r="B33" s="38"/>
      <c r="C33" s="39"/>
      <c r="D33" s="39">
        <f>SUM(D14,D22,D25,D31,D32)</f>
        <v>506.70499200000006</v>
      </c>
      <c r="E33" s="38"/>
      <c r="F33" s="39"/>
      <c r="G33" s="39">
        <f>SUM(G14,G22,G25,G31,G32)</f>
        <v>513.02499200000011</v>
      </c>
      <c r="H33" s="39">
        <f t="shared" si="2"/>
        <v>6.32000000000005</v>
      </c>
      <c r="I33" s="40">
        <f>IF(ISERROR(H33/D33),0,(H33/D33))</f>
        <v>1.2472740746157972E-2</v>
      </c>
      <c r="J33" s="41">
        <f t="shared" si="9"/>
        <v>0.95238095238095233</v>
      </c>
    </row>
    <row r="34" spans="1:10" x14ac:dyDescent="0.2">
      <c r="A34" s="46" t="s">
        <v>102</v>
      </c>
      <c r="B34" s="43"/>
      <c r="C34" s="26">
        <v>0.13</v>
      </c>
      <c r="D34" s="26">
        <f>D33*C34</f>
        <v>65.871648960000016</v>
      </c>
      <c r="E34" s="26"/>
      <c r="F34" s="26">
        <f>C34</f>
        <v>0.13</v>
      </c>
      <c r="G34" s="26">
        <f>G33*F34</f>
        <v>66.69324896000002</v>
      </c>
      <c r="H34" s="26">
        <f t="shared" si="2"/>
        <v>0.82160000000000366</v>
      </c>
      <c r="I34" s="44">
        <f t="shared" si="3"/>
        <v>1.2472740746157927E-2</v>
      </c>
      <c r="J34" s="45">
        <f t="shared" si="9"/>
        <v>0.12380952380952381</v>
      </c>
    </row>
    <row r="35" spans="1:10" x14ac:dyDescent="0.2">
      <c r="A35" s="46" t="s">
        <v>103</v>
      </c>
      <c r="B35" s="24"/>
      <c r="C35" s="25"/>
      <c r="D35" s="25">
        <f>SUM(D33:D34)</f>
        <v>572.57664096000008</v>
      </c>
      <c r="E35" s="25"/>
      <c r="F35" s="25"/>
      <c r="G35" s="25">
        <f>SUM(G33:G34)</f>
        <v>579.71824096000012</v>
      </c>
      <c r="H35" s="25">
        <f t="shared" si="2"/>
        <v>7.1416000000000395</v>
      </c>
      <c r="I35" s="27">
        <f t="shared" si="3"/>
        <v>1.2472740746157942E-2</v>
      </c>
      <c r="J35" s="47">
        <f t="shared" si="9"/>
        <v>1.0761904761904761</v>
      </c>
    </row>
    <row r="36" spans="1:10" x14ac:dyDescent="0.2">
      <c r="A36" s="46" t="s">
        <v>104</v>
      </c>
      <c r="B36" s="43"/>
      <c r="C36" s="26">
        <v>-0.08</v>
      </c>
      <c r="D36" s="26">
        <f>D33*C36</f>
        <v>-40.536399360000004</v>
      </c>
      <c r="E36" s="26"/>
      <c r="F36" s="26">
        <f>C36</f>
        <v>-0.08</v>
      </c>
      <c r="G36" s="26">
        <f>G33*F36</f>
        <v>-41.041999360000013</v>
      </c>
      <c r="H36" s="26">
        <f t="shared" si="2"/>
        <v>-0.50560000000000827</v>
      </c>
      <c r="I36" s="44">
        <f t="shared" si="3"/>
        <v>1.2472740746158078E-2</v>
      </c>
      <c r="J36" s="45">
        <f t="shared" si="9"/>
        <v>-7.6190476190476197E-2</v>
      </c>
    </row>
    <row r="37" spans="1:10" ht="13.5" thickBot="1" x14ac:dyDescent="0.25">
      <c r="A37" s="48" t="s">
        <v>105</v>
      </c>
      <c r="B37" s="49"/>
      <c r="C37" s="50"/>
      <c r="D37" s="50">
        <f>SUM(D35:D36)</f>
        <v>532.04024160000006</v>
      </c>
      <c r="E37" s="50"/>
      <c r="F37" s="50"/>
      <c r="G37" s="50">
        <f>SUM(G35:G36)</f>
        <v>538.67624160000014</v>
      </c>
      <c r="H37" s="50">
        <f t="shared" si="2"/>
        <v>6.6360000000000809</v>
      </c>
      <c r="I37" s="51">
        <f t="shared" si="3"/>
        <v>1.2472740746158026E-2</v>
      </c>
      <c r="J37" s="52">
        <f t="shared" si="9"/>
        <v>1</v>
      </c>
    </row>
    <row r="38" spans="1:10" x14ac:dyDescent="0.2">
      <c r="A38" s="171"/>
      <c r="D38" s="72"/>
      <c r="F38" s="69"/>
    </row>
    <row r="39" spans="1:10" x14ac:dyDescent="0.2">
      <c r="A39" s="171"/>
      <c r="F39" s="69"/>
    </row>
    <row r="40" spans="1:10" x14ac:dyDescent="0.2">
      <c r="A40" s="172"/>
      <c r="B40" s="71"/>
      <c r="F40" s="69"/>
    </row>
    <row r="41" spans="1:10" x14ac:dyDescent="0.2">
      <c r="A41" s="171"/>
      <c r="B41" s="72"/>
      <c r="D41" s="72"/>
      <c r="F41" s="69"/>
    </row>
    <row r="42" spans="1:10" x14ac:dyDescent="0.2">
      <c r="A42" s="171"/>
      <c r="F42" s="69"/>
    </row>
    <row r="43" spans="1:10" x14ac:dyDescent="0.2">
      <c r="A43" s="171"/>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tint="0.499984740745262"/>
    <pageSetUpPr fitToPage="1"/>
  </sheetPr>
  <dimension ref="A1:K68"/>
  <sheetViews>
    <sheetView tabSelected="1" zoomScaleNormal="100" zoomScaleSheetLayoutView="100" workbookViewId="0">
      <selection activeCell="C3" sqref="C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119</v>
      </c>
      <c r="B1" s="188"/>
      <c r="C1" s="188"/>
      <c r="D1" s="188"/>
      <c r="E1" s="188"/>
      <c r="F1" s="188"/>
      <c r="G1" s="188"/>
      <c r="H1" s="188"/>
      <c r="I1" s="188"/>
      <c r="J1" s="188"/>
      <c r="K1" s="189"/>
    </row>
    <row r="3" spans="1:11" x14ac:dyDescent="0.2">
      <c r="A3" s="13" t="s">
        <v>13</v>
      </c>
      <c r="B3" s="13" t="s">
        <v>0</v>
      </c>
    </row>
    <row r="4" spans="1:11" x14ac:dyDescent="0.2">
      <c r="A4" s="15" t="s">
        <v>62</v>
      </c>
      <c r="B4" s="15">
        <f>VLOOKUP(B3,'Data for Bill Impacts'!$A$19:$D$31,3,FALSE)</f>
        <v>755</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68">
        <f>B4*B6</f>
        <v>798.03499999999997</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0.42144781388211677</v>
      </c>
      <c r="K12" s="106"/>
    </row>
    <row r="13" spans="1:11" x14ac:dyDescent="0.2">
      <c r="A13" s="107" t="s">
        <v>32</v>
      </c>
      <c r="B13" s="73">
        <f>IF(B4&gt;B7,(B4)-B7,0)</f>
        <v>155</v>
      </c>
      <c r="C13" s="21">
        <v>0.121</v>
      </c>
      <c r="D13" s="22">
        <f>B13*C13</f>
        <v>18.754999999999999</v>
      </c>
      <c r="E13" s="73">
        <f t="shared" ref="E13" si="0">B13</f>
        <v>155</v>
      </c>
      <c r="F13" s="21">
        <f>C13</f>
        <v>0.121</v>
      </c>
      <c r="G13" s="22">
        <f>E13*F13</f>
        <v>18.754999999999999</v>
      </c>
      <c r="H13" s="22">
        <f t="shared" ref="H13:H46" si="1">G13-D13</f>
        <v>0</v>
      </c>
      <c r="I13" s="23">
        <f t="shared" ref="I13:I46" si="2">IF(ISERROR(H13/D13),0,(H13/D13))</f>
        <v>0</v>
      </c>
      <c r="J13" s="23">
        <f>G13/$G$46</f>
        <v>0.1279005461061343</v>
      </c>
      <c r="K13" s="108"/>
    </row>
    <row r="14" spans="1:11" s="1" customFormat="1" x14ac:dyDescent="0.2">
      <c r="A14" s="46" t="s">
        <v>33</v>
      </c>
      <c r="B14" s="24"/>
      <c r="C14" s="25"/>
      <c r="D14" s="25">
        <f>SUM(D12:D13)</f>
        <v>80.554999999999993</v>
      </c>
      <c r="E14" s="76"/>
      <c r="F14" s="25"/>
      <c r="G14" s="25">
        <f>SUM(G12:G13)</f>
        <v>80.554999999999993</v>
      </c>
      <c r="H14" s="25">
        <f t="shared" si="1"/>
        <v>0</v>
      </c>
      <c r="I14" s="27">
        <f t="shared" si="2"/>
        <v>0</v>
      </c>
      <c r="J14" s="27">
        <f>G14/$G$46</f>
        <v>0.54934835998825104</v>
      </c>
      <c r="K14" s="108"/>
    </row>
    <row r="15" spans="1:11" s="1" customFormat="1" x14ac:dyDescent="0.2">
      <c r="A15" s="109" t="s">
        <v>34</v>
      </c>
      <c r="B15" s="75">
        <f>B4*0.65</f>
        <v>490.75</v>
      </c>
      <c r="C15" s="28">
        <v>8.6999999999999994E-2</v>
      </c>
      <c r="D15" s="22">
        <f>B15*C15</f>
        <v>42.695249999999994</v>
      </c>
      <c r="E15" s="73">
        <f t="shared" ref="E15:F17" si="3">B15</f>
        <v>490.75</v>
      </c>
      <c r="F15" s="28">
        <f t="shared" si="3"/>
        <v>8.6999999999999994E-2</v>
      </c>
      <c r="G15" s="22">
        <f>E15*F15</f>
        <v>42.695249999999994</v>
      </c>
      <c r="H15" s="22">
        <f t="shared" si="1"/>
        <v>0</v>
      </c>
      <c r="I15" s="23">
        <f t="shared" si="2"/>
        <v>0</v>
      </c>
      <c r="J15" s="23"/>
      <c r="K15" s="108">
        <f t="shared" ref="K15:K26" si="4">G15/$G$51</f>
        <v>0.28477776828786899</v>
      </c>
    </row>
    <row r="16" spans="1:11" s="1" customFormat="1" x14ac:dyDescent="0.2">
      <c r="A16" s="109" t="s">
        <v>35</v>
      </c>
      <c r="B16" s="75">
        <f>B4*0.17</f>
        <v>128.35000000000002</v>
      </c>
      <c r="C16" s="28">
        <v>0.13200000000000001</v>
      </c>
      <c r="D16" s="22">
        <f>B16*C16</f>
        <v>16.942200000000003</v>
      </c>
      <c r="E16" s="73">
        <f t="shared" si="3"/>
        <v>128.35000000000002</v>
      </c>
      <c r="F16" s="28">
        <f t="shared" si="3"/>
        <v>0.13200000000000001</v>
      </c>
      <c r="G16" s="22">
        <f>E16*F16</f>
        <v>16.942200000000003</v>
      </c>
      <c r="H16" s="22">
        <f t="shared" si="1"/>
        <v>0</v>
      </c>
      <c r="I16" s="23">
        <f t="shared" si="2"/>
        <v>0</v>
      </c>
      <c r="J16" s="23"/>
      <c r="K16" s="108">
        <f t="shared" si="4"/>
        <v>0.1130046528802791</v>
      </c>
    </row>
    <row r="17" spans="1:11" s="1" customFormat="1" x14ac:dyDescent="0.2">
      <c r="A17" s="109" t="s">
        <v>36</v>
      </c>
      <c r="B17" s="75">
        <f>B4*0.18</f>
        <v>135.9</v>
      </c>
      <c r="C17" s="28">
        <v>0.18</v>
      </c>
      <c r="D17" s="22">
        <f>B17*C17</f>
        <v>24.462</v>
      </c>
      <c r="E17" s="73">
        <f t="shared" si="3"/>
        <v>135.9</v>
      </c>
      <c r="F17" s="28">
        <f t="shared" si="3"/>
        <v>0.18</v>
      </c>
      <c r="G17" s="22">
        <f>E17*F17</f>
        <v>24.462</v>
      </c>
      <c r="H17" s="22">
        <f t="shared" si="1"/>
        <v>0</v>
      </c>
      <c r="I17" s="23">
        <f t="shared" si="2"/>
        <v>0</v>
      </c>
      <c r="J17" s="23"/>
      <c r="K17" s="108">
        <f t="shared" si="4"/>
        <v>0.16316179827633875</v>
      </c>
    </row>
    <row r="18" spans="1:11" s="1" customFormat="1" x14ac:dyDescent="0.2">
      <c r="A18" s="61" t="s">
        <v>37</v>
      </c>
      <c r="B18" s="29"/>
      <c r="C18" s="30"/>
      <c r="D18" s="30">
        <f>SUM(D15:D17)</f>
        <v>84.099450000000004</v>
      </c>
      <c r="E18" s="77"/>
      <c r="F18" s="30"/>
      <c r="G18" s="30">
        <f>SUM(G15:G17)</f>
        <v>84.099450000000004</v>
      </c>
      <c r="H18" s="31">
        <f t="shared" si="1"/>
        <v>0</v>
      </c>
      <c r="I18" s="32">
        <f t="shared" si="2"/>
        <v>0</v>
      </c>
      <c r="J18" s="33">
        <f t="shared" ref="J18:J26" si="5">G18/$G$46</f>
        <v>0.57351989241405166</v>
      </c>
      <c r="K18" s="62">
        <f t="shared" si="4"/>
        <v>0.56094421944448691</v>
      </c>
    </row>
    <row r="19" spans="1:11" x14ac:dyDescent="0.2">
      <c r="A19" s="107" t="s">
        <v>38</v>
      </c>
      <c r="B19" s="73">
        <v>1</v>
      </c>
      <c r="C19" s="78">
        <f>VLOOKUP($B$3,'Data for Bill Impacts'!$A$3:$Y$15,7,0)</f>
        <v>31.3</v>
      </c>
      <c r="D19" s="22">
        <f>B19*C19</f>
        <v>31.3</v>
      </c>
      <c r="E19" s="73">
        <f t="shared" ref="E19:E41" si="6">B19</f>
        <v>1</v>
      </c>
      <c r="F19" s="78">
        <f>VLOOKUP($B$3,'Data for Bill Impacts'!$A$3:$Y$15,17,0)</f>
        <v>35.880000000000003</v>
      </c>
      <c r="G19" s="22">
        <f>E19*F19</f>
        <v>35.880000000000003</v>
      </c>
      <c r="H19" s="22">
        <f t="shared" si="1"/>
        <v>4.5800000000000018</v>
      </c>
      <c r="I19" s="23">
        <f t="shared" si="2"/>
        <v>0.14632587859424925</v>
      </c>
      <c r="J19" s="23">
        <f t="shared" si="5"/>
        <v>0.24468523563252997</v>
      </c>
      <c r="K19" s="108">
        <f t="shared" si="4"/>
        <v>0.23931997883063671</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6.8195439139501096E-5</v>
      </c>
      <c r="K22" s="108">
        <f t="shared" si="4"/>
        <v>6.6700105582674665E-5</v>
      </c>
    </row>
    <row r="23" spans="1:11" x14ac:dyDescent="0.2">
      <c r="A23" s="107" t="s">
        <v>39</v>
      </c>
      <c r="B23" s="73">
        <f>IF($B$9="kWh",$B$4,$B$5)</f>
        <v>755</v>
      </c>
      <c r="C23" s="78">
        <f>VLOOKUP($B$3,'Data for Bill Impacts'!$A$3:$Y$15,10,0)</f>
        <v>4.7000000000000002E-3</v>
      </c>
      <c r="D23" s="22">
        <f>B23*C23</f>
        <v>3.5485000000000002</v>
      </c>
      <c r="E23" s="73">
        <f t="shared" si="6"/>
        <v>755</v>
      </c>
      <c r="F23" s="78">
        <f>VLOOKUP($B$3,'Data for Bill Impacts'!$A$3:$Y$15,19,0)</f>
        <v>0</v>
      </c>
      <c r="G23" s="22">
        <f>E23*F23</f>
        <v>0</v>
      </c>
      <c r="H23" s="22">
        <f t="shared" si="1"/>
        <v>-3.5485000000000002</v>
      </c>
      <c r="I23" s="23">
        <f t="shared" si="2"/>
        <v>-1</v>
      </c>
      <c r="J23" s="23">
        <f t="shared" si="5"/>
        <v>0</v>
      </c>
      <c r="K23" s="108">
        <f t="shared" si="4"/>
        <v>0</v>
      </c>
    </row>
    <row r="24" spans="1:11" x14ac:dyDescent="0.2">
      <c r="A24" s="107" t="s">
        <v>121</v>
      </c>
      <c r="B24" s="73">
        <f>IF($B$9="kWh",$B$4,$B$5)</f>
        <v>755</v>
      </c>
      <c r="C24" s="126">
        <f>VLOOKUP($B$3,'Data for Bill Impacts'!$A$3:$Y$15,14,0)</f>
        <v>2.0000000000000001E-4</v>
      </c>
      <c r="D24" s="22">
        <f>B24*C24</f>
        <v>0.151</v>
      </c>
      <c r="E24" s="73">
        <f>B24</f>
        <v>755</v>
      </c>
      <c r="F24" s="126">
        <f>VLOOKUP($B$3,'Data for Bill Impacts'!$A$3:$Y$15,23,0)</f>
        <v>2.0000000000000001E-4</v>
      </c>
      <c r="G24" s="22">
        <f>E24*F24</f>
        <v>0.151</v>
      </c>
      <c r="H24" s="22">
        <f>G24-D24</f>
        <v>0</v>
      </c>
      <c r="I24" s="23">
        <f>IF(ISERROR(H24/D24),0,(H24/D24))</f>
        <v>0</v>
      </c>
      <c r="J24" s="23">
        <f t="shared" si="5"/>
        <v>1.0297511310064665E-3</v>
      </c>
      <c r="K24" s="108">
        <f t="shared" si="4"/>
        <v>1.0071715942983875E-3</v>
      </c>
    </row>
    <row r="25" spans="1:11" s="1" customFormat="1" x14ac:dyDescent="0.2">
      <c r="A25" s="110" t="s">
        <v>72</v>
      </c>
      <c r="B25" s="74"/>
      <c r="C25" s="35"/>
      <c r="D25" s="35">
        <f>SUM(D19:D24)</f>
        <v>35.009500000000003</v>
      </c>
      <c r="E25" s="73"/>
      <c r="F25" s="35"/>
      <c r="G25" s="35">
        <f>SUM(G19:G24)</f>
        <v>36.041000000000004</v>
      </c>
      <c r="H25" s="35">
        <f t="shared" si="1"/>
        <v>1.0315000000000012</v>
      </c>
      <c r="I25" s="36">
        <f t="shared" si="2"/>
        <v>2.946343135434671E-2</v>
      </c>
      <c r="J25" s="36">
        <f t="shared" si="5"/>
        <v>0.24578318220267595</v>
      </c>
      <c r="K25" s="111">
        <f t="shared" si="4"/>
        <v>0.24039385053051779</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5.3874396920205875E-3</v>
      </c>
      <c r="K26" s="108">
        <f t="shared" si="4"/>
        <v>5.269308341031299E-3</v>
      </c>
    </row>
    <row r="27" spans="1:11" s="1" customFormat="1" x14ac:dyDescent="0.2">
      <c r="A27" s="119" t="s">
        <v>75</v>
      </c>
      <c r="B27" s="120">
        <f>B8-B4</f>
        <v>43.034999999999968</v>
      </c>
      <c r="C27" s="121">
        <f>IF(B4&gt;B7,C13,C12)</f>
        <v>0.121</v>
      </c>
      <c r="D27" s="22">
        <f>B27*C27</f>
        <v>5.2072349999999963</v>
      </c>
      <c r="E27" s="73">
        <f>B27</f>
        <v>43.034999999999968</v>
      </c>
      <c r="F27" s="121">
        <f>C27</f>
        <v>0.121</v>
      </c>
      <c r="G27" s="22">
        <f>E27*F27</f>
        <v>5.2072349999999963</v>
      </c>
      <c r="H27" s="22">
        <f t="shared" si="1"/>
        <v>0</v>
      </c>
      <c r="I27" s="23">
        <f>IF(ISERROR(H27/D27),0,(H27/D27))</f>
        <v>0</v>
      </c>
      <c r="J27" s="23">
        <f t="shared" ref="J27:J46" si="9">G27/$G$46</f>
        <v>3.5510967752757978E-2</v>
      </c>
      <c r="K27" s="108">
        <f t="shared" ref="K27:K41" si="10">G27/$G$51</f>
        <v>3.4732312429379866E-2</v>
      </c>
    </row>
    <row r="28" spans="1:11" s="1" customFormat="1" x14ac:dyDescent="0.2">
      <c r="A28" s="119" t="s">
        <v>74</v>
      </c>
      <c r="B28" s="120">
        <f>B8-B4</f>
        <v>43.034999999999968</v>
      </c>
      <c r="C28" s="121">
        <f>0.65*C15+0.17*C16+0.18*C17</f>
        <v>0.11139</v>
      </c>
      <c r="D28" s="22">
        <f>B28*C28</f>
        <v>4.7936686499999963</v>
      </c>
      <c r="E28" s="73">
        <f>B28</f>
        <v>43.034999999999968</v>
      </c>
      <c r="F28" s="121">
        <f>C28</f>
        <v>0.11139</v>
      </c>
      <c r="G28" s="22">
        <f>E28*F28</f>
        <v>4.7936686499999963</v>
      </c>
      <c r="H28" s="22">
        <f t="shared" si="1"/>
        <v>0</v>
      </c>
      <c r="I28" s="23">
        <f>IF(ISERROR(H28/D28),0,(H28/D28))</f>
        <v>0</v>
      </c>
      <c r="J28" s="23">
        <f t="shared" si="9"/>
        <v>3.2690633867600918E-2</v>
      </c>
      <c r="K28" s="108">
        <f t="shared" si="10"/>
        <v>3.1973820508335728E-2</v>
      </c>
    </row>
    <row r="29" spans="1:11" s="1" customFormat="1" x14ac:dyDescent="0.2">
      <c r="A29" s="110" t="s">
        <v>78</v>
      </c>
      <c r="B29" s="74"/>
      <c r="C29" s="35"/>
      <c r="D29" s="35">
        <f>SUM(D25,D26:D27)</f>
        <v>41.006734999999999</v>
      </c>
      <c r="E29" s="73"/>
      <c r="F29" s="35"/>
      <c r="G29" s="35">
        <f>SUM(G25,G26:G27)</f>
        <v>42.038235</v>
      </c>
      <c r="H29" s="35">
        <f t="shared" si="1"/>
        <v>1.0315000000000012</v>
      </c>
      <c r="I29" s="36">
        <f>IF(ISERROR(H29/D29),0,(H29/D29))</f>
        <v>2.5154404514282868E-2</v>
      </c>
      <c r="J29" s="36">
        <f t="shared" si="9"/>
        <v>0.28668158964745449</v>
      </c>
      <c r="K29" s="111">
        <f t="shared" si="10"/>
        <v>0.28039547130092896</v>
      </c>
    </row>
    <row r="30" spans="1:11" s="1" customFormat="1" x14ac:dyDescent="0.2">
      <c r="A30" s="110" t="s">
        <v>77</v>
      </c>
      <c r="B30" s="74"/>
      <c r="C30" s="35"/>
      <c r="D30" s="35">
        <f>SUM(D25,D26,D28)</f>
        <v>40.593168649999996</v>
      </c>
      <c r="E30" s="73"/>
      <c r="F30" s="35"/>
      <c r="G30" s="35">
        <f>SUM(G25,G26,G28)</f>
        <v>41.624668649999997</v>
      </c>
      <c r="H30" s="35">
        <f t="shared" si="1"/>
        <v>1.0315000000000012</v>
      </c>
      <c r="I30" s="36">
        <f>IF(ISERROR(H30/D30),0,(H30/D30))</f>
        <v>2.5410679538070535E-2</v>
      </c>
      <c r="J30" s="36">
        <f t="shared" si="9"/>
        <v>0.28386125576229743</v>
      </c>
      <c r="K30" s="111">
        <f t="shared" si="10"/>
        <v>0.2776369793798848</v>
      </c>
    </row>
    <row r="31" spans="1:11" x14ac:dyDescent="0.2">
      <c r="A31" s="107" t="s">
        <v>40</v>
      </c>
      <c r="B31" s="73">
        <f>B8</f>
        <v>798.03499999999997</v>
      </c>
      <c r="C31" s="126">
        <f>VLOOKUP($B$3,'Data for Bill Impacts'!$A$3:$Y$15,15,0)</f>
        <v>7.8279999999999999E-3</v>
      </c>
      <c r="D31" s="22">
        <f>B31*C31</f>
        <v>6.2470179799999999</v>
      </c>
      <c r="E31" s="73">
        <f t="shared" si="6"/>
        <v>798.03499999999997</v>
      </c>
      <c r="F31" s="126">
        <f>VLOOKUP($B$3,'Data for Bill Impacts'!$A$3:$Y$15,24,0)</f>
        <v>7.8279999999999999E-3</v>
      </c>
      <c r="G31" s="22">
        <f>E31*F31</f>
        <v>6.2470179799999999</v>
      </c>
      <c r="H31" s="22">
        <f t="shared" si="1"/>
        <v>0</v>
      </c>
      <c r="I31" s="23">
        <f t="shared" si="2"/>
        <v>0</v>
      </c>
      <c r="J31" s="23">
        <f t="shared" si="9"/>
        <v>4.2601813445845911E-2</v>
      </c>
      <c r="K31" s="108">
        <f t="shared" si="10"/>
        <v>4.1667675884286701E-2</v>
      </c>
    </row>
    <row r="32" spans="1:11" x14ac:dyDescent="0.2">
      <c r="A32" s="107" t="s">
        <v>41</v>
      </c>
      <c r="B32" s="73">
        <f>B8</f>
        <v>798.03499999999997</v>
      </c>
      <c r="C32" s="126">
        <f>VLOOKUP($B$3,'Data for Bill Impacts'!$A$3:$Y$15,16,0)</f>
        <v>6.4380000000000001E-3</v>
      </c>
      <c r="D32" s="22">
        <f>B32*C32</f>
        <v>5.1377493300000001</v>
      </c>
      <c r="E32" s="73">
        <f t="shared" si="6"/>
        <v>798.03499999999997</v>
      </c>
      <c r="F32" s="126">
        <f>VLOOKUP($B$3,'Data for Bill Impacts'!$A$3:$Y$15,25,0)</f>
        <v>6.4380000000000001E-3</v>
      </c>
      <c r="G32" s="22">
        <f>E32*F32</f>
        <v>5.1377493300000001</v>
      </c>
      <c r="H32" s="22">
        <f t="shared" si="1"/>
        <v>0</v>
      </c>
      <c r="I32" s="23">
        <f t="shared" si="2"/>
        <v>0</v>
      </c>
      <c r="J32" s="23">
        <f t="shared" si="9"/>
        <v>3.5037107174802753E-2</v>
      </c>
      <c r="K32" s="108">
        <f t="shared" si="10"/>
        <v>3.42688422768316E-2</v>
      </c>
    </row>
    <row r="33" spans="1:11" s="1" customFormat="1" x14ac:dyDescent="0.2">
      <c r="A33" s="110" t="s">
        <v>76</v>
      </c>
      <c r="B33" s="74"/>
      <c r="C33" s="35"/>
      <c r="D33" s="35">
        <f>SUM(D31:D32)</f>
        <v>11.384767310000001</v>
      </c>
      <c r="E33" s="73"/>
      <c r="F33" s="35"/>
      <c r="G33" s="35">
        <f>SUM(G31:G32)</f>
        <v>11.384767310000001</v>
      </c>
      <c r="H33" s="35">
        <f t="shared" si="1"/>
        <v>0</v>
      </c>
      <c r="I33" s="36">
        <f t="shared" si="2"/>
        <v>0</v>
      </c>
      <c r="J33" s="36">
        <f t="shared" si="9"/>
        <v>7.7638920620648672E-2</v>
      </c>
      <c r="K33" s="111">
        <f t="shared" si="10"/>
        <v>7.5936518161118308E-2</v>
      </c>
    </row>
    <row r="34" spans="1:11" s="1" customFormat="1" x14ac:dyDescent="0.2">
      <c r="A34" s="110" t="s">
        <v>91</v>
      </c>
      <c r="B34" s="74"/>
      <c r="C34" s="35"/>
      <c r="D34" s="35">
        <f>D29+D33</f>
        <v>52.39150231</v>
      </c>
      <c r="E34" s="73"/>
      <c r="F34" s="35"/>
      <c r="G34" s="35">
        <f>G29+G33</f>
        <v>53.423002310000001</v>
      </c>
      <c r="H34" s="35">
        <f t="shared" si="1"/>
        <v>1.0315000000000012</v>
      </c>
      <c r="I34" s="36">
        <f t="shared" si="2"/>
        <v>1.9688307349856583E-2</v>
      </c>
      <c r="J34" s="36">
        <f t="shared" si="9"/>
        <v>0.36432051026810319</v>
      </c>
      <c r="K34" s="111">
        <f t="shared" si="10"/>
        <v>0.35633198946204725</v>
      </c>
    </row>
    <row r="35" spans="1:11" s="1" customFormat="1" x14ac:dyDescent="0.2">
      <c r="A35" s="110" t="s">
        <v>92</v>
      </c>
      <c r="B35" s="74"/>
      <c r="C35" s="35"/>
      <c r="D35" s="35">
        <f>D30+D33</f>
        <v>51.977935959999996</v>
      </c>
      <c r="E35" s="73"/>
      <c r="F35" s="35"/>
      <c r="G35" s="35">
        <f>G30+G33</f>
        <v>53.009435959999998</v>
      </c>
      <c r="H35" s="35">
        <f t="shared" si="1"/>
        <v>1.0315000000000012</v>
      </c>
      <c r="I35" s="36">
        <f t="shared" si="2"/>
        <v>1.9844958845495513E-2</v>
      </c>
      <c r="J35" s="36">
        <f t="shared" si="9"/>
        <v>0.36150017638294607</v>
      </c>
      <c r="K35" s="111">
        <f t="shared" si="10"/>
        <v>0.35357349754100309</v>
      </c>
    </row>
    <row r="36" spans="1:11" x14ac:dyDescent="0.2">
      <c r="A36" s="107" t="s">
        <v>42</v>
      </c>
      <c r="B36" s="73">
        <f>B8</f>
        <v>798.03499999999997</v>
      </c>
      <c r="C36" s="34">
        <v>3.5999999999999999E-3</v>
      </c>
      <c r="D36" s="22">
        <f>B36*C36</f>
        <v>2.8729259999999996</v>
      </c>
      <c r="E36" s="73">
        <f t="shared" si="6"/>
        <v>798.03499999999997</v>
      </c>
      <c r="F36" s="34">
        <v>3.5999999999999999E-3</v>
      </c>
      <c r="G36" s="22">
        <f>E36*F36</f>
        <v>2.8729259999999996</v>
      </c>
      <c r="H36" s="22">
        <f t="shared" si="1"/>
        <v>0</v>
      </c>
      <c r="I36" s="23">
        <f t="shared" si="2"/>
        <v>0</v>
      </c>
      <c r="J36" s="23">
        <f t="shared" si="9"/>
        <v>1.9592045018529031E-2</v>
      </c>
      <c r="K36" s="108">
        <f t="shared" si="10"/>
        <v>1.9162446753121117E-2</v>
      </c>
    </row>
    <row r="37" spans="1:11" x14ac:dyDescent="0.2">
      <c r="A37" s="107" t="s">
        <v>43</v>
      </c>
      <c r="B37" s="73">
        <f>B8</f>
        <v>798.03499999999997</v>
      </c>
      <c r="C37" s="34">
        <v>2.0999999999999999E-3</v>
      </c>
      <c r="D37" s="22">
        <f>B37*C37</f>
        <v>1.6758734999999998</v>
      </c>
      <c r="E37" s="73">
        <f t="shared" si="6"/>
        <v>798.03499999999997</v>
      </c>
      <c r="F37" s="34">
        <v>2.0999999999999999E-3</v>
      </c>
      <c r="G37" s="22">
        <f>E37*F37</f>
        <v>1.6758734999999998</v>
      </c>
      <c r="H37" s="22">
        <f>G37-D37</f>
        <v>0</v>
      </c>
      <c r="I37" s="23">
        <f t="shared" si="2"/>
        <v>0</v>
      </c>
      <c r="J37" s="23">
        <f t="shared" si="9"/>
        <v>1.1428692927475269E-2</v>
      </c>
      <c r="K37" s="108">
        <f t="shared" si="10"/>
        <v>1.1178093939320651E-2</v>
      </c>
    </row>
    <row r="38" spans="1:11" x14ac:dyDescent="0.2">
      <c r="A38" s="107" t="s">
        <v>96</v>
      </c>
      <c r="B38" s="73">
        <f>B8</f>
        <v>798.03499999999997</v>
      </c>
      <c r="C38" s="34">
        <v>1.1000000000000001E-3</v>
      </c>
      <c r="D38" s="22">
        <f>B38*C38</f>
        <v>0.87783849999999997</v>
      </c>
      <c r="E38" s="73">
        <f t="shared" si="6"/>
        <v>798.03499999999997</v>
      </c>
      <c r="F38" s="34">
        <v>1.1000000000000001E-3</v>
      </c>
      <c r="G38" s="22">
        <f>E38*F38</f>
        <v>0.87783849999999997</v>
      </c>
      <c r="H38" s="22">
        <f>G38-D38</f>
        <v>0</v>
      </c>
      <c r="I38" s="23">
        <f t="shared" si="2"/>
        <v>0</v>
      </c>
      <c r="J38" s="23">
        <f t="shared" si="9"/>
        <v>5.9864582001060932E-3</v>
      </c>
      <c r="K38" s="108">
        <f t="shared" si="10"/>
        <v>5.855192063453675E-3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1.7048859784875275E-3</v>
      </c>
      <c r="K39" s="108">
        <f t="shared" si="10"/>
        <v>1.6675026395668667E-3</v>
      </c>
    </row>
    <row r="40" spans="1:11" s="1" customFormat="1" x14ac:dyDescent="0.2">
      <c r="A40" s="110" t="s">
        <v>45</v>
      </c>
      <c r="B40" s="74"/>
      <c r="C40" s="35"/>
      <c r="D40" s="35">
        <f>SUM(D36:D39)</f>
        <v>5.6766379999999996</v>
      </c>
      <c r="E40" s="73"/>
      <c r="F40" s="35"/>
      <c r="G40" s="35">
        <f>SUM(G36:G39)</f>
        <v>5.6766379999999996</v>
      </c>
      <c r="H40" s="35">
        <f t="shared" si="1"/>
        <v>0</v>
      </c>
      <c r="I40" s="36">
        <f t="shared" si="2"/>
        <v>0</v>
      </c>
      <c r="J40" s="36">
        <f t="shared" si="9"/>
        <v>3.8712082124597924E-2</v>
      </c>
      <c r="K40" s="111">
        <f t="shared" si="10"/>
        <v>3.7863235395462311E-2</v>
      </c>
    </row>
    <row r="41" spans="1:11" s="1" customFormat="1" ht="13.5" thickBot="1" x14ac:dyDescent="0.25">
      <c r="A41" s="112" t="s">
        <v>46</v>
      </c>
      <c r="B41" s="113">
        <f>B4</f>
        <v>755</v>
      </c>
      <c r="C41" s="114">
        <v>0</v>
      </c>
      <c r="D41" s="115">
        <f>B41*C41</f>
        <v>0</v>
      </c>
      <c r="E41" s="116">
        <f t="shared" si="6"/>
        <v>755</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138.62314031</v>
      </c>
      <c r="E42" s="38"/>
      <c r="F42" s="39"/>
      <c r="G42" s="39">
        <f>SUM(G14,G25,G26,G27,G33,G40,G41)</f>
        <v>139.65464031000002</v>
      </c>
      <c r="H42" s="39">
        <f t="shared" si="1"/>
        <v>1.0315000000000225</v>
      </c>
      <c r="I42" s="40">
        <f>IF(ISERROR(H42/D42),0,(H42/D42))</f>
        <v>7.4410376052172879E-3</v>
      </c>
      <c r="J42" s="40">
        <f t="shared" si="9"/>
        <v>0.95238095238095233</v>
      </c>
      <c r="K42" s="41"/>
    </row>
    <row r="43" spans="1:11" x14ac:dyDescent="0.2">
      <c r="A43" s="154" t="s">
        <v>102</v>
      </c>
      <c r="B43" s="43"/>
      <c r="C43" s="26">
        <v>0.13</v>
      </c>
      <c r="D43" s="26">
        <f>D42*C43</f>
        <v>18.021008240299999</v>
      </c>
      <c r="E43" s="26"/>
      <c r="F43" s="26">
        <f>C43</f>
        <v>0.13</v>
      </c>
      <c r="G43" s="26">
        <f>G42*F43</f>
        <v>18.155103240300004</v>
      </c>
      <c r="H43" s="26">
        <f t="shared" si="1"/>
        <v>0.13409500000000563</v>
      </c>
      <c r="I43" s="44">
        <f t="shared" si="2"/>
        <v>7.4410376052174388E-3</v>
      </c>
      <c r="J43" s="44">
        <f t="shared" si="9"/>
        <v>0.12380952380952381</v>
      </c>
      <c r="K43" s="45"/>
    </row>
    <row r="44" spans="1:11" s="1" customFormat="1" x14ac:dyDescent="0.2">
      <c r="A44" s="46" t="s">
        <v>103</v>
      </c>
      <c r="B44" s="24"/>
      <c r="C44" s="25"/>
      <c r="D44" s="25">
        <f>SUM(D42:D43)</f>
        <v>156.6441485503</v>
      </c>
      <c r="E44" s="25"/>
      <c r="F44" s="25"/>
      <c r="G44" s="25">
        <f>SUM(G42:G43)</f>
        <v>157.80974355030003</v>
      </c>
      <c r="H44" s="25">
        <f t="shared" si="1"/>
        <v>1.1655950000000246</v>
      </c>
      <c r="I44" s="27">
        <f t="shared" si="2"/>
        <v>7.4410376052172827E-3</v>
      </c>
      <c r="J44" s="27">
        <f t="shared" si="9"/>
        <v>1.0761904761904761</v>
      </c>
      <c r="K44" s="47"/>
    </row>
    <row r="45" spans="1:11" x14ac:dyDescent="0.2">
      <c r="A45" s="42" t="s">
        <v>104</v>
      </c>
      <c r="B45" s="43"/>
      <c r="C45" s="26">
        <v>-0.08</v>
      </c>
      <c r="D45" s="26">
        <f>D42*C45</f>
        <v>-11.0898512248</v>
      </c>
      <c r="E45" s="26"/>
      <c r="F45" s="26">
        <f>C45</f>
        <v>-0.08</v>
      </c>
      <c r="G45" s="26">
        <f>G42*F45</f>
        <v>-11.172371224800001</v>
      </c>
      <c r="H45" s="26">
        <f t="shared" si="1"/>
        <v>-8.2520000000000593E-2</v>
      </c>
      <c r="I45" s="44">
        <f t="shared" si="2"/>
        <v>7.4410376052171786E-3</v>
      </c>
      <c r="J45" s="44">
        <f t="shared" si="9"/>
        <v>-7.6190476190476183E-2</v>
      </c>
      <c r="K45" s="45"/>
    </row>
    <row r="46" spans="1:11" s="1" customFormat="1" ht="13.5" thickBot="1" x14ac:dyDescent="0.25">
      <c r="A46" s="48" t="s">
        <v>105</v>
      </c>
      <c r="B46" s="49"/>
      <c r="C46" s="50"/>
      <c r="D46" s="50">
        <f>SUM(D44:D45)</f>
        <v>145.55429732549999</v>
      </c>
      <c r="E46" s="50"/>
      <c r="F46" s="50"/>
      <c r="G46" s="50">
        <f>SUM(G44:G45)</f>
        <v>146.63737232550002</v>
      </c>
      <c r="H46" s="50">
        <f t="shared" si="1"/>
        <v>1.0830750000000364</v>
      </c>
      <c r="I46" s="51">
        <f t="shared" si="2"/>
        <v>7.4410376052173764E-3</v>
      </c>
      <c r="J46" s="51">
        <f t="shared" si="9"/>
        <v>1</v>
      </c>
      <c r="K46" s="52"/>
    </row>
    <row r="47" spans="1:11" x14ac:dyDescent="0.2">
      <c r="A47" s="53" t="s">
        <v>106</v>
      </c>
      <c r="B47" s="54"/>
      <c r="C47" s="55"/>
      <c r="D47" s="55">
        <f>SUM(D18,D25,D26,D28,D33,D40,D41)</f>
        <v>141.75402396000001</v>
      </c>
      <c r="E47" s="55"/>
      <c r="F47" s="55"/>
      <c r="G47" s="55">
        <f>SUM(G18,G25,G26,G28,G33,G40,G41)</f>
        <v>142.78552396000001</v>
      </c>
      <c r="H47" s="55">
        <f>G47-D47</f>
        <v>1.0314999999999941</v>
      </c>
      <c r="I47" s="56">
        <f>IF(ISERROR(H47/D47),0,(H47/D47))</f>
        <v>7.276689374906645E-3</v>
      </c>
      <c r="J47" s="56"/>
      <c r="K47" s="57">
        <f>G47/$G$51</f>
        <v>0.95238095238095233</v>
      </c>
    </row>
    <row r="48" spans="1:11" x14ac:dyDescent="0.2">
      <c r="A48" s="155" t="s">
        <v>102</v>
      </c>
      <c r="B48" s="59"/>
      <c r="C48" s="31">
        <v>0.13</v>
      </c>
      <c r="D48" s="31">
        <f>D47*C48</f>
        <v>18.428023114800002</v>
      </c>
      <c r="E48" s="31"/>
      <c r="F48" s="31">
        <f>C48</f>
        <v>0.13</v>
      </c>
      <c r="G48" s="31">
        <f>G47*F48</f>
        <v>18.562118114800001</v>
      </c>
      <c r="H48" s="31">
        <f>G48-D48</f>
        <v>0.13409499999999852</v>
      </c>
      <c r="I48" s="32">
        <f>IF(ISERROR(H48/D48),0,(H48/D48))</f>
        <v>7.276689374906606E-3</v>
      </c>
      <c r="J48" s="32"/>
      <c r="K48" s="60">
        <f>G48/$G$51</f>
        <v>0.1238095238095238</v>
      </c>
    </row>
    <row r="49" spans="1:11" x14ac:dyDescent="0.2">
      <c r="A49" s="61" t="s">
        <v>107</v>
      </c>
      <c r="B49" s="29"/>
      <c r="C49" s="30"/>
      <c r="D49" s="30">
        <f>SUM(D47:D48)</f>
        <v>160.18204707480001</v>
      </c>
      <c r="E49" s="30"/>
      <c r="F49" s="30"/>
      <c r="G49" s="30">
        <f>SUM(G47:G48)</f>
        <v>161.34764207480001</v>
      </c>
      <c r="H49" s="30">
        <f>G49-D49</f>
        <v>1.1655949999999962</v>
      </c>
      <c r="I49" s="33">
        <f>IF(ISERROR(H49/D49),0,(H49/D49))</f>
        <v>7.2766893749066633E-3</v>
      </c>
      <c r="J49" s="33"/>
      <c r="K49" s="62">
        <f>G49/$G$51</f>
        <v>1.0761904761904761</v>
      </c>
    </row>
    <row r="50" spans="1:11" x14ac:dyDescent="0.2">
      <c r="A50" s="58" t="s">
        <v>104</v>
      </c>
      <c r="B50" s="59"/>
      <c r="C50" s="31">
        <v>-0.08</v>
      </c>
      <c r="D50" s="31">
        <f>D47*C50</f>
        <v>-11.340321916800001</v>
      </c>
      <c r="E50" s="31"/>
      <c r="F50" s="31">
        <f>C50</f>
        <v>-0.08</v>
      </c>
      <c r="G50" s="31">
        <f>G47*F50</f>
        <v>-11.422841916800001</v>
      </c>
      <c r="H50" s="31">
        <f>G50-D50</f>
        <v>-8.2520000000000593E-2</v>
      </c>
      <c r="I50" s="32">
        <f>IF(ISERROR(H50/D50),0,(H50/D50))</f>
        <v>7.2766893749067396E-3</v>
      </c>
      <c r="J50" s="32"/>
      <c r="K50" s="60">
        <f>G50/$G$51</f>
        <v>-7.6190476190476197E-2</v>
      </c>
    </row>
    <row r="51" spans="1:11" ht="13.5" thickBot="1" x14ac:dyDescent="0.25">
      <c r="A51" s="63" t="s">
        <v>116</v>
      </c>
      <c r="B51" s="64"/>
      <c r="C51" s="65"/>
      <c r="D51" s="65">
        <f>SUM(D49:D50)</f>
        <v>148.841725158</v>
      </c>
      <c r="E51" s="65"/>
      <c r="F51" s="65"/>
      <c r="G51" s="65">
        <f>SUM(G49:G50)</f>
        <v>149.92480015800001</v>
      </c>
      <c r="H51" s="65">
        <f>G51-D51</f>
        <v>1.083075000000008</v>
      </c>
      <c r="I51" s="66">
        <f>IF(ISERROR(H51/D51),0,(H51/D51))</f>
        <v>7.2766893749067413E-3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tint="0.499984740745262"/>
    <pageSetUpPr fitToPage="1"/>
  </sheetPr>
  <dimension ref="A1:K68"/>
  <sheetViews>
    <sheetView tabSelected="1" view="pageBreakPreview" topLeftCell="A16" zoomScaleNormal="100" zoomScaleSheetLayoutView="100" workbookViewId="0">
      <selection activeCell="C3" sqref="C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120</v>
      </c>
      <c r="B1" s="188"/>
      <c r="C1" s="188"/>
      <c r="D1" s="188"/>
      <c r="E1" s="188"/>
      <c r="F1" s="188"/>
      <c r="G1" s="188"/>
      <c r="H1" s="188"/>
      <c r="I1" s="188"/>
      <c r="J1" s="188"/>
      <c r="K1" s="189"/>
    </row>
    <row r="3" spans="1:11" ht="12" customHeight="1" x14ac:dyDescent="0.2">
      <c r="A3" s="13" t="s">
        <v>13</v>
      </c>
      <c r="B3" s="13" t="s">
        <v>0</v>
      </c>
    </row>
    <row r="4" spans="1:11" x14ac:dyDescent="0.2">
      <c r="A4" s="15" t="s">
        <v>62</v>
      </c>
      <c r="B4" s="15">
        <v>1400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68">
        <f>B4*B6</f>
        <v>1479.8</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0.24872094835759889</v>
      </c>
      <c r="K12" s="106"/>
    </row>
    <row r="13" spans="1:11" x14ac:dyDescent="0.2">
      <c r="A13" s="107" t="s">
        <v>32</v>
      </c>
      <c r="B13" s="73">
        <f>IF(B4&gt;B7,(B4)-B7,0)</f>
        <v>800</v>
      </c>
      <c r="C13" s="21">
        <v>0.121</v>
      </c>
      <c r="D13" s="22">
        <f>B13*C13</f>
        <v>96.8</v>
      </c>
      <c r="E13" s="73">
        <f t="shared" ref="E13" si="0">B13</f>
        <v>800</v>
      </c>
      <c r="F13" s="21">
        <f>C13</f>
        <v>0.121</v>
      </c>
      <c r="G13" s="22">
        <f>E13*F13</f>
        <v>96.8</v>
      </c>
      <c r="H13" s="22">
        <f t="shared" ref="H13:H46" si="1">G13-D13</f>
        <v>0</v>
      </c>
      <c r="I13" s="23">
        <f t="shared" ref="I13:I46" si="2">IF(ISERROR(H13/D13),0,(H13/D13))</f>
        <v>0</v>
      </c>
      <c r="J13" s="23">
        <f>G13/$G$46</f>
        <v>0.38958232687727462</v>
      </c>
      <c r="K13" s="108"/>
    </row>
    <row r="14" spans="1:11" s="1" customFormat="1" x14ac:dyDescent="0.2">
      <c r="A14" s="46" t="s">
        <v>33</v>
      </c>
      <c r="B14" s="24"/>
      <c r="C14" s="25"/>
      <c r="D14" s="25">
        <f>SUM(D12:D13)</f>
        <v>158.6</v>
      </c>
      <c r="E14" s="76"/>
      <c r="F14" s="25"/>
      <c r="G14" s="25">
        <f>SUM(G12:G13)</f>
        <v>158.6</v>
      </c>
      <c r="H14" s="25">
        <f t="shared" si="1"/>
        <v>0</v>
      </c>
      <c r="I14" s="27">
        <f t="shared" si="2"/>
        <v>0</v>
      </c>
      <c r="J14" s="27">
        <f>G14/$G$46</f>
        <v>0.63830327523487351</v>
      </c>
      <c r="K14" s="108"/>
    </row>
    <row r="15" spans="1:11" s="1" customFormat="1" x14ac:dyDescent="0.2">
      <c r="A15" s="109" t="s">
        <v>34</v>
      </c>
      <c r="B15" s="75">
        <f>B4*0.65</f>
        <v>910</v>
      </c>
      <c r="C15" s="28">
        <v>8.6999999999999994E-2</v>
      </c>
      <c r="D15" s="22">
        <f>B15*C15</f>
        <v>79.169999999999987</v>
      </c>
      <c r="E15" s="73">
        <f t="shared" ref="E15:F17" si="3">B15</f>
        <v>910</v>
      </c>
      <c r="F15" s="28">
        <f t="shared" si="3"/>
        <v>8.6999999999999994E-2</v>
      </c>
      <c r="G15" s="22">
        <f>E15*F15</f>
        <v>79.169999999999987</v>
      </c>
      <c r="H15" s="22">
        <f t="shared" si="1"/>
        <v>0</v>
      </c>
      <c r="I15" s="23">
        <f t="shared" si="2"/>
        <v>0</v>
      </c>
      <c r="J15" s="23"/>
      <c r="K15" s="108">
        <f t="shared" ref="K15:K26" si="4">G15/$G$51</f>
        <v>0.32330212204947706</v>
      </c>
    </row>
    <row r="16" spans="1:11" s="1" customFormat="1" x14ac:dyDescent="0.2">
      <c r="A16" s="109" t="s">
        <v>35</v>
      </c>
      <c r="B16" s="75">
        <f>B4*0.17</f>
        <v>238.00000000000003</v>
      </c>
      <c r="C16" s="28">
        <v>0.13200000000000001</v>
      </c>
      <c r="D16" s="22">
        <f>B16*C16</f>
        <v>31.416000000000004</v>
      </c>
      <c r="E16" s="73">
        <f t="shared" si="3"/>
        <v>238.00000000000003</v>
      </c>
      <c r="F16" s="28">
        <f t="shared" si="3"/>
        <v>0.13200000000000001</v>
      </c>
      <c r="G16" s="22">
        <f>E16*F16</f>
        <v>31.416000000000004</v>
      </c>
      <c r="H16" s="22">
        <f t="shared" si="1"/>
        <v>0</v>
      </c>
      <c r="I16" s="23">
        <f t="shared" si="2"/>
        <v>0</v>
      </c>
      <c r="J16" s="23"/>
      <c r="K16" s="108">
        <f t="shared" si="4"/>
        <v>0.12829177044721959</v>
      </c>
    </row>
    <row r="17" spans="1:11" s="1" customFormat="1" x14ac:dyDescent="0.2">
      <c r="A17" s="109" t="s">
        <v>36</v>
      </c>
      <c r="B17" s="75">
        <f>B4*0.18</f>
        <v>252</v>
      </c>
      <c r="C17" s="28">
        <v>0.18</v>
      </c>
      <c r="D17" s="22">
        <f>B17*C17</f>
        <v>45.36</v>
      </c>
      <c r="E17" s="73">
        <f t="shared" si="3"/>
        <v>252</v>
      </c>
      <c r="F17" s="28">
        <f t="shared" si="3"/>
        <v>0.18</v>
      </c>
      <c r="G17" s="22">
        <f>E17*F17</f>
        <v>45.36</v>
      </c>
      <c r="H17" s="22">
        <f t="shared" si="1"/>
        <v>0</v>
      </c>
      <c r="I17" s="23">
        <f t="shared" si="2"/>
        <v>0</v>
      </c>
      <c r="J17" s="23"/>
      <c r="K17" s="108">
        <f t="shared" si="4"/>
        <v>0.18523410706283039</v>
      </c>
    </row>
    <row r="18" spans="1:11" s="1" customFormat="1" x14ac:dyDescent="0.2">
      <c r="A18" s="61" t="s">
        <v>37</v>
      </c>
      <c r="B18" s="29"/>
      <c r="C18" s="30"/>
      <c r="D18" s="30">
        <f>SUM(D15:D17)</f>
        <v>155.94599999999997</v>
      </c>
      <c r="E18" s="77"/>
      <c r="F18" s="30"/>
      <c r="G18" s="30">
        <f>SUM(G15:G17)</f>
        <v>155.94599999999997</v>
      </c>
      <c r="H18" s="31">
        <f t="shared" si="1"/>
        <v>0</v>
      </c>
      <c r="I18" s="32">
        <f t="shared" si="2"/>
        <v>0</v>
      </c>
      <c r="J18" s="33">
        <f t="shared" ref="J18:J26" si="5">G18/$G$46</f>
        <v>0.62762195813226718</v>
      </c>
      <c r="K18" s="62">
        <f t="shared" si="4"/>
        <v>0.63682799955952696</v>
      </c>
    </row>
    <row r="19" spans="1:11" x14ac:dyDescent="0.2">
      <c r="A19" s="107" t="s">
        <v>38</v>
      </c>
      <c r="B19" s="73">
        <v>1</v>
      </c>
      <c r="C19" s="78">
        <f>VLOOKUP($B$3,'Data for Bill Impacts'!$A$3:$Y$15,7,0)</f>
        <v>31.3</v>
      </c>
      <c r="D19" s="22">
        <f>B19*C19</f>
        <v>31.3</v>
      </c>
      <c r="E19" s="73">
        <f t="shared" ref="E19:E41" si="6">B19</f>
        <v>1</v>
      </c>
      <c r="F19" s="78">
        <f>VLOOKUP($B$3,'Data for Bill Impacts'!$A$3:$Y$15,17,0)</f>
        <v>35.880000000000003</v>
      </c>
      <c r="G19" s="22">
        <f>E19*F19</f>
        <v>35.880000000000003</v>
      </c>
      <c r="H19" s="22">
        <f t="shared" si="1"/>
        <v>4.5800000000000018</v>
      </c>
      <c r="I19" s="23">
        <f t="shared" si="2"/>
        <v>0.14632587859424925</v>
      </c>
      <c r="J19" s="23">
        <f t="shared" si="5"/>
        <v>0.1444030360367419</v>
      </c>
      <c r="K19" s="108">
        <f t="shared" si="4"/>
        <v>0.14652115876133939</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4.0246108148478787E-5</v>
      </c>
      <c r="K22" s="108">
        <f t="shared" si="4"/>
        <v>4.0836443356003176E-5</v>
      </c>
    </row>
    <row r="23" spans="1:11" x14ac:dyDescent="0.2">
      <c r="A23" s="107" t="s">
        <v>39</v>
      </c>
      <c r="B23" s="73">
        <f>IF($B$9="kWh",$B$4,$B$5)</f>
        <v>1400</v>
      </c>
      <c r="C23" s="78">
        <f>VLOOKUP($B$3,'Data for Bill Impacts'!$A$3:$Y$15,10,0)</f>
        <v>4.7000000000000002E-3</v>
      </c>
      <c r="D23" s="22">
        <f>B23*C23</f>
        <v>6.58</v>
      </c>
      <c r="E23" s="73">
        <f t="shared" si="6"/>
        <v>1400</v>
      </c>
      <c r="F23" s="78">
        <f>VLOOKUP($B$3,'Data for Bill Impacts'!$A$3:$Y$15,19,0)</f>
        <v>0</v>
      </c>
      <c r="G23" s="22">
        <f>E23*F23</f>
        <v>0</v>
      </c>
      <c r="H23" s="22">
        <f t="shared" si="1"/>
        <v>-6.58</v>
      </c>
      <c r="I23" s="23">
        <f t="shared" si="2"/>
        <v>-1</v>
      </c>
      <c r="J23" s="23">
        <f t="shared" si="5"/>
        <v>0</v>
      </c>
      <c r="K23" s="108">
        <f t="shared" si="4"/>
        <v>0</v>
      </c>
    </row>
    <row r="24" spans="1:11" x14ac:dyDescent="0.2">
      <c r="A24" s="107" t="s">
        <v>121</v>
      </c>
      <c r="B24" s="73">
        <f>IF($B$9="kWh",$B$4,$B$5)</f>
        <v>1400</v>
      </c>
      <c r="C24" s="126">
        <f>VLOOKUP($B$3,'Data for Bill Impacts'!$A$3:$Y$15,14,0)</f>
        <v>2.0000000000000001E-4</v>
      </c>
      <c r="D24" s="22">
        <f>B24*C24</f>
        <v>0.28000000000000003</v>
      </c>
      <c r="E24" s="73">
        <f>B24</f>
        <v>1400</v>
      </c>
      <c r="F24" s="126">
        <f>VLOOKUP($B$3,'Data for Bill Impacts'!$A$3:$Y$15,23,0)</f>
        <v>2.0000000000000001E-4</v>
      </c>
      <c r="G24" s="22">
        <f>E24*F24</f>
        <v>0.28000000000000003</v>
      </c>
      <c r="H24" s="22">
        <f>G24-D24</f>
        <v>0</v>
      </c>
      <c r="I24" s="23">
        <f>IF(ISERROR(H24/D24),0,(H24/D24))</f>
        <v>0</v>
      </c>
      <c r="J24" s="23">
        <f t="shared" si="5"/>
        <v>1.1268910281574062E-3</v>
      </c>
      <c r="K24" s="108">
        <f t="shared" si="4"/>
        <v>1.143420413968089E-3</v>
      </c>
    </row>
    <row r="25" spans="1:11" s="1" customFormat="1" x14ac:dyDescent="0.2">
      <c r="A25" s="110" t="s">
        <v>72</v>
      </c>
      <c r="B25" s="74"/>
      <c r="C25" s="35"/>
      <c r="D25" s="35">
        <f>SUM(D19:D24)</f>
        <v>38.17</v>
      </c>
      <c r="E25" s="73"/>
      <c r="F25" s="35"/>
      <c r="G25" s="35">
        <f>SUM(G19:G24)</f>
        <v>36.17</v>
      </c>
      <c r="H25" s="35">
        <f t="shared" si="1"/>
        <v>-2</v>
      </c>
      <c r="I25" s="36">
        <f t="shared" si="2"/>
        <v>-5.2397170552790147E-2</v>
      </c>
      <c r="J25" s="36">
        <f t="shared" si="5"/>
        <v>0.14557017317304777</v>
      </c>
      <c r="K25" s="111">
        <f t="shared" si="4"/>
        <v>0.14770541561866349</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3.1794425437298244E-3</v>
      </c>
      <c r="K26" s="108">
        <f t="shared" si="4"/>
        <v>3.226079025124251E-3</v>
      </c>
    </row>
    <row r="27" spans="1:11" s="1" customFormat="1" x14ac:dyDescent="0.2">
      <c r="A27" s="119" t="s">
        <v>75</v>
      </c>
      <c r="B27" s="120">
        <f>B8-B4</f>
        <v>79.799999999999955</v>
      </c>
      <c r="C27" s="121">
        <f>IF(B4&gt;B7,C13,C12)</f>
        <v>0.121</v>
      </c>
      <c r="D27" s="22">
        <f>B27*C27</f>
        <v>9.6557999999999939</v>
      </c>
      <c r="E27" s="73">
        <f>B27</f>
        <v>79.799999999999955</v>
      </c>
      <c r="F27" s="121">
        <f>C27</f>
        <v>0.121</v>
      </c>
      <c r="G27" s="22">
        <f>E27*F27</f>
        <v>9.6557999999999939</v>
      </c>
      <c r="H27" s="22">
        <f t="shared" si="1"/>
        <v>0</v>
      </c>
      <c r="I27" s="23">
        <f>IF(ISERROR(H27/D27),0,(H27/D27))</f>
        <v>0</v>
      </c>
      <c r="J27" s="23">
        <f t="shared" ref="J27:J46" si="9">G27/$G$46</f>
        <v>3.8860837106008121E-2</v>
      </c>
      <c r="K27" s="108">
        <f t="shared" ref="K27:K41" si="10">G27/$G$51</f>
        <v>3.9430852975689518E-2</v>
      </c>
    </row>
    <row r="28" spans="1:11" s="1" customFormat="1" x14ac:dyDescent="0.2">
      <c r="A28" s="119" t="s">
        <v>74</v>
      </c>
      <c r="B28" s="120">
        <f>B8-B4</f>
        <v>79.799999999999955</v>
      </c>
      <c r="C28" s="121">
        <f>0.65*C15+0.17*C16+0.18*C17</f>
        <v>0.11139</v>
      </c>
      <c r="D28" s="22">
        <f>B28*C28</f>
        <v>8.8889219999999955</v>
      </c>
      <c r="E28" s="73">
        <f>B28</f>
        <v>79.799999999999955</v>
      </c>
      <c r="F28" s="121">
        <f>C28</f>
        <v>0.11139</v>
      </c>
      <c r="G28" s="22">
        <f>E28*F28</f>
        <v>8.8889219999999955</v>
      </c>
      <c r="H28" s="22">
        <f t="shared" si="1"/>
        <v>0</v>
      </c>
      <c r="I28" s="23">
        <f>IF(ISERROR(H28/D28),0,(H28/D28))</f>
        <v>0</v>
      </c>
      <c r="J28" s="23">
        <f t="shared" si="9"/>
        <v>3.5774451613539218E-2</v>
      </c>
      <c r="K28" s="108">
        <f t="shared" si="10"/>
        <v>3.6299195974893027E-2</v>
      </c>
    </row>
    <row r="29" spans="1:11" s="1" customFormat="1" x14ac:dyDescent="0.2">
      <c r="A29" s="110" t="s">
        <v>78</v>
      </c>
      <c r="B29" s="74"/>
      <c r="C29" s="35"/>
      <c r="D29" s="35">
        <f>SUM(D25,D26:D27)</f>
        <v>48.615799999999993</v>
      </c>
      <c r="E29" s="73"/>
      <c r="F29" s="35"/>
      <c r="G29" s="35">
        <f>SUM(G25,G26:G27)</f>
        <v>46.615799999999993</v>
      </c>
      <c r="H29" s="35">
        <f t="shared" si="1"/>
        <v>-2</v>
      </c>
      <c r="I29" s="36">
        <f>IF(ISERROR(H29/D29),0,(H29/D29))</f>
        <v>-4.1138889003163585E-2</v>
      </c>
      <c r="J29" s="36">
        <f t="shared" si="9"/>
        <v>0.18761045282278571</v>
      </c>
      <c r="K29" s="111">
        <f t="shared" si="10"/>
        <v>0.19036234761947723</v>
      </c>
    </row>
    <row r="30" spans="1:11" s="1" customFormat="1" x14ac:dyDescent="0.2">
      <c r="A30" s="110" t="s">
        <v>77</v>
      </c>
      <c r="B30" s="74"/>
      <c r="C30" s="35"/>
      <c r="D30" s="35">
        <f>SUM(D25,D26,D28)</f>
        <v>47.848921999999995</v>
      </c>
      <c r="E30" s="73"/>
      <c r="F30" s="35"/>
      <c r="G30" s="35">
        <f>SUM(G25,G26,G28)</f>
        <v>45.848921999999995</v>
      </c>
      <c r="H30" s="35">
        <f t="shared" si="1"/>
        <v>-2</v>
      </c>
      <c r="I30" s="36">
        <f>IF(ISERROR(H30/D30),0,(H30/D30))</f>
        <v>-4.1798224837750787E-2</v>
      </c>
      <c r="J30" s="36">
        <f t="shared" si="9"/>
        <v>0.18452406733031682</v>
      </c>
      <c r="K30" s="111">
        <f t="shared" si="10"/>
        <v>0.18723069061868075</v>
      </c>
    </row>
    <row r="31" spans="1:11" x14ac:dyDescent="0.2">
      <c r="A31" s="107" t="s">
        <v>40</v>
      </c>
      <c r="B31" s="73">
        <f>B8</f>
        <v>1479.8</v>
      </c>
      <c r="C31" s="126">
        <f>VLOOKUP($B$3,'Data for Bill Impacts'!$A$3:$Y$15,15,0)</f>
        <v>7.8279999999999999E-3</v>
      </c>
      <c r="D31" s="22">
        <f>B31*C31</f>
        <v>11.583874399999999</v>
      </c>
      <c r="E31" s="73">
        <f t="shared" si="6"/>
        <v>1479.8</v>
      </c>
      <c r="F31" s="126">
        <f>VLOOKUP($B$3,'Data for Bill Impacts'!$A$3:$Y$15,24,0)</f>
        <v>7.8279999999999999E-3</v>
      </c>
      <c r="G31" s="22">
        <f>E31*F31</f>
        <v>11.583874399999999</v>
      </c>
      <c r="H31" s="22">
        <f t="shared" si="1"/>
        <v>0</v>
      </c>
      <c r="I31" s="23">
        <f t="shared" si="2"/>
        <v>0</v>
      </c>
      <c r="J31" s="23">
        <f t="shared" si="9"/>
        <v>4.6620586188079474E-2</v>
      </c>
      <c r="K31" s="108">
        <f t="shared" si="10"/>
        <v>4.7304423077865518E-2</v>
      </c>
    </row>
    <row r="32" spans="1:11" x14ac:dyDescent="0.2">
      <c r="A32" s="107" t="s">
        <v>41</v>
      </c>
      <c r="B32" s="73">
        <f>B8</f>
        <v>1479.8</v>
      </c>
      <c r="C32" s="126">
        <f>VLOOKUP($B$3,'Data for Bill Impacts'!$A$3:$Y$15,16,0)</f>
        <v>6.4380000000000001E-3</v>
      </c>
      <c r="D32" s="22">
        <f>B32*C32</f>
        <v>9.5269524000000008</v>
      </c>
      <c r="E32" s="73">
        <f t="shared" si="6"/>
        <v>1479.8</v>
      </c>
      <c r="F32" s="126">
        <f>VLOOKUP($B$3,'Data for Bill Impacts'!$A$3:$Y$15,25,0)</f>
        <v>6.4380000000000001E-3</v>
      </c>
      <c r="G32" s="22">
        <f>E32*F32</f>
        <v>9.5269524000000008</v>
      </c>
      <c r="H32" s="22">
        <f t="shared" si="1"/>
        <v>0</v>
      </c>
      <c r="I32" s="23">
        <f t="shared" si="2"/>
        <v>0</v>
      </c>
      <c r="J32" s="23">
        <f t="shared" si="9"/>
        <v>3.8342275661580952E-2</v>
      </c>
      <c r="K32" s="108">
        <f t="shared" si="10"/>
        <v>3.8904685203793851E-2</v>
      </c>
    </row>
    <row r="33" spans="1:11" s="1" customFormat="1" x14ac:dyDescent="0.2">
      <c r="A33" s="110" t="s">
        <v>76</v>
      </c>
      <c r="B33" s="74"/>
      <c r="C33" s="35"/>
      <c r="D33" s="35">
        <f>SUM(D31:D32)</f>
        <v>21.110826799999998</v>
      </c>
      <c r="E33" s="73"/>
      <c r="F33" s="35"/>
      <c r="G33" s="35">
        <f>SUM(G31:G32)</f>
        <v>21.110826799999998</v>
      </c>
      <c r="H33" s="35">
        <f t="shared" si="1"/>
        <v>0</v>
      </c>
      <c r="I33" s="36">
        <f t="shared" si="2"/>
        <v>0</v>
      </c>
      <c r="J33" s="36">
        <f t="shared" si="9"/>
        <v>8.4962861849660426E-2</v>
      </c>
      <c r="K33" s="111">
        <f t="shared" si="10"/>
        <v>8.6209108281659369E-2</v>
      </c>
    </row>
    <row r="34" spans="1:11" s="1" customFormat="1" x14ac:dyDescent="0.2">
      <c r="A34" s="110" t="s">
        <v>91</v>
      </c>
      <c r="B34" s="74"/>
      <c r="C34" s="35"/>
      <c r="D34" s="35">
        <f>D29+D33</f>
        <v>69.726626799999991</v>
      </c>
      <c r="E34" s="73"/>
      <c r="F34" s="35"/>
      <c r="G34" s="35">
        <f>G29+G33</f>
        <v>67.726626799999991</v>
      </c>
      <c r="H34" s="35">
        <f t="shared" si="1"/>
        <v>-2</v>
      </c>
      <c r="I34" s="36">
        <f t="shared" si="2"/>
        <v>-2.868344693823623E-2</v>
      </c>
      <c r="J34" s="36">
        <f t="shared" si="9"/>
        <v>0.27257331467244611</v>
      </c>
      <c r="K34" s="111">
        <f t="shared" si="10"/>
        <v>0.27657145590113663</v>
      </c>
    </row>
    <row r="35" spans="1:11" s="1" customFormat="1" x14ac:dyDescent="0.2">
      <c r="A35" s="110" t="s">
        <v>92</v>
      </c>
      <c r="B35" s="74"/>
      <c r="C35" s="35"/>
      <c r="D35" s="35">
        <f>D30+D33</f>
        <v>68.9597488</v>
      </c>
      <c r="E35" s="73"/>
      <c r="F35" s="35"/>
      <c r="G35" s="35">
        <f>G30+G33</f>
        <v>66.9597488</v>
      </c>
      <c r="H35" s="35">
        <f t="shared" si="1"/>
        <v>-2</v>
      </c>
      <c r="I35" s="36">
        <f t="shared" si="2"/>
        <v>-2.9002425832502454E-2</v>
      </c>
      <c r="J35" s="36">
        <f t="shared" si="9"/>
        <v>0.26948692917997724</v>
      </c>
      <c r="K35" s="111">
        <f t="shared" si="10"/>
        <v>0.27343979890034015</v>
      </c>
    </row>
    <row r="36" spans="1:11" x14ac:dyDescent="0.2">
      <c r="A36" s="107" t="s">
        <v>42</v>
      </c>
      <c r="B36" s="73">
        <f>B8</f>
        <v>1479.8</v>
      </c>
      <c r="C36" s="34">
        <v>3.5999999999999999E-3</v>
      </c>
      <c r="D36" s="22">
        <f>B36*C36</f>
        <v>5.32728</v>
      </c>
      <c r="E36" s="73">
        <f t="shared" si="6"/>
        <v>1479.8</v>
      </c>
      <c r="F36" s="34">
        <v>3.5999999999999999E-3</v>
      </c>
      <c r="G36" s="22">
        <f>E36*F36</f>
        <v>5.32728</v>
      </c>
      <c r="H36" s="22">
        <f t="shared" si="1"/>
        <v>0</v>
      </c>
      <c r="I36" s="23">
        <f t="shared" si="2"/>
        <v>0</v>
      </c>
      <c r="J36" s="23">
        <f t="shared" si="9"/>
        <v>2.1440228701722807E-2</v>
      </c>
      <c r="K36" s="108">
        <f t="shared" si="10"/>
        <v>2.175471679615686E-2</v>
      </c>
    </row>
    <row r="37" spans="1:11" x14ac:dyDescent="0.2">
      <c r="A37" s="107" t="s">
        <v>43</v>
      </c>
      <c r="B37" s="73">
        <f>B8</f>
        <v>1479.8</v>
      </c>
      <c r="C37" s="34">
        <v>2.0999999999999999E-3</v>
      </c>
      <c r="D37" s="22">
        <f>B37*C37</f>
        <v>3.1075799999999996</v>
      </c>
      <c r="E37" s="73">
        <f t="shared" si="6"/>
        <v>1479.8</v>
      </c>
      <c r="F37" s="34">
        <v>2.0999999999999999E-3</v>
      </c>
      <c r="G37" s="22">
        <f>E37*F37</f>
        <v>3.1075799999999996</v>
      </c>
      <c r="H37" s="22">
        <f>G37-D37</f>
        <v>0</v>
      </c>
      <c r="I37" s="23">
        <f t="shared" si="2"/>
        <v>0</v>
      </c>
      <c r="J37" s="23">
        <f t="shared" si="9"/>
        <v>1.2506800076004968E-2</v>
      </c>
      <c r="K37" s="108">
        <f t="shared" si="10"/>
        <v>1.2690251464424832E-2</v>
      </c>
    </row>
    <row r="38" spans="1:11" x14ac:dyDescent="0.2">
      <c r="A38" s="107" t="s">
        <v>96</v>
      </c>
      <c r="B38" s="73">
        <f>B8</f>
        <v>1479.8</v>
      </c>
      <c r="C38" s="34">
        <v>1.1000000000000001E-3</v>
      </c>
      <c r="D38" s="22">
        <f>B38*C38</f>
        <v>1.62778</v>
      </c>
      <c r="E38" s="73">
        <f t="shared" si="6"/>
        <v>1479.8</v>
      </c>
      <c r="F38" s="34">
        <v>1.1000000000000001E-3</v>
      </c>
      <c r="G38" s="22">
        <f>E38*F38</f>
        <v>1.62778</v>
      </c>
      <c r="H38" s="22">
        <f>G38-D38</f>
        <v>0</v>
      </c>
      <c r="I38" s="23">
        <f t="shared" ref="I38" si="11">IF(ISERROR(H38/D38),0,(H38/D38))</f>
        <v>0</v>
      </c>
      <c r="J38" s="23">
        <f t="shared" ref="J38" si="12">G38/$G$46</f>
        <v>6.5511809921930796E-3</v>
      </c>
      <c r="K38" s="108">
        <f t="shared" ref="K38" si="13">G38/$G$51</f>
        <v>6.6472745766034845E-3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1.0061527037119697E-3</v>
      </c>
      <c r="K39" s="108">
        <f t="shared" si="10"/>
        <v>1.0209110839000794E-3</v>
      </c>
    </row>
    <row r="40" spans="1:11" s="1" customFormat="1" x14ac:dyDescent="0.2">
      <c r="A40" s="110" t="s">
        <v>45</v>
      </c>
      <c r="B40" s="74"/>
      <c r="C40" s="35"/>
      <c r="D40" s="35">
        <f>SUM(D36:D39)</f>
        <v>10.31264</v>
      </c>
      <c r="E40" s="73"/>
      <c r="F40" s="35"/>
      <c r="G40" s="35">
        <f>SUM(G36:G39)</f>
        <v>10.31264</v>
      </c>
      <c r="H40" s="35">
        <f t="shared" si="1"/>
        <v>0</v>
      </c>
      <c r="I40" s="36">
        <f t="shared" si="2"/>
        <v>0</v>
      </c>
      <c r="J40" s="36">
        <f t="shared" si="9"/>
        <v>4.1504362473632823E-2</v>
      </c>
      <c r="K40" s="111">
        <f t="shared" si="10"/>
        <v>4.2113153921085257E-2</v>
      </c>
    </row>
    <row r="41" spans="1:11" s="1" customFormat="1" ht="13.5" thickBot="1" x14ac:dyDescent="0.25">
      <c r="A41" s="112" t="s">
        <v>46</v>
      </c>
      <c r="B41" s="113">
        <f>B4</f>
        <v>1400</v>
      </c>
      <c r="C41" s="114">
        <v>0</v>
      </c>
      <c r="D41" s="115">
        <f>B41*C41</f>
        <v>0</v>
      </c>
      <c r="E41" s="116">
        <f t="shared" si="6"/>
        <v>1400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238.63926679999997</v>
      </c>
      <c r="E42" s="38"/>
      <c r="F42" s="39"/>
      <c r="G42" s="39">
        <f>SUM(G14,G25,G26,G27,G33,G40,G41)</f>
        <v>236.63926679999997</v>
      </c>
      <c r="H42" s="39">
        <f t="shared" si="1"/>
        <v>-2</v>
      </c>
      <c r="I42" s="40">
        <f>IF(ISERROR(H42/D42),0,(H42/D42))</f>
        <v>-8.3808504225592103E-3</v>
      </c>
      <c r="J42" s="40">
        <f t="shared" si="9"/>
        <v>0.95238095238095244</v>
      </c>
      <c r="K42" s="41"/>
    </row>
    <row r="43" spans="1:11" x14ac:dyDescent="0.2">
      <c r="A43" s="154" t="s">
        <v>102</v>
      </c>
      <c r="B43" s="43"/>
      <c r="C43" s="26">
        <v>0.13</v>
      </c>
      <c r="D43" s="26">
        <f>D42*C43</f>
        <v>31.023104683999996</v>
      </c>
      <c r="E43" s="26"/>
      <c r="F43" s="26">
        <f>C43</f>
        <v>0.13</v>
      </c>
      <c r="G43" s="26">
        <f>G42*F43</f>
        <v>30.763104683999998</v>
      </c>
      <c r="H43" s="26">
        <f t="shared" si="1"/>
        <v>-0.25999999999999801</v>
      </c>
      <c r="I43" s="44">
        <f t="shared" si="2"/>
        <v>-8.3808504225591461E-3</v>
      </c>
      <c r="J43" s="44">
        <f t="shared" si="9"/>
        <v>0.12380952380952383</v>
      </c>
      <c r="K43" s="45"/>
    </row>
    <row r="44" spans="1:11" s="1" customFormat="1" x14ac:dyDescent="0.2">
      <c r="A44" s="46" t="s">
        <v>103</v>
      </c>
      <c r="B44" s="24"/>
      <c r="C44" s="25"/>
      <c r="D44" s="25">
        <f>SUM(D42:D43)</f>
        <v>269.66237148399995</v>
      </c>
      <c r="E44" s="25"/>
      <c r="F44" s="25"/>
      <c r="G44" s="25">
        <f>SUM(G42:G43)</f>
        <v>267.40237148399996</v>
      </c>
      <c r="H44" s="25">
        <f t="shared" si="1"/>
        <v>-2.2599999999999909</v>
      </c>
      <c r="I44" s="27">
        <f t="shared" si="2"/>
        <v>-8.3808504225591773E-3</v>
      </c>
      <c r="J44" s="27">
        <f t="shared" si="9"/>
        <v>1.0761904761904761</v>
      </c>
      <c r="K44" s="47"/>
    </row>
    <row r="45" spans="1:11" x14ac:dyDescent="0.2">
      <c r="A45" s="42" t="s">
        <v>104</v>
      </c>
      <c r="B45" s="43"/>
      <c r="C45" s="26">
        <v>-0.08</v>
      </c>
      <c r="D45" s="26">
        <f>D42*C45</f>
        <v>-19.091141343999997</v>
      </c>
      <c r="E45" s="26"/>
      <c r="F45" s="26">
        <f>C45</f>
        <v>-0.08</v>
      </c>
      <c r="G45" s="26">
        <f>G42*F45</f>
        <v>-18.931141343999997</v>
      </c>
      <c r="H45" s="26">
        <f t="shared" si="1"/>
        <v>0.16000000000000014</v>
      </c>
      <c r="I45" s="44">
        <f t="shared" si="2"/>
        <v>-8.380850422559219E-3</v>
      </c>
      <c r="J45" s="44">
        <f t="shared" si="9"/>
        <v>-7.6190476190476183E-2</v>
      </c>
      <c r="K45" s="45"/>
    </row>
    <row r="46" spans="1:11" s="1" customFormat="1" ht="13.5" thickBot="1" x14ac:dyDescent="0.25">
      <c r="A46" s="48" t="s">
        <v>105</v>
      </c>
      <c r="B46" s="49"/>
      <c r="C46" s="50"/>
      <c r="D46" s="50">
        <f>SUM(D44:D45)</f>
        <v>250.57123013999995</v>
      </c>
      <c r="E46" s="50"/>
      <c r="F46" s="50"/>
      <c r="G46" s="50">
        <f>SUM(G44:G45)</f>
        <v>248.47123013999996</v>
      </c>
      <c r="H46" s="50">
        <f t="shared" si="1"/>
        <v>-2.0999999999999943</v>
      </c>
      <c r="I46" s="51">
        <f t="shared" si="2"/>
        <v>-8.3808504225591877E-3</v>
      </c>
      <c r="J46" s="51">
        <f t="shared" si="9"/>
        <v>1</v>
      </c>
      <c r="K46" s="52"/>
    </row>
    <row r="47" spans="1:11" x14ac:dyDescent="0.2">
      <c r="A47" s="53" t="s">
        <v>106</v>
      </c>
      <c r="B47" s="54"/>
      <c r="C47" s="55"/>
      <c r="D47" s="55">
        <f>SUM(D18,D25,D26,D28,D33,D40,D41)</f>
        <v>235.21838879999996</v>
      </c>
      <c r="E47" s="55"/>
      <c r="F47" s="55"/>
      <c r="G47" s="55">
        <f>SUM(G18,G25,G26,G28,G33,G40,G41)</f>
        <v>233.21838879999996</v>
      </c>
      <c r="H47" s="55">
        <f>G47-D47</f>
        <v>-2</v>
      </c>
      <c r="I47" s="56">
        <f>IF(ISERROR(H47/D47),0,(H47/D47))</f>
        <v>-8.5027365853634334E-3</v>
      </c>
      <c r="J47" s="56"/>
      <c r="K47" s="57">
        <f>G47/$G$51</f>
        <v>0.95238095238095233</v>
      </c>
    </row>
    <row r="48" spans="1:11" x14ac:dyDescent="0.2">
      <c r="A48" s="58" t="s">
        <v>102</v>
      </c>
      <c r="B48" s="59"/>
      <c r="C48" s="31">
        <v>0.13</v>
      </c>
      <c r="D48" s="31">
        <f>D47*C48</f>
        <v>30.578390543999994</v>
      </c>
      <c r="E48" s="31"/>
      <c r="F48" s="31">
        <f>C48</f>
        <v>0.13</v>
      </c>
      <c r="G48" s="31">
        <f>G47*F48</f>
        <v>30.318390543999996</v>
      </c>
      <c r="H48" s="31">
        <f>G48-D48</f>
        <v>-0.25999999999999801</v>
      </c>
      <c r="I48" s="32">
        <f>IF(ISERROR(H48/D48),0,(H48/D48))</f>
        <v>-8.5027365853633675E-3</v>
      </c>
      <c r="J48" s="32"/>
      <c r="K48" s="60">
        <f>G48/$G$51</f>
        <v>0.12380952380952381</v>
      </c>
    </row>
    <row r="49" spans="1:11" x14ac:dyDescent="0.2">
      <c r="A49" s="61" t="s">
        <v>107</v>
      </c>
      <c r="B49" s="29"/>
      <c r="C49" s="30"/>
      <c r="D49" s="30">
        <f>SUM(D47:D48)</f>
        <v>265.79677934399996</v>
      </c>
      <c r="E49" s="30"/>
      <c r="F49" s="30"/>
      <c r="G49" s="30">
        <f>SUM(G47:G48)</f>
        <v>263.53677934399997</v>
      </c>
      <c r="H49" s="30">
        <f>G49-D49</f>
        <v>-2.2599999999999909</v>
      </c>
      <c r="I49" s="33">
        <f>IF(ISERROR(H49/D49),0,(H49/D49))</f>
        <v>-8.5027365853633987E-3</v>
      </c>
      <c r="J49" s="33"/>
      <c r="K49" s="62">
        <f>G49/$G$51</f>
        <v>1.0761904761904761</v>
      </c>
    </row>
    <row r="50" spans="1:11" x14ac:dyDescent="0.2">
      <c r="A50" s="58" t="s">
        <v>104</v>
      </c>
      <c r="B50" s="59"/>
      <c r="C50" s="31">
        <v>-0.08</v>
      </c>
      <c r="D50" s="31">
        <f>D47*C50</f>
        <v>-18.817471103999996</v>
      </c>
      <c r="E50" s="31"/>
      <c r="F50" s="31">
        <f>C50</f>
        <v>-0.08</v>
      </c>
      <c r="G50" s="31">
        <f>G47*F50</f>
        <v>-18.657471103999995</v>
      </c>
      <c r="H50" s="31">
        <f>G50-D50</f>
        <v>0.16000000000000014</v>
      </c>
      <c r="I50" s="32">
        <f>IF(ISERROR(H50/D50),0,(H50/D50))</f>
        <v>-8.5027365853634403E-3</v>
      </c>
      <c r="J50" s="32"/>
      <c r="K50" s="60">
        <f>G50/$G$51</f>
        <v>-7.6190476190476183E-2</v>
      </c>
    </row>
    <row r="51" spans="1:11" ht="13.5" thickBot="1" x14ac:dyDescent="0.25">
      <c r="A51" s="63" t="s">
        <v>116</v>
      </c>
      <c r="B51" s="64"/>
      <c r="C51" s="65"/>
      <c r="D51" s="65">
        <f>SUM(D49:D50)</f>
        <v>246.97930823999997</v>
      </c>
      <c r="E51" s="65"/>
      <c r="F51" s="65"/>
      <c r="G51" s="65">
        <f>SUM(G49:G50)</f>
        <v>244.87930823999997</v>
      </c>
      <c r="H51" s="65">
        <f>G51-D51</f>
        <v>-2.0999999999999943</v>
      </c>
      <c r="I51" s="66">
        <f>IF(ISERROR(H51/D51),0,(H51/D51))</f>
        <v>-8.5027365853634091E-3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1" tint="0.499984740745262"/>
    <pageSetUpPr fitToPage="1"/>
  </sheetPr>
  <dimension ref="A1:K68"/>
  <sheetViews>
    <sheetView tabSelected="1" view="pageBreakPreview" topLeftCell="A13" zoomScaleNormal="100" zoomScaleSheetLayoutView="100" workbookViewId="0">
      <selection activeCell="C3" sqref="C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117</v>
      </c>
      <c r="B1" s="188"/>
      <c r="C1" s="188"/>
      <c r="D1" s="188"/>
      <c r="E1" s="188"/>
      <c r="F1" s="188"/>
      <c r="G1" s="188"/>
      <c r="H1" s="188"/>
      <c r="I1" s="188"/>
      <c r="J1" s="188"/>
      <c r="K1" s="189"/>
    </row>
    <row r="3" spans="1:11" x14ac:dyDescent="0.2">
      <c r="A3" s="13" t="s">
        <v>13</v>
      </c>
      <c r="B3" s="13" t="s">
        <v>1</v>
      </c>
    </row>
    <row r="4" spans="1:11" x14ac:dyDescent="0.2">
      <c r="A4" s="15" t="s">
        <v>62</v>
      </c>
      <c r="B4" s="15">
        <v>400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68">
        <f>B4*B6</f>
        <v>430.40000000000003</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400</v>
      </c>
      <c r="C12" s="103">
        <v>0.10299999999999999</v>
      </c>
      <c r="D12" s="104">
        <f>B12*C12</f>
        <v>41.199999999999996</v>
      </c>
      <c r="E12" s="102">
        <f>B12</f>
        <v>400</v>
      </c>
      <c r="F12" s="103">
        <f>C12</f>
        <v>0.10299999999999999</v>
      </c>
      <c r="G12" s="104">
        <f>E12*F12</f>
        <v>41.199999999999996</v>
      </c>
      <c r="H12" s="104">
        <f>G12-D12</f>
        <v>0</v>
      </c>
      <c r="I12" s="105">
        <f>IF(ISERROR(H12/D12),0,(H12/D12))</f>
        <v>0</v>
      </c>
      <c r="J12" s="105">
        <f>G12/$G$46</f>
        <v>0.36471381490132698</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41.199999999999996</v>
      </c>
      <c r="E14" s="76"/>
      <c r="F14" s="25"/>
      <c r="G14" s="25">
        <f>SUM(G12:G13)</f>
        <v>41.199999999999996</v>
      </c>
      <c r="H14" s="25">
        <f t="shared" si="1"/>
        <v>0</v>
      </c>
      <c r="I14" s="27">
        <f t="shared" si="2"/>
        <v>0</v>
      </c>
      <c r="J14" s="27">
        <f>G14/$G$46</f>
        <v>0.36471381490132698</v>
      </c>
      <c r="K14" s="108"/>
    </row>
    <row r="15" spans="1:11" s="1" customFormat="1" x14ac:dyDescent="0.2">
      <c r="A15" s="109" t="s">
        <v>34</v>
      </c>
      <c r="B15" s="75">
        <f>B4*0.65</f>
        <v>260</v>
      </c>
      <c r="C15" s="28">
        <v>8.6999999999999994E-2</v>
      </c>
      <c r="D15" s="22">
        <f>B15*C15</f>
        <v>22.619999999999997</v>
      </c>
      <c r="E15" s="73">
        <f t="shared" ref="E15:F17" si="3">B15</f>
        <v>260</v>
      </c>
      <c r="F15" s="28">
        <f t="shared" si="3"/>
        <v>8.6999999999999994E-2</v>
      </c>
      <c r="G15" s="22">
        <f>E15*F15</f>
        <v>22.619999999999997</v>
      </c>
      <c r="H15" s="22">
        <f t="shared" si="1"/>
        <v>0</v>
      </c>
      <c r="I15" s="23">
        <f t="shared" si="2"/>
        <v>0</v>
      </c>
      <c r="J15" s="23"/>
      <c r="K15" s="108">
        <f t="shared" ref="K15:K26" si="4">G15/$G$51</f>
        <v>0.1937358839127348</v>
      </c>
    </row>
    <row r="16" spans="1:11" s="1" customFormat="1" x14ac:dyDescent="0.2">
      <c r="A16" s="109" t="s">
        <v>35</v>
      </c>
      <c r="B16" s="75">
        <f>B4*0.17</f>
        <v>68</v>
      </c>
      <c r="C16" s="28">
        <v>0.13200000000000001</v>
      </c>
      <c r="D16" s="22">
        <f>B16*C16</f>
        <v>8.9760000000000009</v>
      </c>
      <c r="E16" s="73">
        <f t="shared" si="3"/>
        <v>68</v>
      </c>
      <c r="F16" s="28">
        <f t="shared" si="3"/>
        <v>0.13200000000000001</v>
      </c>
      <c r="G16" s="22">
        <f>E16*F16</f>
        <v>8.9760000000000009</v>
      </c>
      <c r="H16" s="22">
        <f t="shared" si="1"/>
        <v>0</v>
      </c>
      <c r="I16" s="23">
        <f t="shared" si="2"/>
        <v>0</v>
      </c>
      <c r="J16" s="23"/>
      <c r="K16" s="108">
        <f t="shared" si="4"/>
        <v>7.6877687621605129E-2</v>
      </c>
    </row>
    <row r="17" spans="1:11" s="1" customFormat="1" x14ac:dyDescent="0.2">
      <c r="A17" s="109" t="s">
        <v>36</v>
      </c>
      <c r="B17" s="75">
        <f>B4*0.18</f>
        <v>72</v>
      </c>
      <c r="C17" s="28">
        <v>0.18</v>
      </c>
      <c r="D17" s="22">
        <f>B17*C17</f>
        <v>12.959999999999999</v>
      </c>
      <c r="E17" s="73">
        <f t="shared" si="3"/>
        <v>72</v>
      </c>
      <c r="F17" s="28">
        <f t="shared" si="3"/>
        <v>0.18</v>
      </c>
      <c r="G17" s="22">
        <f>E17*F17</f>
        <v>12.959999999999999</v>
      </c>
      <c r="H17" s="22">
        <f t="shared" si="1"/>
        <v>0</v>
      </c>
      <c r="I17" s="23">
        <f t="shared" si="2"/>
        <v>0</v>
      </c>
      <c r="J17" s="23"/>
      <c r="K17" s="108">
        <f t="shared" si="4"/>
        <v>0.11099986982798599</v>
      </c>
    </row>
    <row r="18" spans="1:11" s="1" customFormat="1" x14ac:dyDescent="0.2">
      <c r="A18" s="61" t="s">
        <v>37</v>
      </c>
      <c r="B18" s="29"/>
      <c r="C18" s="30"/>
      <c r="D18" s="30">
        <f>SUM(D15:D17)</f>
        <v>44.555999999999997</v>
      </c>
      <c r="E18" s="77"/>
      <c r="F18" s="30"/>
      <c r="G18" s="30">
        <f>SUM(G15:G17)</f>
        <v>44.555999999999997</v>
      </c>
      <c r="H18" s="31">
        <f t="shared" si="1"/>
        <v>0</v>
      </c>
      <c r="I18" s="32">
        <f t="shared" si="2"/>
        <v>0</v>
      </c>
      <c r="J18" s="33">
        <f t="shared" ref="J18:J26" si="5">G18/$G$46</f>
        <v>0.39442205671707586</v>
      </c>
      <c r="K18" s="62">
        <f t="shared" si="4"/>
        <v>0.38161344136232589</v>
      </c>
    </row>
    <row r="19" spans="1:11" x14ac:dyDescent="0.2">
      <c r="A19" s="107" t="s">
        <v>38</v>
      </c>
      <c r="B19" s="73">
        <v>1</v>
      </c>
      <c r="C19" s="78">
        <f>VLOOKUP($B$3,'Data for Bill Impacts'!$A$3:$Y$15,7,0)</f>
        <v>42.25</v>
      </c>
      <c r="D19" s="22">
        <f>B19*C19</f>
        <v>42.25</v>
      </c>
      <c r="E19" s="73">
        <f t="shared" ref="E19:E41" si="6">B19</f>
        <v>1</v>
      </c>
      <c r="F19" s="122">
        <f>VLOOKUP($B$3,'Data for Bill Impacts'!$A$3:$Y$15,17,0)</f>
        <v>47.11</v>
      </c>
      <c r="G19" s="22">
        <f>E19*F19</f>
        <v>47.11</v>
      </c>
      <c r="H19" s="22">
        <f t="shared" si="1"/>
        <v>4.8599999999999994</v>
      </c>
      <c r="I19" s="23">
        <f t="shared" si="2"/>
        <v>0.11502958579881656</v>
      </c>
      <c r="J19" s="23">
        <f t="shared" si="5"/>
        <v>0.41703077233013386</v>
      </c>
      <c r="K19" s="108">
        <f t="shared" si="4"/>
        <v>0.40348795274663735</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400</v>
      </c>
      <c r="C23" s="78">
        <f>VLOOKUP($B$3,'Data for Bill Impacts'!$A$3:$Y$15,10,0)</f>
        <v>1.9400000000000001E-2</v>
      </c>
      <c r="D23" s="22">
        <f>B23*C23</f>
        <v>7.76</v>
      </c>
      <c r="E23" s="73">
        <f t="shared" si="6"/>
        <v>400</v>
      </c>
      <c r="F23" s="78">
        <f>VLOOKUP($B$3,'Data for Bill Impacts'!$A$3:$Y$15,19,0)</f>
        <v>1.6E-2</v>
      </c>
      <c r="G23" s="22">
        <f>E23*F23</f>
        <v>6.4</v>
      </c>
      <c r="H23" s="22">
        <f t="shared" si="1"/>
        <v>-1.3599999999999994</v>
      </c>
      <c r="I23" s="23">
        <f t="shared" si="2"/>
        <v>-0.17525773195876282</v>
      </c>
      <c r="J23" s="23">
        <f t="shared" si="5"/>
        <v>5.6654573188555657E-2</v>
      </c>
      <c r="K23" s="108">
        <f t="shared" si="4"/>
        <v>5.4814750532338766E-2</v>
      </c>
    </row>
    <row r="24" spans="1:11" x14ac:dyDescent="0.2">
      <c r="A24" s="107" t="s">
        <v>121</v>
      </c>
      <c r="B24" s="73">
        <f>IF($B$9="kWh",$B$4,$B$5)</f>
        <v>400</v>
      </c>
      <c r="C24" s="126">
        <f>VLOOKUP($B$3,'Data for Bill Impacts'!$A$3:$Y$15,14,0)</f>
        <v>2.0000000000000001E-4</v>
      </c>
      <c r="D24" s="22">
        <f>B24*C24</f>
        <v>0.08</v>
      </c>
      <c r="E24" s="73">
        <f>B24</f>
        <v>400</v>
      </c>
      <c r="F24" s="126">
        <f>VLOOKUP($B$3,'Data for Bill Impacts'!$A$3:$Y$15,23,0)</f>
        <v>2.0000000000000001E-4</v>
      </c>
      <c r="G24" s="22">
        <f>E24*F24</f>
        <v>0.08</v>
      </c>
      <c r="H24" s="22">
        <f>G24-D24</f>
        <v>0</v>
      </c>
      <c r="I24" s="23">
        <f>IF(ISERROR(H24/D24),0,(H24/D24))</f>
        <v>0</v>
      </c>
      <c r="J24" s="23">
        <f t="shared" si="5"/>
        <v>7.0818216485694571E-4</v>
      </c>
      <c r="K24" s="108">
        <f t="shared" si="4"/>
        <v>6.8518438165423461E-4</v>
      </c>
    </row>
    <row r="25" spans="1:11" s="1" customFormat="1" x14ac:dyDescent="0.2">
      <c r="A25" s="110" t="s">
        <v>72</v>
      </c>
      <c r="B25" s="74"/>
      <c r="C25" s="35"/>
      <c r="D25" s="35">
        <f>SUM(D19:D24)</f>
        <v>50.089999999999996</v>
      </c>
      <c r="E25" s="73"/>
      <c r="F25" s="35"/>
      <c r="G25" s="35">
        <f>SUM(G19:G24)</f>
        <v>53.589999999999996</v>
      </c>
      <c r="H25" s="35">
        <f t="shared" si="1"/>
        <v>3.5</v>
      </c>
      <c r="I25" s="36">
        <f t="shared" si="2"/>
        <v>6.9874226392493521E-2</v>
      </c>
      <c r="J25" s="36">
        <f t="shared" si="5"/>
        <v>0.47439352768354642</v>
      </c>
      <c r="K25" s="111">
        <f t="shared" si="4"/>
        <v>0.45898788766063037</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6.9932988779623385E-3</v>
      </c>
      <c r="K26" s="108">
        <f t="shared" si="4"/>
        <v>6.7661957688355664E-3</v>
      </c>
    </row>
    <row r="27" spans="1:11" s="1" customFormat="1" x14ac:dyDescent="0.2">
      <c r="A27" s="119" t="s">
        <v>75</v>
      </c>
      <c r="B27" s="120">
        <f>B8-B4</f>
        <v>30.400000000000034</v>
      </c>
      <c r="C27" s="121">
        <f>IF(B4&gt;B7,C13,C12)</f>
        <v>0.10299999999999999</v>
      </c>
      <c r="D27" s="22">
        <f>B27*C27</f>
        <v>3.1312000000000033</v>
      </c>
      <c r="E27" s="73">
        <f>B27</f>
        <v>30.400000000000034</v>
      </c>
      <c r="F27" s="121">
        <f>C27</f>
        <v>0.10299999999999999</v>
      </c>
      <c r="G27" s="22">
        <f>E27*F27</f>
        <v>3.1312000000000033</v>
      </c>
      <c r="H27" s="22">
        <f t="shared" si="1"/>
        <v>0</v>
      </c>
      <c r="I27" s="23">
        <f>IF(ISERROR(H27/D27),0,(H27/D27))</f>
        <v>0</v>
      </c>
      <c r="J27" s="23">
        <f t="shared" ref="J27:J46" si="9">G27/$G$46</f>
        <v>2.7718249932500882E-2</v>
      </c>
      <c r="K27" s="108">
        <f t="shared" ref="K27:K41" si="10">G27/$G$51</f>
        <v>2.6818116697946769E-2</v>
      </c>
    </row>
    <row r="28" spans="1:11" s="1" customFormat="1" x14ac:dyDescent="0.2">
      <c r="A28" s="119" t="s">
        <v>74</v>
      </c>
      <c r="B28" s="120">
        <f>B8-B4</f>
        <v>30.400000000000034</v>
      </c>
      <c r="C28" s="121">
        <f>0.65*C15+0.17*C16+0.18*C17</f>
        <v>0.11139</v>
      </c>
      <c r="D28" s="22">
        <f>B28*C28</f>
        <v>3.3862560000000039</v>
      </c>
      <c r="E28" s="73">
        <f>B28</f>
        <v>30.400000000000034</v>
      </c>
      <c r="F28" s="121">
        <f>C28</f>
        <v>0.11139</v>
      </c>
      <c r="G28" s="22">
        <f>E28*F28</f>
        <v>3.3862560000000039</v>
      </c>
      <c r="H28" s="22">
        <f t="shared" si="1"/>
        <v>0</v>
      </c>
      <c r="I28" s="23">
        <f>IF(ISERROR(H28/D28),0,(H28/D28))</f>
        <v>0</v>
      </c>
      <c r="J28" s="23">
        <f t="shared" si="9"/>
        <v>2.9976076310497802E-2</v>
      </c>
      <c r="K28" s="108">
        <f t="shared" si="10"/>
        <v>2.9002621543536805E-2</v>
      </c>
    </row>
    <row r="29" spans="1:11" s="1" customFormat="1" x14ac:dyDescent="0.2">
      <c r="A29" s="110" t="s">
        <v>78</v>
      </c>
      <c r="B29" s="74"/>
      <c r="C29" s="35"/>
      <c r="D29" s="35">
        <f>SUM(D25,D26:D27)</f>
        <v>54.011200000000002</v>
      </c>
      <c r="E29" s="73"/>
      <c r="F29" s="35"/>
      <c r="G29" s="35">
        <f>SUM(G25,G26:G27)</f>
        <v>57.511200000000002</v>
      </c>
      <c r="H29" s="35">
        <f t="shared" si="1"/>
        <v>3.5</v>
      </c>
      <c r="I29" s="36">
        <f>IF(ISERROR(H29/D29),0,(H29/D29))</f>
        <v>6.480137452972716E-2</v>
      </c>
      <c r="J29" s="36">
        <f t="shared" si="9"/>
        <v>0.50910507649400971</v>
      </c>
      <c r="K29" s="111">
        <f t="shared" si="10"/>
        <v>0.49257220012741271</v>
      </c>
    </row>
    <row r="30" spans="1:11" s="1" customFormat="1" x14ac:dyDescent="0.2">
      <c r="A30" s="110" t="s">
        <v>77</v>
      </c>
      <c r="B30" s="74"/>
      <c r="C30" s="35"/>
      <c r="D30" s="35">
        <f>SUM(D25,D26,D28)</f>
        <v>54.266255999999998</v>
      </c>
      <c r="E30" s="73"/>
      <c r="F30" s="35"/>
      <c r="G30" s="35">
        <f>SUM(G25,G26,G28)</f>
        <v>57.766255999999998</v>
      </c>
      <c r="H30" s="35">
        <f t="shared" si="1"/>
        <v>3.5</v>
      </c>
      <c r="I30" s="36">
        <f>IF(ISERROR(H30/D30),0,(H30/D30))</f>
        <v>6.4496802580225915E-2</v>
      </c>
      <c r="J30" s="36">
        <f t="shared" si="9"/>
        <v>0.51136290287200659</v>
      </c>
      <c r="K30" s="111">
        <f t="shared" si="10"/>
        <v>0.49475670497300273</v>
      </c>
    </row>
    <row r="31" spans="1:11" x14ac:dyDescent="0.2">
      <c r="A31" s="107" t="s">
        <v>40</v>
      </c>
      <c r="B31" s="73">
        <f>B8</f>
        <v>430.40000000000003</v>
      </c>
      <c r="C31" s="126">
        <f>VLOOKUP($B$3,'Data for Bill Impacts'!$A$3:$Y$15,15,0)</f>
        <v>7.2069999999999999E-3</v>
      </c>
      <c r="D31" s="22">
        <f>B31*C31</f>
        <v>3.1018928000000003</v>
      </c>
      <c r="E31" s="73">
        <f t="shared" si="6"/>
        <v>430.40000000000003</v>
      </c>
      <c r="F31" s="126">
        <f>VLOOKUP($B$3,'Data for Bill Impacts'!$A$3:$Y$15,24,0)</f>
        <v>7.2069999999999999E-3</v>
      </c>
      <c r="G31" s="22">
        <f>E31*F31</f>
        <v>3.1018928000000003</v>
      </c>
      <c r="H31" s="22">
        <f t="shared" si="1"/>
        <v>0</v>
      </c>
      <c r="I31" s="23">
        <f t="shared" si="2"/>
        <v>0</v>
      </c>
      <c r="J31" s="23">
        <f t="shared" si="9"/>
        <v>2.7458814478227164E-2</v>
      </c>
      <c r="K31" s="108">
        <f t="shared" si="10"/>
        <v>2.6567106251571531E-2</v>
      </c>
    </row>
    <row r="32" spans="1:11" x14ac:dyDescent="0.2">
      <c r="A32" s="107" t="s">
        <v>41</v>
      </c>
      <c r="B32" s="73">
        <f>B8</f>
        <v>430.40000000000003</v>
      </c>
      <c r="C32" s="126">
        <f>VLOOKUP($B$3,'Data for Bill Impacts'!$A$3:$Y$15,16,0)</f>
        <v>6.0319999999999992E-3</v>
      </c>
      <c r="D32" s="22">
        <f>B32*C32</f>
        <v>2.5961727999999997</v>
      </c>
      <c r="E32" s="73">
        <f t="shared" si="6"/>
        <v>430.40000000000003</v>
      </c>
      <c r="F32" s="126">
        <f>VLOOKUP($B$3,'Data for Bill Impacts'!$A$3:$Y$15,25,0)</f>
        <v>6.0319999999999992E-3</v>
      </c>
      <c r="G32" s="22">
        <f>E32*F32</f>
        <v>2.5961727999999997</v>
      </c>
      <c r="H32" s="22">
        <f t="shared" si="1"/>
        <v>0</v>
      </c>
      <c r="I32" s="23">
        <f t="shared" si="2"/>
        <v>0</v>
      </c>
      <c r="J32" s="23">
        <f t="shared" si="9"/>
        <v>2.2982040923083976E-2</v>
      </c>
      <c r="K32" s="108">
        <f t="shared" si="10"/>
        <v>2.2235713182944282E-2</v>
      </c>
    </row>
    <row r="33" spans="1:11" s="1" customFormat="1" x14ac:dyDescent="0.2">
      <c r="A33" s="110" t="s">
        <v>76</v>
      </c>
      <c r="B33" s="74"/>
      <c r="C33" s="35"/>
      <c r="D33" s="35">
        <f>SUM(D31:D32)</f>
        <v>5.6980655999999996</v>
      </c>
      <c r="E33" s="73"/>
      <c r="F33" s="35"/>
      <c r="G33" s="35">
        <f>SUM(G31:G32)</f>
        <v>5.6980655999999996</v>
      </c>
      <c r="H33" s="35">
        <f t="shared" si="1"/>
        <v>0</v>
      </c>
      <c r="I33" s="36">
        <f t="shared" si="2"/>
        <v>0</v>
      </c>
      <c r="J33" s="36">
        <f t="shared" si="9"/>
        <v>5.0440855401311137E-2</v>
      </c>
      <c r="K33" s="111">
        <f t="shared" si="10"/>
        <v>4.880281943451581E-2</v>
      </c>
    </row>
    <row r="34" spans="1:11" s="1" customFormat="1" x14ac:dyDescent="0.2">
      <c r="A34" s="110" t="s">
        <v>91</v>
      </c>
      <c r="B34" s="74"/>
      <c r="C34" s="35"/>
      <c r="D34" s="35">
        <f>D29+D33</f>
        <v>59.709265600000002</v>
      </c>
      <c r="E34" s="73"/>
      <c r="F34" s="35"/>
      <c r="G34" s="35">
        <f>G29+G33</f>
        <v>63.209265600000002</v>
      </c>
      <c r="H34" s="35">
        <f t="shared" si="1"/>
        <v>3.5</v>
      </c>
      <c r="I34" s="36">
        <f t="shared" si="2"/>
        <v>5.8617368089015652E-2</v>
      </c>
      <c r="J34" s="36">
        <f t="shared" si="9"/>
        <v>0.55954593189532087</v>
      </c>
      <c r="K34" s="111">
        <f t="shared" si="10"/>
        <v>0.54137501956192846</v>
      </c>
    </row>
    <row r="35" spans="1:11" s="1" customFormat="1" x14ac:dyDescent="0.2">
      <c r="A35" s="110" t="s">
        <v>92</v>
      </c>
      <c r="B35" s="74"/>
      <c r="C35" s="35"/>
      <c r="D35" s="35">
        <f>D30+D33</f>
        <v>59.964321599999998</v>
      </c>
      <c r="E35" s="73"/>
      <c r="F35" s="35"/>
      <c r="G35" s="35">
        <f>G30+G33</f>
        <v>63.464321599999998</v>
      </c>
      <c r="H35" s="35">
        <f t="shared" si="1"/>
        <v>3.5</v>
      </c>
      <c r="I35" s="36">
        <f t="shared" si="2"/>
        <v>5.8368041305415189E-2</v>
      </c>
      <c r="J35" s="36">
        <f t="shared" si="9"/>
        <v>0.56180375827331774</v>
      </c>
      <c r="K35" s="111">
        <f t="shared" si="10"/>
        <v>0.54355952440751854</v>
      </c>
    </row>
    <row r="36" spans="1:11" x14ac:dyDescent="0.2">
      <c r="A36" s="107" t="s">
        <v>42</v>
      </c>
      <c r="B36" s="73">
        <f>B8</f>
        <v>430.40000000000003</v>
      </c>
      <c r="C36" s="34">
        <v>3.5999999999999999E-3</v>
      </c>
      <c r="D36" s="22">
        <f>B36*C36</f>
        <v>1.5494400000000002</v>
      </c>
      <c r="E36" s="73">
        <f t="shared" si="6"/>
        <v>430.40000000000003</v>
      </c>
      <c r="F36" s="34">
        <v>3.5999999999999999E-3</v>
      </c>
      <c r="G36" s="22">
        <f>E36*F36</f>
        <v>1.5494400000000002</v>
      </c>
      <c r="H36" s="22">
        <f t="shared" si="1"/>
        <v>0</v>
      </c>
      <c r="I36" s="23">
        <f t="shared" si="2"/>
        <v>0</v>
      </c>
      <c r="J36" s="23">
        <f t="shared" si="9"/>
        <v>1.3716072168949324E-2</v>
      </c>
      <c r="K36" s="108">
        <f t="shared" si="10"/>
        <v>1.3270651103879216E-2</v>
      </c>
    </row>
    <row r="37" spans="1:11" x14ac:dyDescent="0.2">
      <c r="A37" s="107" t="s">
        <v>43</v>
      </c>
      <c r="B37" s="73">
        <f>B8</f>
        <v>430.40000000000003</v>
      </c>
      <c r="C37" s="34">
        <v>2.0999999999999999E-3</v>
      </c>
      <c r="D37" s="22">
        <f>B37*C37</f>
        <v>0.90383999999999998</v>
      </c>
      <c r="E37" s="73">
        <f t="shared" si="6"/>
        <v>430.40000000000003</v>
      </c>
      <c r="F37" s="34">
        <v>2.0999999999999999E-3</v>
      </c>
      <c r="G37" s="22">
        <f>E37*F37</f>
        <v>0.90383999999999998</v>
      </c>
      <c r="H37" s="22">
        <f>G37-D37</f>
        <v>0</v>
      </c>
      <c r="I37" s="23">
        <f t="shared" si="2"/>
        <v>0</v>
      </c>
      <c r="J37" s="23">
        <f t="shared" si="9"/>
        <v>8.0010420985537727E-3</v>
      </c>
      <c r="K37" s="108">
        <f t="shared" si="10"/>
        <v>7.7412131439295422E-3</v>
      </c>
    </row>
    <row r="38" spans="1:11" x14ac:dyDescent="0.2">
      <c r="A38" s="107" t="s">
        <v>96</v>
      </c>
      <c r="B38" s="73">
        <f>B8</f>
        <v>430.40000000000003</v>
      </c>
      <c r="C38" s="34">
        <v>1.1000000000000001E-3</v>
      </c>
      <c r="D38" s="22">
        <f>B38*C38</f>
        <v>0.47344000000000008</v>
      </c>
      <c r="E38" s="73">
        <f t="shared" si="6"/>
        <v>430.40000000000003</v>
      </c>
      <c r="F38" s="34">
        <v>1.1000000000000001E-3</v>
      </c>
      <c r="G38" s="22">
        <f>E38*F38</f>
        <v>0.47344000000000008</v>
      </c>
      <c r="H38" s="22">
        <f>G38-D38</f>
        <v>0</v>
      </c>
      <c r="I38" s="23">
        <f t="shared" ref="I38" si="11">IF(ISERROR(H38/D38),0,(H38/D38))</f>
        <v>0</v>
      </c>
      <c r="J38" s="23">
        <f t="shared" ref="J38" si="12">G38/$G$46</f>
        <v>4.1910220516234052E-3</v>
      </c>
      <c r="K38" s="108">
        <f t="shared" ref="K38" si="13">G38/$G$51</f>
        <v>4.0549211706297607E-3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2.2130692651779553E-3</v>
      </c>
      <c r="K39" s="108">
        <f t="shared" si="10"/>
        <v>2.1412011926694829E-3</v>
      </c>
    </row>
    <row r="40" spans="1:11" s="1" customFormat="1" x14ac:dyDescent="0.2">
      <c r="A40" s="110" t="s">
        <v>45</v>
      </c>
      <c r="B40" s="74"/>
      <c r="C40" s="35"/>
      <c r="D40" s="35">
        <f>SUM(D36:D39)</f>
        <v>3.1767200000000004</v>
      </c>
      <c r="E40" s="73"/>
      <c r="F40" s="35"/>
      <c r="G40" s="35">
        <f>SUM(G36:G39)</f>
        <v>3.1767200000000004</v>
      </c>
      <c r="H40" s="35">
        <f t="shared" si="1"/>
        <v>0</v>
      </c>
      <c r="I40" s="36">
        <f t="shared" si="2"/>
        <v>0</v>
      </c>
      <c r="J40" s="36">
        <f t="shared" si="9"/>
        <v>2.8121205584304459E-2</v>
      </c>
      <c r="K40" s="111">
        <f t="shared" si="10"/>
        <v>2.7207986611108004E-2</v>
      </c>
    </row>
    <row r="41" spans="1:11" s="1" customFormat="1" ht="13.5" thickBot="1" x14ac:dyDescent="0.25">
      <c r="A41" s="112" t="s">
        <v>46</v>
      </c>
      <c r="B41" s="113">
        <f>B4</f>
        <v>400</v>
      </c>
      <c r="C41" s="114">
        <v>0</v>
      </c>
      <c r="D41" s="115">
        <f>B41*C41</f>
        <v>0</v>
      </c>
      <c r="E41" s="116">
        <f t="shared" si="6"/>
        <v>400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104.0859856</v>
      </c>
      <c r="E42" s="38"/>
      <c r="F42" s="39"/>
      <c r="G42" s="39">
        <f>SUM(G14,G25,G26,G27,G33,G40,G41)</f>
        <v>107.5859856</v>
      </c>
      <c r="H42" s="39">
        <f t="shared" si="1"/>
        <v>3.5</v>
      </c>
      <c r="I42" s="40">
        <f>IF(ISERROR(H42/D42),0,(H42/D42))</f>
        <v>3.3626044657447139E-2</v>
      </c>
      <c r="J42" s="40">
        <f t="shared" si="9"/>
        <v>0.95238095238095233</v>
      </c>
      <c r="K42" s="41"/>
    </row>
    <row r="43" spans="1:11" x14ac:dyDescent="0.2">
      <c r="A43" s="154" t="s">
        <v>102</v>
      </c>
      <c r="B43" s="43"/>
      <c r="C43" s="26">
        <v>0.13</v>
      </c>
      <c r="D43" s="26">
        <f>D42*C43</f>
        <v>13.531178128000001</v>
      </c>
      <c r="E43" s="26"/>
      <c r="F43" s="26">
        <f>C43</f>
        <v>0.13</v>
      </c>
      <c r="G43" s="26">
        <f>G42*F43</f>
        <v>13.986178128000001</v>
      </c>
      <c r="H43" s="26">
        <f t="shared" si="1"/>
        <v>0.45500000000000007</v>
      </c>
      <c r="I43" s="44">
        <f t="shared" si="2"/>
        <v>3.3626044657447146E-2</v>
      </c>
      <c r="J43" s="44">
        <f t="shared" si="9"/>
        <v>0.1238095238095238</v>
      </c>
      <c r="K43" s="45"/>
    </row>
    <row r="44" spans="1:11" s="1" customFormat="1" x14ac:dyDescent="0.2">
      <c r="A44" s="46" t="s">
        <v>103</v>
      </c>
      <c r="B44" s="24"/>
      <c r="C44" s="25"/>
      <c r="D44" s="25">
        <f>SUM(D42:D43)</f>
        <v>117.61716372800001</v>
      </c>
      <c r="E44" s="25"/>
      <c r="F44" s="25"/>
      <c r="G44" s="25">
        <f>SUM(G42:G43)</f>
        <v>121.57216372800001</v>
      </c>
      <c r="H44" s="25">
        <f t="shared" si="1"/>
        <v>3.9549999999999983</v>
      </c>
      <c r="I44" s="27">
        <f t="shared" si="2"/>
        <v>3.3626044657447125E-2</v>
      </c>
      <c r="J44" s="27">
        <f t="shared" si="9"/>
        <v>1.0761904761904761</v>
      </c>
      <c r="K44" s="47"/>
    </row>
    <row r="45" spans="1:11" x14ac:dyDescent="0.2">
      <c r="A45" s="42" t="s">
        <v>104</v>
      </c>
      <c r="B45" s="43"/>
      <c r="C45" s="26">
        <v>-0.08</v>
      </c>
      <c r="D45" s="26">
        <f>D42*C45</f>
        <v>-8.3268788479999998</v>
      </c>
      <c r="E45" s="26"/>
      <c r="F45" s="26">
        <f>C45</f>
        <v>-0.08</v>
      </c>
      <c r="G45" s="26">
        <f>G42*F45</f>
        <v>-8.6068788480000009</v>
      </c>
      <c r="H45" s="26">
        <f t="shared" si="1"/>
        <v>-0.28000000000000114</v>
      </c>
      <c r="I45" s="44">
        <f t="shared" si="2"/>
        <v>3.3626044657447278E-2</v>
      </c>
      <c r="J45" s="44">
        <f t="shared" si="9"/>
        <v>-7.6190476190476183E-2</v>
      </c>
      <c r="K45" s="45"/>
    </row>
    <row r="46" spans="1:11" s="1" customFormat="1" ht="13.5" thickBot="1" x14ac:dyDescent="0.25">
      <c r="A46" s="48" t="s">
        <v>105</v>
      </c>
      <c r="B46" s="49"/>
      <c r="C46" s="50"/>
      <c r="D46" s="50">
        <f>SUM(D44:D45)</f>
        <v>109.29028488</v>
      </c>
      <c r="E46" s="50"/>
      <c r="F46" s="50"/>
      <c r="G46" s="50">
        <f>SUM(G44:G45)</f>
        <v>112.96528488000001</v>
      </c>
      <c r="H46" s="50">
        <f t="shared" si="1"/>
        <v>3.6750000000000114</v>
      </c>
      <c r="I46" s="51">
        <f t="shared" si="2"/>
        <v>3.3626044657447243E-2</v>
      </c>
      <c r="J46" s="51">
        <f t="shared" si="9"/>
        <v>1</v>
      </c>
      <c r="K46" s="52"/>
    </row>
    <row r="47" spans="1:11" x14ac:dyDescent="0.2">
      <c r="A47" s="53" t="s">
        <v>106</v>
      </c>
      <c r="B47" s="54"/>
      <c r="C47" s="55"/>
      <c r="D47" s="55">
        <f>SUM(D18,D25,D26,D28,D33,D40,D41)</f>
        <v>107.69704159999999</v>
      </c>
      <c r="E47" s="55"/>
      <c r="F47" s="55"/>
      <c r="G47" s="55">
        <f>SUM(G18,G25,G26,G28,G33,G40,G41)</f>
        <v>111.19704159999999</v>
      </c>
      <c r="H47" s="55">
        <f>G47-D47</f>
        <v>3.5</v>
      </c>
      <c r="I47" s="56">
        <f>IF(ISERROR(H47/D47),0,(H47/D47))</f>
        <v>3.2498571437082076E-2</v>
      </c>
      <c r="J47" s="56"/>
      <c r="K47" s="57">
        <f>G47/$G$51</f>
        <v>0.95238095238095244</v>
      </c>
    </row>
    <row r="48" spans="1:11" x14ac:dyDescent="0.2">
      <c r="A48" s="155" t="s">
        <v>102</v>
      </c>
      <c r="B48" s="59"/>
      <c r="C48" s="31">
        <v>0.13</v>
      </c>
      <c r="D48" s="31">
        <f>D47*C48</f>
        <v>14.000615408</v>
      </c>
      <c r="E48" s="31"/>
      <c r="F48" s="31">
        <f>C48</f>
        <v>0.13</v>
      </c>
      <c r="G48" s="31">
        <f>G47*F48</f>
        <v>14.455615408</v>
      </c>
      <c r="H48" s="31">
        <f>G48-D48</f>
        <v>0.45500000000000007</v>
      </c>
      <c r="I48" s="32">
        <f>IF(ISERROR(H48/D48),0,(H48/D48))</f>
        <v>3.2498571437082083E-2</v>
      </c>
      <c r="J48" s="32"/>
      <c r="K48" s="60">
        <f>G48/$G$51</f>
        <v>0.12380952380952381</v>
      </c>
    </row>
    <row r="49" spans="1:11" x14ac:dyDescent="0.2">
      <c r="A49" s="61" t="s">
        <v>107</v>
      </c>
      <c r="B49" s="29"/>
      <c r="C49" s="30"/>
      <c r="D49" s="30">
        <f>SUM(D47:D48)</f>
        <v>121.69765700799999</v>
      </c>
      <c r="E49" s="30"/>
      <c r="F49" s="30"/>
      <c r="G49" s="30">
        <f>SUM(G47:G48)</f>
        <v>125.65265700799999</v>
      </c>
      <c r="H49" s="30">
        <f>G49-D49</f>
        <v>3.9549999999999983</v>
      </c>
      <c r="I49" s="33">
        <f>IF(ISERROR(H49/D49),0,(H49/D49))</f>
        <v>3.2498571437082062E-2</v>
      </c>
      <c r="J49" s="33"/>
      <c r="K49" s="62">
        <f>G49/$G$51</f>
        <v>1.0761904761904761</v>
      </c>
    </row>
    <row r="50" spans="1:11" x14ac:dyDescent="0.2">
      <c r="A50" s="58" t="s">
        <v>104</v>
      </c>
      <c r="B50" s="59"/>
      <c r="C50" s="31">
        <v>-0.08</v>
      </c>
      <c r="D50" s="31">
        <f>D47*C50</f>
        <v>-8.6157633279999999</v>
      </c>
      <c r="E50" s="31"/>
      <c r="F50" s="31">
        <f>C50</f>
        <v>-0.08</v>
      </c>
      <c r="G50" s="31">
        <f>G47*F50</f>
        <v>-8.8957633279999992</v>
      </c>
      <c r="H50" s="31">
        <f>G50-D50</f>
        <v>-0.27999999999999936</v>
      </c>
      <c r="I50" s="32">
        <f>IF(ISERROR(H50/D50),0,(H50/D50))</f>
        <v>3.2498571437081999E-2</v>
      </c>
      <c r="J50" s="32"/>
      <c r="K50" s="60">
        <f>G50/$G$51</f>
        <v>-7.6190476190476183E-2</v>
      </c>
    </row>
    <row r="51" spans="1:11" ht="13.5" thickBot="1" x14ac:dyDescent="0.25">
      <c r="A51" s="63" t="s">
        <v>116</v>
      </c>
      <c r="B51" s="64"/>
      <c r="C51" s="65"/>
      <c r="D51" s="65">
        <f>SUM(D49:D50)</f>
        <v>113.08189367999999</v>
      </c>
      <c r="E51" s="65"/>
      <c r="F51" s="65"/>
      <c r="G51" s="65">
        <f>SUM(G49:G50)</f>
        <v>116.75689367999999</v>
      </c>
      <c r="H51" s="65">
        <f>G51-D51</f>
        <v>3.6749999999999972</v>
      </c>
      <c r="I51" s="66">
        <f>IF(ISERROR(H51/D51),0,(H51/D51))</f>
        <v>3.2498571437082055E-2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K68"/>
  <sheetViews>
    <sheetView tabSelected="1" view="pageBreakPreview" zoomScaleNormal="100" zoomScaleSheetLayoutView="100" workbookViewId="0">
      <selection activeCell="C3" sqref="C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118</v>
      </c>
      <c r="B1" s="188"/>
      <c r="C1" s="188"/>
      <c r="D1" s="188"/>
      <c r="E1" s="188"/>
      <c r="F1" s="188"/>
      <c r="G1" s="188"/>
      <c r="H1" s="188"/>
      <c r="I1" s="188"/>
      <c r="J1" s="188"/>
      <c r="K1" s="189"/>
    </row>
    <row r="3" spans="1:11" x14ac:dyDescent="0.2">
      <c r="A3" s="13" t="s">
        <v>13</v>
      </c>
      <c r="B3" s="13" t="s">
        <v>1</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68">
        <f>B4*B6</f>
        <v>807</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0.3603826424285933</v>
      </c>
      <c r="K12" s="106"/>
    </row>
    <row r="13" spans="1:11" x14ac:dyDescent="0.2">
      <c r="A13" s="107" t="s">
        <v>32</v>
      </c>
      <c r="B13" s="73">
        <f>IF(B4&gt;B7,(B4)-B7,0)</f>
        <v>150</v>
      </c>
      <c r="C13" s="21">
        <v>0.121</v>
      </c>
      <c r="D13" s="22">
        <f>B13*C13</f>
        <v>18.149999999999999</v>
      </c>
      <c r="E13" s="73">
        <f t="shared" ref="E13" si="0">B13</f>
        <v>150</v>
      </c>
      <c r="F13" s="21">
        <f>C13</f>
        <v>0.121</v>
      </c>
      <c r="G13" s="22">
        <f>E13*F13</f>
        <v>18.149999999999999</v>
      </c>
      <c r="H13" s="22">
        <f t="shared" ref="H13:H46" si="1">G13-D13</f>
        <v>0</v>
      </c>
      <c r="I13" s="23">
        <f t="shared" ref="I13:I46" si="2">IF(ISERROR(H13/D13),0,(H13/D13))</f>
        <v>0</v>
      </c>
      <c r="J13" s="23">
        <f>G13/$G$46</f>
        <v>0.10584053333461114</v>
      </c>
      <c r="K13" s="108"/>
    </row>
    <row r="14" spans="1:11" s="1" customFormat="1" x14ac:dyDescent="0.2">
      <c r="A14" s="46" t="s">
        <v>33</v>
      </c>
      <c r="B14" s="24"/>
      <c r="C14" s="25"/>
      <c r="D14" s="25">
        <f>SUM(D12:D13)</f>
        <v>79.949999999999989</v>
      </c>
      <c r="E14" s="76"/>
      <c r="F14" s="25"/>
      <c r="G14" s="25">
        <f>SUM(G12:G13)</f>
        <v>79.949999999999989</v>
      </c>
      <c r="H14" s="25">
        <f t="shared" si="1"/>
        <v>0</v>
      </c>
      <c r="I14" s="27">
        <f t="shared" si="2"/>
        <v>0</v>
      </c>
      <c r="J14" s="27">
        <f>G14/$G$46</f>
        <v>0.46622317576320443</v>
      </c>
      <c r="K14" s="108"/>
    </row>
    <row r="15" spans="1:11" s="1" customFormat="1" x14ac:dyDescent="0.2">
      <c r="A15" s="109" t="s">
        <v>34</v>
      </c>
      <c r="B15" s="75">
        <f>B4*0.65</f>
        <v>487.5</v>
      </c>
      <c r="C15" s="28">
        <v>8.6999999999999994E-2</v>
      </c>
      <c r="D15" s="22">
        <f>B15*C15</f>
        <v>42.412499999999994</v>
      </c>
      <c r="E15" s="73">
        <f t="shared" ref="E15:F17" si="3">B15</f>
        <v>487.5</v>
      </c>
      <c r="F15" s="28">
        <f t="shared" si="3"/>
        <v>8.6999999999999994E-2</v>
      </c>
      <c r="G15" s="22">
        <f>E15*F15</f>
        <v>42.412499999999994</v>
      </c>
      <c r="H15" s="22">
        <f t="shared" si="1"/>
        <v>0</v>
      </c>
      <c r="I15" s="23">
        <f t="shared" si="2"/>
        <v>0</v>
      </c>
      <c r="J15" s="23"/>
      <c r="K15" s="108">
        <f t="shared" ref="K15:K26" si="4">G15/$G$51</f>
        <v>0.24279922731986076</v>
      </c>
    </row>
    <row r="16" spans="1:11" s="1" customFormat="1" x14ac:dyDescent="0.2">
      <c r="A16" s="109" t="s">
        <v>35</v>
      </c>
      <c r="B16" s="75">
        <f>B4*0.17</f>
        <v>127.50000000000001</v>
      </c>
      <c r="C16" s="28">
        <v>0.13200000000000001</v>
      </c>
      <c r="D16" s="22">
        <f>B16*C16</f>
        <v>16.830000000000002</v>
      </c>
      <c r="E16" s="73">
        <f t="shared" si="3"/>
        <v>127.50000000000001</v>
      </c>
      <c r="F16" s="28">
        <f t="shared" si="3"/>
        <v>0.13200000000000001</v>
      </c>
      <c r="G16" s="22">
        <f>E16*F16</f>
        <v>16.830000000000002</v>
      </c>
      <c r="H16" s="22">
        <f t="shared" si="1"/>
        <v>0</v>
      </c>
      <c r="I16" s="23">
        <f t="shared" si="2"/>
        <v>0</v>
      </c>
      <c r="J16" s="23"/>
      <c r="K16" s="108">
        <f t="shared" si="4"/>
        <v>9.6346855191117187E-2</v>
      </c>
    </row>
    <row r="17" spans="1:11" s="1" customFormat="1" x14ac:dyDescent="0.2">
      <c r="A17" s="109" t="s">
        <v>36</v>
      </c>
      <c r="B17" s="75">
        <f>B4*0.18</f>
        <v>135</v>
      </c>
      <c r="C17" s="28">
        <v>0.18</v>
      </c>
      <c r="D17" s="22">
        <f>B17*C17</f>
        <v>24.3</v>
      </c>
      <c r="E17" s="73">
        <f t="shared" si="3"/>
        <v>135</v>
      </c>
      <c r="F17" s="28">
        <f t="shared" si="3"/>
        <v>0.18</v>
      </c>
      <c r="G17" s="22">
        <f>E17*F17</f>
        <v>24.3</v>
      </c>
      <c r="H17" s="22">
        <f t="shared" si="1"/>
        <v>0</v>
      </c>
      <c r="I17" s="23">
        <f t="shared" si="2"/>
        <v>0</v>
      </c>
      <c r="J17" s="23"/>
      <c r="K17" s="108">
        <f t="shared" si="4"/>
        <v>0.13911043262888576</v>
      </c>
    </row>
    <row r="18" spans="1:11" s="1" customFormat="1" x14ac:dyDescent="0.2">
      <c r="A18" s="61" t="s">
        <v>37</v>
      </c>
      <c r="B18" s="29"/>
      <c r="C18" s="30"/>
      <c r="D18" s="30">
        <f>SUM(D15:D17)</f>
        <v>83.54249999999999</v>
      </c>
      <c r="E18" s="77"/>
      <c r="F18" s="30"/>
      <c r="G18" s="30">
        <f>SUM(G15:G17)</f>
        <v>83.54249999999999</v>
      </c>
      <c r="H18" s="31">
        <f t="shared" si="1"/>
        <v>0</v>
      </c>
      <c r="I18" s="32">
        <f t="shared" si="2"/>
        <v>0</v>
      </c>
      <c r="J18" s="33">
        <f t="shared" ref="J18:J26" si="5">G18/$G$46</f>
        <v>0.48717260364224524</v>
      </c>
      <c r="K18" s="62">
        <f t="shared" si="4"/>
        <v>0.47825651513986367</v>
      </c>
    </row>
    <row r="19" spans="1:11" x14ac:dyDescent="0.2">
      <c r="A19" s="107" t="s">
        <v>38</v>
      </c>
      <c r="B19" s="73">
        <v>1</v>
      </c>
      <c r="C19" s="78">
        <f>VLOOKUP($B$3,'Data for Bill Impacts'!$A$3:$Y$15,7,0)</f>
        <v>42.25</v>
      </c>
      <c r="D19" s="22">
        <f>B19*C19</f>
        <v>42.25</v>
      </c>
      <c r="E19" s="73">
        <f t="shared" ref="E19:E41" si="6">B19</f>
        <v>1</v>
      </c>
      <c r="F19" s="122">
        <f>VLOOKUP($B$3,'Data for Bill Impacts'!$A$3:$Y$15,17,0)</f>
        <v>47.11</v>
      </c>
      <c r="G19" s="22">
        <f>E19*F19</f>
        <v>47.11</v>
      </c>
      <c r="H19" s="22">
        <f t="shared" si="1"/>
        <v>4.8599999999999994</v>
      </c>
      <c r="I19" s="23">
        <f t="shared" si="2"/>
        <v>0.11502958579881656</v>
      </c>
      <c r="J19" s="23">
        <f t="shared" si="5"/>
        <v>0.2747188719225086</v>
      </c>
      <c r="K19" s="108">
        <f t="shared" si="4"/>
        <v>0.26969104860686455</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750</v>
      </c>
      <c r="C23" s="78">
        <f>VLOOKUP($B$3,'Data for Bill Impacts'!$A$3:$Y$15,10,0)</f>
        <v>1.9400000000000001E-2</v>
      </c>
      <c r="D23" s="22">
        <f>B23*C23</f>
        <v>14.55</v>
      </c>
      <c r="E23" s="73">
        <f t="shared" si="6"/>
        <v>750</v>
      </c>
      <c r="F23" s="78">
        <f>VLOOKUP($B$3,'Data for Bill Impacts'!$A$3:$Y$15,19,0)</f>
        <v>1.6E-2</v>
      </c>
      <c r="G23" s="22">
        <f>E23*F23</f>
        <v>12</v>
      </c>
      <c r="H23" s="22">
        <f t="shared" si="1"/>
        <v>-2.5500000000000007</v>
      </c>
      <c r="I23" s="23">
        <f t="shared" si="2"/>
        <v>-0.17525773195876293</v>
      </c>
      <c r="J23" s="23">
        <f t="shared" si="5"/>
        <v>6.9977212122056959E-2</v>
      </c>
      <c r="K23" s="108">
        <f t="shared" si="4"/>
        <v>6.8696509940190498E-2</v>
      </c>
    </row>
    <row r="24" spans="1:11" x14ac:dyDescent="0.2">
      <c r="A24" s="107" t="s">
        <v>121</v>
      </c>
      <c r="B24" s="73">
        <f>IF($B$9="kWh",$B$4,$B$5)</f>
        <v>750</v>
      </c>
      <c r="C24" s="126">
        <f>VLOOKUP($B$3,'Data for Bill Impacts'!$A$3:$Y$15,14,0)</f>
        <v>2.0000000000000001E-4</v>
      </c>
      <c r="D24" s="22">
        <f>B24*C24</f>
        <v>0.15</v>
      </c>
      <c r="E24" s="73">
        <f>B24</f>
        <v>750</v>
      </c>
      <c r="F24" s="126">
        <f>VLOOKUP($B$3,'Data for Bill Impacts'!$A$3:$Y$15,23,0)</f>
        <v>2.0000000000000001E-4</v>
      </c>
      <c r="G24" s="22">
        <f>E24*F24</f>
        <v>0.15</v>
      </c>
      <c r="H24" s="22">
        <f>G24-D24</f>
        <v>0</v>
      </c>
      <c r="I24" s="23">
        <f>IF(ISERROR(H24/D24),0,(H24/D24))</f>
        <v>0</v>
      </c>
      <c r="J24" s="23">
        <f t="shared" si="5"/>
        <v>8.7471515152571198E-4</v>
      </c>
      <c r="K24" s="108">
        <f t="shared" si="4"/>
        <v>8.5870637425238124E-4</v>
      </c>
    </row>
    <row r="25" spans="1:11" s="1" customFormat="1" x14ac:dyDescent="0.2">
      <c r="A25" s="110" t="s">
        <v>72</v>
      </c>
      <c r="B25" s="74"/>
      <c r="C25" s="35"/>
      <c r="D25" s="35">
        <f>SUM(D19:D24)</f>
        <v>56.949999999999996</v>
      </c>
      <c r="E25" s="73"/>
      <c r="F25" s="35"/>
      <c r="G25" s="35">
        <f>SUM(G19:G24)</f>
        <v>59.26</v>
      </c>
      <c r="H25" s="35">
        <f t="shared" si="1"/>
        <v>2.3100000000000023</v>
      </c>
      <c r="I25" s="36">
        <f t="shared" si="2"/>
        <v>4.0561896400351231E-2</v>
      </c>
      <c r="J25" s="36">
        <f t="shared" si="5"/>
        <v>0.34557079919609124</v>
      </c>
      <c r="K25" s="111">
        <f t="shared" si="4"/>
        <v>0.33924626492130738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4.6068331313687495E-3</v>
      </c>
      <c r="K26" s="108">
        <f t="shared" si="4"/>
        <v>4.5225202377292082E-3</v>
      </c>
    </row>
    <row r="27" spans="1:11" s="1" customFormat="1" x14ac:dyDescent="0.2">
      <c r="A27" s="119" t="s">
        <v>75</v>
      </c>
      <c r="B27" s="120">
        <f>B8-B4</f>
        <v>57</v>
      </c>
      <c r="C27" s="121">
        <f>IF(B4&gt;B7,C13,C12)</f>
        <v>0.121</v>
      </c>
      <c r="D27" s="22">
        <f>B27*C27</f>
        <v>6.8970000000000002</v>
      </c>
      <c r="E27" s="73">
        <f>B27</f>
        <v>57</v>
      </c>
      <c r="F27" s="121">
        <f>C27</f>
        <v>0.121</v>
      </c>
      <c r="G27" s="22">
        <f>E27*F27</f>
        <v>6.8970000000000002</v>
      </c>
      <c r="H27" s="22">
        <f t="shared" si="1"/>
        <v>0</v>
      </c>
      <c r="I27" s="23">
        <f>IF(ISERROR(H27/D27),0,(H27/D27))</f>
        <v>0</v>
      </c>
      <c r="J27" s="23">
        <f t="shared" ref="J27:J46" si="9">G27/$G$46</f>
        <v>4.0219402667152238E-2</v>
      </c>
      <c r="K27" s="108">
        <f t="shared" ref="K27:K41" si="10">G27/$G$51</f>
        <v>3.948331908812449E-2</v>
      </c>
    </row>
    <row r="28" spans="1:11" s="1" customFormat="1" x14ac:dyDescent="0.2">
      <c r="A28" s="119" t="s">
        <v>74</v>
      </c>
      <c r="B28" s="120">
        <f>B8-B4</f>
        <v>57</v>
      </c>
      <c r="C28" s="121">
        <f>0.65*C15+0.17*C16+0.18*C17</f>
        <v>0.11139</v>
      </c>
      <c r="D28" s="22">
        <f>B28*C28</f>
        <v>6.3492300000000004</v>
      </c>
      <c r="E28" s="73">
        <f>B28</f>
        <v>57</v>
      </c>
      <c r="F28" s="121">
        <f>C28</f>
        <v>0.11139</v>
      </c>
      <c r="G28" s="22">
        <f>E28*F28</f>
        <v>6.3492300000000004</v>
      </c>
      <c r="H28" s="22">
        <f t="shared" si="1"/>
        <v>0</v>
      </c>
      <c r="I28" s="23">
        <f>IF(ISERROR(H28/D28),0,(H28/D28))</f>
        <v>0</v>
      </c>
      <c r="J28" s="23">
        <f t="shared" si="9"/>
        <v>3.7025117876810641E-2</v>
      </c>
      <c r="K28" s="108">
        <f t="shared" si="10"/>
        <v>3.6347495150629648E-2</v>
      </c>
    </row>
    <row r="29" spans="1:11" s="1" customFormat="1" x14ac:dyDescent="0.2">
      <c r="A29" s="110" t="s">
        <v>78</v>
      </c>
      <c r="B29" s="74"/>
      <c r="C29" s="35"/>
      <c r="D29" s="35">
        <f>SUM(D25,D26:D27)</f>
        <v>64.637</v>
      </c>
      <c r="E29" s="73"/>
      <c r="F29" s="35"/>
      <c r="G29" s="35">
        <f>SUM(G25,G26:G27)</f>
        <v>66.947000000000003</v>
      </c>
      <c r="H29" s="35">
        <f t="shared" si="1"/>
        <v>2.3100000000000023</v>
      </c>
      <c r="I29" s="36">
        <f>IF(ISERROR(H29/D29),0,(H29/D29))</f>
        <v>3.5738044773117601E-2</v>
      </c>
      <c r="J29" s="36">
        <f t="shared" si="9"/>
        <v>0.39039703499461226</v>
      </c>
      <c r="K29" s="111">
        <f t="shared" si="10"/>
        <v>0.38325210424716111</v>
      </c>
    </row>
    <row r="30" spans="1:11" s="1" customFormat="1" x14ac:dyDescent="0.2">
      <c r="A30" s="110" t="s">
        <v>77</v>
      </c>
      <c r="B30" s="74"/>
      <c r="C30" s="35"/>
      <c r="D30" s="35">
        <f>SUM(D25,D26,D28)</f>
        <v>64.089230000000001</v>
      </c>
      <c r="E30" s="73"/>
      <c r="F30" s="35"/>
      <c r="G30" s="35">
        <f>SUM(G25,G26,G28)</f>
        <v>66.399230000000003</v>
      </c>
      <c r="H30" s="35">
        <f t="shared" si="1"/>
        <v>2.3100000000000023</v>
      </c>
      <c r="I30" s="36">
        <f>IF(ISERROR(H30/D30),0,(H30/D30))</f>
        <v>3.6043497479997848E-2</v>
      </c>
      <c r="J30" s="36">
        <f t="shared" si="9"/>
        <v>0.3872027502042707</v>
      </c>
      <c r="K30" s="111">
        <f t="shared" si="10"/>
        <v>0.38011628030966627</v>
      </c>
    </row>
    <row r="31" spans="1:11" x14ac:dyDescent="0.2">
      <c r="A31" s="107" t="s">
        <v>40</v>
      </c>
      <c r="B31" s="73">
        <f>B8</f>
        <v>807</v>
      </c>
      <c r="C31" s="126">
        <f>VLOOKUP($B$3,'Data for Bill Impacts'!$A$3:$Y$15,15,0)</f>
        <v>7.2069999999999999E-3</v>
      </c>
      <c r="D31" s="22">
        <f>B31*C31</f>
        <v>5.8160489999999996</v>
      </c>
      <c r="E31" s="73">
        <f t="shared" si="6"/>
        <v>807</v>
      </c>
      <c r="F31" s="126">
        <f>VLOOKUP($B$3,'Data for Bill Impacts'!$A$3:$Y$15,24,0)</f>
        <v>7.2069999999999999E-3</v>
      </c>
      <c r="G31" s="22">
        <f>E31*F31</f>
        <v>5.8160489999999996</v>
      </c>
      <c r="H31" s="22">
        <f t="shared" si="1"/>
        <v>0</v>
      </c>
      <c r="I31" s="23">
        <f t="shared" si="2"/>
        <v>0</v>
      </c>
      <c r="J31" s="23">
        <f t="shared" si="9"/>
        <v>3.3915907882106432E-2</v>
      </c>
      <c r="K31" s="108">
        <f t="shared" si="10"/>
        <v>3.329518899509458E-2</v>
      </c>
    </row>
    <row r="32" spans="1:11" x14ac:dyDescent="0.2">
      <c r="A32" s="107" t="s">
        <v>41</v>
      </c>
      <c r="B32" s="73">
        <f>B8</f>
        <v>807</v>
      </c>
      <c r="C32" s="126">
        <f>VLOOKUP($B$3,'Data for Bill Impacts'!$A$3:$Y$15,16,0)</f>
        <v>6.0319999999999992E-3</v>
      </c>
      <c r="D32" s="22">
        <f>B32*C32</f>
        <v>4.8678239999999997</v>
      </c>
      <c r="E32" s="73">
        <f t="shared" si="6"/>
        <v>807</v>
      </c>
      <c r="F32" s="126">
        <f>VLOOKUP($B$3,'Data for Bill Impacts'!$A$3:$Y$15,25,0)</f>
        <v>6.0319999999999992E-3</v>
      </c>
      <c r="G32" s="22">
        <f>E32*F32</f>
        <v>4.8678239999999997</v>
      </c>
      <c r="H32" s="22">
        <f t="shared" si="1"/>
        <v>0</v>
      </c>
      <c r="I32" s="23">
        <f t="shared" si="2"/>
        <v>0</v>
      </c>
      <c r="J32" s="23">
        <f t="shared" si="9"/>
        <v>2.8386396051736647E-2</v>
      </c>
      <c r="K32" s="108">
        <f t="shared" si="10"/>
        <v>2.7866876650258155E-2</v>
      </c>
    </row>
    <row r="33" spans="1:11" s="1" customFormat="1" x14ac:dyDescent="0.2">
      <c r="A33" s="110" t="s">
        <v>76</v>
      </c>
      <c r="B33" s="74"/>
      <c r="C33" s="35"/>
      <c r="D33" s="35">
        <f>SUM(D31:D32)</f>
        <v>10.683872999999998</v>
      </c>
      <c r="E33" s="73"/>
      <c r="F33" s="35"/>
      <c r="G33" s="35">
        <f>SUM(G31:G32)</f>
        <v>10.683872999999998</v>
      </c>
      <c r="H33" s="35">
        <f t="shared" si="1"/>
        <v>0</v>
      </c>
      <c r="I33" s="36">
        <f t="shared" si="2"/>
        <v>0</v>
      </c>
      <c r="J33" s="36">
        <f t="shared" si="9"/>
        <v>6.2302303933843076E-2</v>
      </c>
      <c r="K33" s="111">
        <f t="shared" si="10"/>
        <v>6.1162065645352731E-2</v>
      </c>
    </row>
    <row r="34" spans="1:11" s="1" customFormat="1" x14ac:dyDescent="0.2">
      <c r="A34" s="110" t="s">
        <v>91</v>
      </c>
      <c r="B34" s="74"/>
      <c r="C34" s="35"/>
      <c r="D34" s="35">
        <f>D29+D33</f>
        <v>75.320873000000006</v>
      </c>
      <c r="E34" s="73"/>
      <c r="F34" s="35"/>
      <c r="G34" s="35">
        <f>G29+G33</f>
        <v>77.630873000000008</v>
      </c>
      <c r="H34" s="35">
        <f t="shared" si="1"/>
        <v>2.3100000000000023</v>
      </c>
      <c r="I34" s="36">
        <f t="shared" si="2"/>
        <v>3.0668789513366396E-2</v>
      </c>
      <c r="J34" s="36">
        <f t="shared" si="9"/>
        <v>0.45269933892845537</v>
      </c>
      <c r="K34" s="111">
        <f t="shared" si="10"/>
        <v>0.44441416989251392</v>
      </c>
    </row>
    <row r="35" spans="1:11" s="1" customFormat="1" x14ac:dyDescent="0.2">
      <c r="A35" s="110" t="s">
        <v>92</v>
      </c>
      <c r="B35" s="74"/>
      <c r="C35" s="35"/>
      <c r="D35" s="35">
        <f>D30+D33</f>
        <v>74.773102999999992</v>
      </c>
      <c r="E35" s="73"/>
      <c r="F35" s="35"/>
      <c r="G35" s="35">
        <f>G30+G33</f>
        <v>77.083102999999994</v>
      </c>
      <c r="H35" s="35">
        <f t="shared" si="1"/>
        <v>2.3100000000000023</v>
      </c>
      <c r="I35" s="36">
        <f t="shared" si="2"/>
        <v>3.0893461783978692E-2</v>
      </c>
      <c r="J35" s="36">
        <f t="shared" si="9"/>
        <v>0.4495050541381137</v>
      </c>
      <c r="K35" s="111">
        <f t="shared" si="10"/>
        <v>0.44127834595501897</v>
      </c>
    </row>
    <row r="36" spans="1:11" x14ac:dyDescent="0.2">
      <c r="A36" s="107" t="s">
        <v>42</v>
      </c>
      <c r="B36" s="73">
        <f>B8</f>
        <v>807</v>
      </c>
      <c r="C36" s="34">
        <v>3.5999999999999999E-3</v>
      </c>
      <c r="D36" s="22">
        <f>B36*C36</f>
        <v>2.9051999999999998</v>
      </c>
      <c r="E36" s="73">
        <f t="shared" si="6"/>
        <v>807</v>
      </c>
      <c r="F36" s="34">
        <v>3.5999999999999999E-3</v>
      </c>
      <c r="G36" s="22">
        <f>E36*F36</f>
        <v>2.9051999999999998</v>
      </c>
      <c r="H36" s="22">
        <f t="shared" si="1"/>
        <v>0</v>
      </c>
      <c r="I36" s="23">
        <f t="shared" si="2"/>
        <v>0</v>
      </c>
      <c r="J36" s="23">
        <f t="shared" si="9"/>
        <v>1.694148305474999E-2</v>
      </c>
      <c r="K36" s="108">
        <f t="shared" si="10"/>
        <v>1.663142505652012E-2</v>
      </c>
    </row>
    <row r="37" spans="1:11" x14ac:dyDescent="0.2">
      <c r="A37" s="107" t="s">
        <v>43</v>
      </c>
      <c r="B37" s="73">
        <f>B8</f>
        <v>807</v>
      </c>
      <c r="C37" s="34">
        <v>2.0999999999999999E-3</v>
      </c>
      <c r="D37" s="22">
        <f>B37*C37</f>
        <v>1.6946999999999999</v>
      </c>
      <c r="E37" s="73">
        <f t="shared" si="6"/>
        <v>807</v>
      </c>
      <c r="F37" s="34">
        <v>2.0999999999999999E-3</v>
      </c>
      <c r="G37" s="22">
        <f>E37*F37</f>
        <v>1.6946999999999999</v>
      </c>
      <c r="H37" s="22">
        <f>G37-D37</f>
        <v>0</v>
      </c>
      <c r="I37" s="23">
        <f t="shared" si="2"/>
        <v>0</v>
      </c>
      <c r="J37" s="23">
        <f t="shared" si="9"/>
        <v>9.8825317819374939E-3</v>
      </c>
      <c r="K37" s="108">
        <f t="shared" si="10"/>
        <v>9.7016646163034029E-3</v>
      </c>
    </row>
    <row r="38" spans="1:11" x14ac:dyDescent="0.2">
      <c r="A38" s="107" t="s">
        <v>96</v>
      </c>
      <c r="B38" s="73">
        <f>B8</f>
        <v>807</v>
      </c>
      <c r="C38" s="34">
        <v>1.1000000000000001E-3</v>
      </c>
      <c r="D38" s="22">
        <f>B38*C38</f>
        <v>0.88770000000000004</v>
      </c>
      <c r="E38" s="73">
        <f t="shared" si="6"/>
        <v>807</v>
      </c>
      <c r="F38" s="34">
        <v>1.1000000000000001E-3</v>
      </c>
      <c r="G38" s="22">
        <f>E38*F38</f>
        <v>0.88770000000000004</v>
      </c>
      <c r="H38" s="22">
        <f>G38-D38</f>
        <v>0</v>
      </c>
      <c r="I38" s="23">
        <f t="shared" ref="I38" si="11">IF(ISERROR(H38/D38),0,(H38/D38))</f>
        <v>0</v>
      </c>
      <c r="J38" s="23">
        <f t="shared" ref="J38" si="12">G38/$G$46</f>
        <v>5.1765642667291637E-3</v>
      </c>
      <c r="K38" s="108">
        <f t="shared" ref="K38" si="13">G38/$G$51</f>
        <v>5.0818243228255922E-3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1.4578585858761866E-3</v>
      </c>
      <c r="K39" s="108">
        <f t="shared" si="10"/>
        <v>1.4311772904206353E-3</v>
      </c>
    </row>
    <row r="40" spans="1:11" s="1" customFormat="1" x14ac:dyDescent="0.2">
      <c r="A40" s="110" t="s">
        <v>45</v>
      </c>
      <c r="B40" s="74"/>
      <c r="C40" s="35"/>
      <c r="D40" s="35">
        <f>SUM(D36:D39)</f>
        <v>5.7375999999999996</v>
      </c>
      <c r="E40" s="73"/>
      <c r="F40" s="35"/>
      <c r="G40" s="35">
        <f>SUM(G36:G39)</f>
        <v>5.7375999999999996</v>
      </c>
      <c r="H40" s="35">
        <f t="shared" si="1"/>
        <v>0</v>
      </c>
      <c r="I40" s="36">
        <f t="shared" si="2"/>
        <v>0</v>
      </c>
      <c r="J40" s="36">
        <f t="shared" si="9"/>
        <v>3.3458437689292832E-2</v>
      </c>
      <c r="K40" s="111">
        <f t="shared" si="10"/>
        <v>3.2846091286069745E-2</v>
      </c>
    </row>
    <row r="41" spans="1:11" s="1" customFormat="1" ht="13.5" thickBot="1" x14ac:dyDescent="0.25">
      <c r="A41" s="112" t="s">
        <v>46</v>
      </c>
      <c r="B41" s="113">
        <f>B4</f>
        <v>750</v>
      </c>
      <c r="C41" s="114">
        <v>0</v>
      </c>
      <c r="D41" s="115">
        <f>B41*C41</f>
        <v>0</v>
      </c>
      <c r="E41" s="116">
        <f t="shared" si="6"/>
        <v>750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161.00847299999995</v>
      </c>
      <c r="E42" s="38"/>
      <c r="F42" s="39"/>
      <c r="G42" s="39">
        <f>SUM(G14,G25,G26,G27,G33,G40,G41)</f>
        <v>163.31847299999995</v>
      </c>
      <c r="H42" s="39">
        <f t="shared" si="1"/>
        <v>2.3100000000000023</v>
      </c>
      <c r="I42" s="40">
        <f>IF(ISERROR(H42/D42),0,(H42/D42))</f>
        <v>1.4347071038926025E-2</v>
      </c>
      <c r="J42" s="40">
        <f t="shared" si="9"/>
        <v>0.95238095238095244</v>
      </c>
      <c r="K42" s="41"/>
    </row>
    <row r="43" spans="1:11" x14ac:dyDescent="0.2">
      <c r="A43" s="154" t="s">
        <v>102</v>
      </c>
      <c r="B43" s="43"/>
      <c r="C43" s="26">
        <v>0.13</v>
      </c>
      <c r="D43" s="26">
        <f>D42*C43</f>
        <v>20.931101489999996</v>
      </c>
      <c r="E43" s="26"/>
      <c r="F43" s="26">
        <f>C43</f>
        <v>0.13</v>
      </c>
      <c r="G43" s="26">
        <f>G42*F43</f>
        <v>21.231401489999996</v>
      </c>
      <c r="H43" s="26">
        <f t="shared" si="1"/>
        <v>0.30030000000000001</v>
      </c>
      <c r="I43" s="44">
        <f t="shared" si="2"/>
        <v>1.4347071038926011E-2</v>
      </c>
      <c r="J43" s="44">
        <f t="shared" si="9"/>
        <v>0.12380952380952383</v>
      </c>
      <c r="K43" s="45"/>
    </row>
    <row r="44" spans="1:11" s="1" customFormat="1" x14ac:dyDescent="0.2">
      <c r="A44" s="46" t="s">
        <v>103</v>
      </c>
      <c r="B44" s="24"/>
      <c r="C44" s="25"/>
      <c r="D44" s="25">
        <f>SUM(D42:D43)</f>
        <v>181.93957448999996</v>
      </c>
      <c r="E44" s="25"/>
      <c r="F44" s="25"/>
      <c r="G44" s="25">
        <f>SUM(G42:G43)</f>
        <v>184.54987448999995</v>
      </c>
      <c r="H44" s="25">
        <f t="shared" si="1"/>
        <v>2.6102999999999952</v>
      </c>
      <c r="I44" s="27">
        <f t="shared" si="2"/>
        <v>1.4347071038925985E-2</v>
      </c>
      <c r="J44" s="27">
        <f t="shared" si="9"/>
        <v>1.0761904761904761</v>
      </c>
      <c r="K44" s="47"/>
    </row>
    <row r="45" spans="1:11" x14ac:dyDescent="0.2">
      <c r="A45" s="42" t="s">
        <v>104</v>
      </c>
      <c r="B45" s="43"/>
      <c r="C45" s="26">
        <v>-0.08</v>
      </c>
      <c r="D45" s="26">
        <f>D42*C45</f>
        <v>-12.880677839999997</v>
      </c>
      <c r="E45" s="26"/>
      <c r="F45" s="26">
        <f>C45</f>
        <v>-0.08</v>
      </c>
      <c r="G45" s="26">
        <f>G42*F45</f>
        <v>-13.065477839999996</v>
      </c>
      <c r="H45" s="26">
        <f t="shared" si="1"/>
        <v>-0.18479999999999919</v>
      </c>
      <c r="I45" s="44">
        <f t="shared" si="2"/>
        <v>1.4347071038925947E-2</v>
      </c>
      <c r="J45" s="44">
        <f t="shared" si="9"/>
        <v>-7.6190476190476183E-2</v>
      </c>
      <c r="K45" s="45"/>
    </row>
    <row r="46" spans="1:11" s="1" customFormat="1" ht="13.5" thickBot="1" x14ac:dyDescent="0.25">
      <c r="A46" s="48" t="s">
        <v>105</v>
      </c>
      <c r="B46" s="49"/>
      <c r="C46" s="50"/>
      <c r="D46" s="50">
        <f>SUM(D44:D45)</f>
        <v>169.05889664999995</v>
      </c>
      <c r="E46" s="50"/>
      <c r="F46" s="50"/>
      <c r="G46" s="50">
        <f>SUM(G44:G45)</f>
        <v>171.48439664999995</v>
      </c>
      <c r="H46" s="50">
        <f t="shared" si="1"/>
        <v>2.4254999999999995</v>
      </c>
      <c r="I46" s="51">
        <f t="shared" si="2"/>
        <v>1.4347071038926009E-2</v>
      </c>
      <c r="J46" s="51">
        <f t="shared" si="9"/>
        <v>1</v>
      </c>
      <c r="K46" s="52"/>
    </row>
    <row r="47" spans="1:11" x14ac:dyDescent="0.2">
      <c r="A47" s="53" t="s">
        <v>106</v>
      </c>
      <c r="B47" s="54"/>
      <c r="C47" s="55"/>
      <c r="D47" s="55">
        <f>SUM(D18,D25,D26,D28,D33,D40,D41)</f>
        <v>164.05320299999997</v>
      </c>
      <c r="E47" s="55"/>
      <c r="F47" s="55"/>
      <c r="G47" s="55">
        <f>SUM(G18,G25,G26,G28,G33,G40,G41)</f>
        <v>166.36320299999997</v>
      </c>
      <c r="H47" s="55">
        <f>G47-D47</f>
        <v>2.3100000000000023</v>
      </c>
      <c r="I47" s="56">
        <f>IF(ISERROR(H47/D47),0,(H47/D47))</f>
        <v>1.4080797922610525E-2</v>
      </c>
      <c r="J47" s="56"/>
      <c r="K47" s="57">
        <f>G47/$G$51</f>
        <v>0.95238095238095233</v>
      </c>
    </row>
    <row r="48" spans="1:11" x14ac:dyDescent="0.2">
      <c r="A48" s="58" t="s">
        <v>102</v>
      </c>
      <c r="B48" s="59"/>
      <c r="C48" s="31">
        <v>0.13</v>
      </c>
      <c r="D48" s="31">
        <f>D47*C48</f>
        <v>21.326916389999997</v>
      </c>
      <c r="E48" s="31"/>
      <c r="F48" s="31">
        <f>C48</f>
        <v>0.13</v>
      </c>
      <c r="G48" s="31">
        <f>G47*F48</f>
        <v>21.627216389999997</v>
      </c>
      <c r="H48" s="31">
        <f>G48-D48</f>
        <v>0.30030000000000001</v>
      </c>
      <c r="I48" s="32">
        <f>IF(ISERROR(H48/D48),0,(H48/D48))</f>
        <v>1.4080797922610511E-2</v>
      </c>
      <c r="J48" s="32"/>
      <c r="K48" s="60">
        <f>G48/$G$51</f>
        <v>0.12380952380952381</v>
      </c>
    </row>
    <row r="49" spans="1:11" x14ac:dyDescent="0.2">
      <c r="A49" s="61" t="s">
        <v>107</v>
      </c>
      <c r="B49" s="29"/>
      <c r="C49" s="30"/>
      <c r="D49" s="30">
        <f>SUM(D47:D48)</f>
        <v>185.38011938999998</v>
      </c>
      <c r="E49" s="30"/>
      <c r="F49" s="30"/>
      <c r="G49" s="30">
        <f>SUM(G47:G48)</f>
        <v>187.99041938999997</v>
      </c>
      <c r="H49" s="30">
        <f>G49-D49</f>
        <v>2.6102999999999952</v>
      </c>
      <c r="I49" s="33">
        <f>IF(ISERROR(H49/D49),0,(H49/D49))</f>
        <v>1.4080797922610484E-2</v>
      </c>
      <c r="J49" s="33"/>
      <c r="K49" s="62">
        <f>G49/$G$51</f>
        <v>1.0761904761904761</v>
      </c>
    </row>
    <row r="50" spans="1:11" x14ac:dyDescent="0.2">
      <c r="A50" s="58" t="s">
        <v>104</v>
      </c>
      <c r="B50" s="59"/>
      <c r="C50" s="31">
        <v>-0.08</v>
      </c>
      <c r="D50" s="31">
        <f>D47*C50</f>
        <v>-13.124256239999998</v>
      </c>
      <c r="E50" s="31"/>
      <c r="F50" s="31">
        <f>C50</f>
        <v>-0.08</v>
      </c>
      <c r="G50" s="31">
        <f>G47*F50</f>
        <v>-13.309056239999999</v>
      </c>
      <c r="H50" s="31">
        <f>G50-D50</f>
        <v>-0.18480000000000096</v>
      </c>
      <c r="I50" s="32">
        <f>IF(ISERROR(H50/D50),0,(H50/D50))</f>
        <v>1.4080797922610584E-2</v>
      </c>
      <c r="J50" s="32"/>
      <c r="K50" s="60">
        <f>G50/$G$51</f>
        <v>-7.6190476190476183E-2</v>
      </c>
    </row>
    <row r="51" spans="1:11" ht="13.5" thickBot="1" x14ac:dyDescent="0.25">
      <c r="A51" s="63" t="s">
        <v>116</v>
      </c>
      <c r="B51" s="64"/>
      <c r="C51" s="65"/>
      <c r="D51" s="65">
        <f>SUM(D49:D50)</f>
        <v>172.25586314999998</v>
      </c>
      <c r="E51" s="65"/>
      <c r="F51" s="65"/>
      <c r="G51" s="65">
        <f>SUM(G49:G50)</f>
        <v>174.68136314999998</v>
      </c>
      <c r="H51" s="65">
        <f>G51-D51</f>
        <v>2.4254999999999995</v>
      </c>
      <c r="I51" s="66">
        <f>IF(ISERROR(H51/D51),0,(H51/D51))</f>
        <v>1.4080797922610508E-2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1" tint="0.499984740745262"/>
    <pageSetUpPr fitToPage="1"/>
  </sheetPr>
  <dimension ref="A1:K68"/>
  <sheetViews>
    <sheetView tabSelected="1" view="pageBreakPreview" zoomScaleNormal="100" zoomScaleSheetLayoutView="100" workbookViewId="0">
      <selection activeCell="C3" sqref="C3"/>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119</v>
      </c>
      <c r="B1" s="188"/>
      <c r="C1" s="188"/>
      <c r="D1" s="188"/>
      <c r="E1" s="188"/>
      <c r="F1" s="188"/>
      <c r="G1" s="188"/>
      <c r="H1" s="188"/>
      <c r="I1" s="188"/>
      <c r="J1" s="188"/>
      <c r="K1" s="189"/>
    </row>
    <row r="3" spans="1:11" x14ac:dyDescent="0.2">
      <c r="A3" s="13" t="s">
        <v>13</v>
      </c>
      <c r="B3" s="13" t="s">
        <v>1</v>
      </c>
    </row>
    <row r="4" spans="1:11" x14ac:dyDescent="0.2">
      <c r="A4" s="15" t="s">
        <v>62</v>
      </c>
      <c r="B4" s="15">
        <f>VLOOKUP(B3,'Data for Bill Impacts'!A19:D31,3,FALSE)</f>
        <v>920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68">
        <f>B4*B6</f>
        <v>989.92000000000007</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0.30675319660427036</v>
      </c>
      <c r="K12" s="106"/>
    </row>
    <row r="13" spans="1:11" x14ac:dyDescent="0.2">
      <c r="A13" s="107" t="s">
        <v>32</v>
      </c>
      <c r="B13" s="73">
        <f>IF(B4&gt;B7,(B4)-B7,0)</f>
        <v>320</v>
      </c>
      <c r="C13" s="21">
        <v>0.121</v>
      </c>
      <c r="D13" s="22">
        <f>B13*C13</f>
        <v>38.72</v>
      </c>
      <c r="E13" s="73">
        <f t="shared" ref="E13" si="0">B13</f>
        <v>320</v>
      </c>
      <c r="F13" s="21">
        <f>C13</f>
        <v>0.121</v>
      </c>
      <c r="G13" s="22">
        <f>E13*F13</f>
        <v>38.72</v>
      </c>
      <c r="H13" s="22">
        <f t="shared" ref="H13:H46" si="1">G13-D13</f>
        <v>0</v>
      </c>
      <c r="I13" s="23">
        <f t="shared" ref="I13:I46" si="2">IF(ISERROR(H13/D13),0,(H13/D13))</f>
        <v>0</v>
      </c>
      <c r="J13" s="23">
        <f>G13/$G$46</f>
        <v>0.19219229405367877</v>
      </c>
      <c r="K13" s="108"/>
    </row>
    <row r="14" spans="1:11" s="1" customFormat="1" x14ac:dyDescent="0.2">
      <c r="A14" s="46" t="s">
        <v>33</v>
      </c>
      <c r="B14" s="24"/>
      <c r="C14" s="25"/>
      <c r="D14" s="25">
        <f>SUM(D12:D13)</f>
        <v>100.52</v>
      </c>
      <c r="E14" s="76"/>
      <c r="F14" s="25"/>
      <c r="G14" s="25">
        <f>SUM(G12:G13)</f>
        <v>100.52</v>
      </c>
      <c r="H14" s="25">
        <f t="shared" si="1"/>
        <v>0</v>
      </c>
      <c r="I14" s="27">
        <f t="shared" si="2"/>
        <v>0</v>
      </c>
      <c r="J14" s="27">
        <f>G14/$G$46</f>
        <v>0.49894549065794913</v>
      </c>
      <c r="K14" s="108"/>
    </row>
    <row r="15" spans="1:11" s="1" customFormat="1" x14ac:dyDescent="0.2">
      <c r="A15" s="109" t="s">
        <v>34</v>
      </c>
      <c r="B15" s="75">
        <f>B4*0.65</f>
        <v>598</v>
      </c>
      <c r="C15" s="28">
        <v>8.6999999999999994E-2</v>
      </c>
      <c r="D15" s="22">
        <f>B15*C15</f>
        <v>52.025999999999996</v>
      </c>
      <c r="E15" s="73">
        <f t="shared" ref="E15:F17" si="3">B15</f>
        <v>598</v>
      </c>
      <c r="F15" s="28">
        <f t="shared" si="3"/>
        <v>8.6999999999999994E-2</v>
      </c>
      <c r="G15" s="22">
        <f>E15*F15</f>
        <v>52.025999999999996</v>
      </c>
      <c r="H15" s="22">
        <f t="shared" si="1"/>
        <v>0</v>
      </c>
      <c r="I15" s="23">
        <f t="shared" si="2"/>
        <v>0</v>
      </c>
      <c r="J15" s="23"/>
      <c r="K15" s="108">
        <f t="shared" ref="K15:K26" si="4">G15/$G$51</f>
        <v>0.25651809002532416</v>
      </c>
    </row>
    <row r="16" spans="1:11" s="1" customFormat="1" x14ac:dyDescent="0.2">
      <c r="A16" s="109" t="s">
        <v>35</v>
      </c>
      <c r="B16" s="75">
        <f>B4*0.17</f>
        <v>156.4</v>
      </c>
      <c r="C16" s="28">
        <v>0.13200000000000001</v>
      </c>
      <c r="D16" s="22">
        <f>B16*C16</f>
        <v>20.6448</v>
      </c>
      <c r="E16" s="73">
        <f t="shared" si="3"/>
        <v>156.4</v>
      </c>
      <c r="F16" s="28">
        <f t="shared" si="3"/>
        <v>0.13200000000000001</v>
      </c>
      <c r="G16" s="22">
        <f>E16*F16</f>
        <v>20.6448</v>
      </c>
      <c r="H16" s="22">
        <f t="shared" si="1"/>
        <v>0</v>
      </c>
      <c r="I16" s="23">
        <f t="shared" si="2"/>
        <v>0</v>
      </c>
      <c r="J16" s="23"/>
      <c r="K16" s="108">
        <f t="shared" si="4"/>
        <v>0.10179073280580504</v>
      </c>
    </row>
    <row r="17" spans="1:11" s="1" customFormat="1" x14ac:dyDescent="0.2">
      <c r="A17" s="109" t="s">
        <v>36</v>
      </c>
      <c r="B17" s="75">
        <f>B4*0.18</f>
        <v>165.6</v>
      </c>
      <c r="C17" s="28">
        <v>0.18</v>
      </c>
      <c r="D17" s="22">
        <f>B17*C17</f>
        <v>29.807999999999996</v>
      </c>
      <c r="E17" s="73">
        <f t="shared" si="3"/>
        <v>165.6</v>
      </c>
      <c r="F17" s="28">
        <f t="shared" si="3"/>
        <v>0.18</v>
      </c>
      <c r="G17" s="22">
        <f>E17*F17</f>
        <v>29.807999999999996</v>
      </c>
      <c r="H17" s="22">
        <f t="shared" si="1"/>
        <v>0</v>
      </c>
      <c r="I17" s="23">
        <f t="shared" si="2"/>
        <v>0</v>
      </c>
      <c r="J17" s="23"/>
      <c r="K17" s="108">
        <f t="shared" si="4"/>
        <v>0.14697057677843506</v>
      </c>
    </row>
    <row r="18" spans="1:11" s="1" customFormat="1" x14ac:dyDescent="0.2">
      <c r="A18" s="61" t="s">
        <v>37</v>
      </c>
      <c r="B18" s="29"/>
      <c r="C18" s="30"/>
      <c r="D18" s="30">
        <f>SUM(D15:D17)</f>
        <v>102.47879999999999</v>
      </c>
      <c r="E18" s="77"/>
      <c r="F18" s="30"/>
      <c r="G18" s="30">
        <f>SUM(G15:G17)</f>
        <v>102.47879999999999</v>
      </c>
      <c r="H18" s="31">
        <f t="shared" si="1"/>
        <v>0</v>
      </c>
      <c r="I18" s="32">
        <f t="shared" si="2"/>
        <v>0</v>
      </c>
      <c r="J18" s="33">
        <f t="shared" ref="J18:J26" si="5">G18/$G$46</f>
        <v>0.50866827644287538</v>
      </c>
      <c r="K18" s="62">
        <f t="shared" si="4"/>
        <v>0.50527939960956425</v>
      </c>
    </row>
    <row r="19" spans="1:11" x14ac:dyDescent="0.2">
      <c r="A19" s="107" t="s">
        <v>38</v>
      </c>
      <c r="B19" s="73">
        <v>1</v>
      </c>
      <c r="C19" s="78">
        <f>VLOOKUP($B$3,'Data for Bill Impacts'!$A$3:$Y$15,7,0)</f>
        <v>42.25</v>
      </c>
      <c r="D19" s="22">
        <f>B19*C19</f>
        <v>42.25</v>
      </c>
      <c r="E19" s="73">
        <f t="shared" ref="E19:E41" si="6">B19</f>
        <v>1</v>
      </c>
      <c r="F19" s="122">
        <f>VLOOKUP($B$3,'Data for Bill Impacts'!$A$3:$Y$15,17,0)</f>
        <v>47.11</v>
      </c>
      <c r="G19" s="22">
        <f>E19*F19</f>
        <v>47.11</v>
      </c>
      <c r="H19" s="22">
        <f t="shared" si="1"/>
        <v>4.8599999999999994</v>
      </c>
      <c r="I19" s="23">
        <f t="shared" si="2"/>
        <v>0.11502958579881656</v>
      </c>
      <c r="J19" s="23">
        <f t="shared" si="5"/>
        <v>0.23383726686128117</v>
      </c>
      <c r="K19" s="108">
        <f t="shared" si="4"/>
        <v>0.23227938379066279</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920</v>
      </c>
      <c r="C23" s="78">
        <f>VLOOKUP($B$3,'Data for Bill Impacts'!$A$3:$Y$15,10,0)</f>
        <v>1.9400000000000001E-2</v>
      </c>
      <c r="D23" s="22">
        <f>B23*C23</f>
        <v>17.847999999999999</v>
      </c>
      <c r="E23" s="73">
        <f t="shared" si="6"/>
        <v>920</v>
      </c>
      <c r="F23" s="78">
        <f>VLOOKUP($B$3,'Data for Bill Impacts'!$A$3:$Y$15,19,0)</f>
        <v>1.6E-2</v>
      </c>
      <c r="G23" s="22">
        <f>E23*F23</f>
        <v>14.72</v>
      </c>
      <c r="H23" s="22">
        <f t="shared" si="1"/>
        <v>-3.1279999999999983</v>
      </c>
      <c r="I23" s="23">
        <f t="shared" si="2"/>
        <v>-0.17525773195876279</v>
      </c>
      <c r="J23" s="23">
        <f t="shared" si="5"/>
        <v>7.3064839061729128E-2</v>
      </c>
      <c r="K23" s="108">
        <f t="shared" si="4"/>
        <v>7.2578062606634616E-2</v>
      </c>
    </row>
    <row r="24" spans="1:11" x14ac:dyDescent="0.2">
      <c r="A24" s="107" t="s">
        <v>121</v>
      </c>
      <c r="B24" s="73">
        <f>IF($B$9="kWh",$B$4,$B$5)</f>
        <v>920</v>
      </c>
      <c r="C24" s="126">
        <f>VLOOKUP($B$3,'Data for Bill Impacts'!$A$3:$Y$15,14,0)</f>
        <v>2.0000000000000001E-4</v>
      </c>
      <c r="D24" s="22">
        <f>B24*C24</f>
        <v>0.184</v>
      </c>
      <c r="E24" s="73">
        <f>B24</f>
        <v>920</v>
      </c>
      <c r="F24" s="126">
        <f>VLOOKUP($B$3,'Data for Bill Impacts'!$A$3:$Y$15,23,0)</f>
        <v>2.0000000000000001E-4</v>
      </c>
      <c r="G24" s="22">
        <f>E24*F24</f>
        <v>0.184</v>
      </c>
      <c r="H24" s="22">
        <f>G24-D24</f>
        <v>0</v>
      </c>
      <c r="I24" s="23">
        <f>IF(ISERROR(H24/D24),0,(H24/D24))</f>
        <v>0</v>
      </c>
      <c r="J24" s="23">
        <f t="shared" si="5"/>
        <v>9.1331048827161397E-4</v>
      </c>
      <c r="K24" s="108">
        <f t="shared" si="4"/>
        <v>9.072257825829326E-4</v>
      </c>
    </row>
    <row r="25" spans="1:11" s="1" customFormat="1" x14ac:dyDescent="0.2">
      <c r="A25" s="110" t="s">
        <v>72</v>
      </c>
      <c r="B25" s="74"/>
      <c r="C25" s="35"/>
      <c r="D25" s="35">
        <f>SUM(D19:D24)</f>
        <v>60.281999999999996</v>
      </c>
      <c r="E25" s="73"/>
      <c r="F25" s="35"/>
      <c r="G25" s="35">
        <f>SUM(G19:G24)</f>
        <v>62.013999999999996</v>
      </c>
      <c r="H25" s="35">
        <f t="shared" si="1"/>
        <v>1.7319999999999993</v>
      </c>
      <c r="I25" s="36">
        <f t="shared" si="2"/>
        <v>2.8731628014996177E-2</v>
      </c>
      <c r="J25" s="36">
        <f t="shared" si="5"/>
        <v>0.30781541641128191</v>
      </c>
      <c r="K25" s="111">
        <f t="shared" si="4"/>
        <v>0.30576467217988035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3.9212787268183428E-3</v>
      </c>
      <c r="K26" s="108">
        <f t="shared" si="4"/>
        <v>3.8951541752202E-3</v>
      </c>
    </row>
    <row r="27" spans="1:11" s="1" customFormat="1" x14ac:dyDescent="0.2">
      <c r="A27" s="119" t="s">
        <v>75</v>
      </c>
      <c r="B27" s="120">
        <f>B8-B4</f>
        <v>69.920000000000073</v>
      </c>
      <c r="C27" s="121">
        <f>IF(B4&gt;B7,C13,C12)</f>
        <v>0.121</v>
      </c>
      <c r="D27" s="22">
        <f>B27*C27</f>
        <v>8.4603200000000083</v>
      </c>
      <c r="E27" s="73">
        <f>B27</f>
        <v>69.920000000000073</v>
      </c>
      <c r="F27" s="121">
        <f>C27</f>
        <v>0.121</v>
      </c>
      <c r="G27" s="22">
        <f>E27*F27</f>
        <v>8.4603200000000083</v>
      </c>
      <c r="H27" s="22">
        <f t="shared" si="1"/>
        <v>0</v>
      </c>
      <c r="I27" s="23">
        <f>IF(ISERROR(H27/D27),0,(H27/D27))</f>
        <v>0</v>
      </c>
      <c r="J27" s="23">
        <f t="shared" ref="J27:J46" si="9">G27/$G$46</f>
        <v>4.1994016250728849E-2</v>
      </c>
      <c r="K27" s="108">
        <f t="shared" ref="K27:K41" si="10">G27/$G$51</f>
        <v>4.1714241483163279E-2</v>
      </c>
    </row>
    <row r="28" spans="1:11" s="1" customFormat="1" x14ac:dyDescent="0.2">
      <c r="A28" s="119" t="s">
        <v>74</v>
      </c>
      <c r="B28" s="120">
        <f>B8-B4</f>
        <v>69.920000000000073</v>
      </c>
      <c r="C28" s="121">
        <f>0.65*C15+0.17*C16+0.18*C17</f>
        <v>0.11139</v>
      </c>
      <c r="D28" s="22">
        <f>B28*C28</f>
        <v>7.7883888000000079</v>
      </c>
      <c r="E28" s="73">
        <f>B28</f>
        <v>69.920000000000073</v>
      </c>
      <c r="F28" s="121">
        <f>C28</f>
        <v>0.11139</v>
      </c>
      <c r="G28" s="22">
        <f>E28*F28</f>
        <v>7.7883888000000079</v>
      </c>
      <c r="H28" s="22">
        <f t="shared" si="1"/>
        <v>0</v>
      </c>
      <c r="I28" s="23">
        <f>IF(ISERROR(H28/D28),0,(H28/D28))</f>
        <v>0</v>
      </c>
      <c r="J28" s="23">
        <f t="shared" si="9"/>
        <v>3.8658789009658572E-2</v>
      </c>
      <c r="K28" s="108">
        <f t="shared" si="10"/>
        <v>3.8401234370326928E-2</v>
      </c>
    </row>
    <row r="29" spans="1:11" s="1" customFormat="1" x14ac:dyDescent="0.2">
      <c r="A29" s="110" t="s">
        <v>78</v>
      </c>
      <c r="B29" s="74"/>
      <c r="C29" s="35"/>
      <c r="D29" s="35">
        <f>SUM(D25,D26:D27)</f>
        <v>69.532319999999999</v>
      </c>
      <c r="E29" s="73"/>
      <c r="F29" s="35"/>
      <c r="G29" s="35">
        <f>SUM(G25,G26:G27)</f>
        <v>71.264319999999998</v>
      </c>
      <c r="H29" s="35">
        <f t="shared" si="1"/>
        <v>1.7319999999999993</v>
      </c>
      <c r="I29" s="36">
        <f>IF(ISERROR(H29/D29),0,(H29/D29))</f>
        <v>2.4909279598322037E-2</v>
      </c>
      <c r="J29" s="36">
        <f t="shared" si="9"/>
        <v>0.35373071138882906</v>
      </c>
      <c r="K29" s="111">
        <f t="shared" si="10"/>
        <v>0.3513740678382638</v>
      </c>
    </row>
    <row r="30" spans="1:11" s="1" customFormat="1" x14ac:dyDescent="0.2">
      <c r="A30" s="110" t="s">
        <v>77</v>
      </c>
      <c r="B30" s="74"/>
      <c r="C30" s="35"/>
      <c r="D30" s="35">
        <f>SUM(D25,D26,D28)</f>
        <v>68.86038880000001</v>
      </c>
      <c r="E30" s="73"/>
      <c r="F30" s="35"/>
      <c r="G30" s="35">
        <f>SUM(G25,G26,G28)</f>
        <v>70.592388800000009</v>
      </c>
      <c r="H30" s="35">
        <f t="shared" si="1"/>
        <v>1.7319999999999993</v>
      </c>
      <c r="I30" s="36">
        <f>IF(ISERROR(H30/D30),0,(H30/D30))</f>
        <v>2.5152341283324255E-2</v>
      </c>
      <c r="J30" s="36">
        <f t="shared" si="9"/>
        <v>0.35039548414775884</v>
      </c>
      <c r="K30" s="111">
        <f t="shared" si="10"/>
        <v>0.34806106072542747</v>
      </c>
    </row>
    <row r="31" spans="1:11" x14ac:dyDescent="0.2">
      <c r="A31" s="107" t="s">
        <v>40</v>
      </c>
      <c r="B31" s="73">
        <f>B8</f>
        <v>989.92000000000007</v>
      </c>
      <c r="C31" s="126">
        <f>VLOOKUP($B$3,'Data for Bill Impacts'!$A$3:$Y$15,15,0)</f>
        <v>7.2069999999999999E-3</v>
      </c>
      <c r="D31" s="22">
        <f>B31*C31</f>
        <v>7.1343534400000008</v>
      </c>
      <c r="E31" s="73">
        <f t="shared" si="6"/>
        <v>989.92000000000007</v>
      </c>
      <c r="F31" s="126">
        <f>VLOOKUP($B$3,'Data for Bill Impacts'!$A$3:$Y$15,24,0)</f>
        <v>7.2069999999999999E-3</v>
      </c>
      <c r="G31" s="22">
        <f>E31*F31</f>
        <v>7.1343534400000008</v>
      </c>
      <c r="H31" s="22">
        <f t="shared" si="1"/>
        <v>0</v>
      </c>
      <c r="I31" s="23">
        <f t="shared" si="2"/>
        <v>0</v>
      </c>
      <c r="J31" s="23">
        <f t="shared" si="9"/>
        <v>3.541239034667755E-2</v>
      </c>
      <c r="K31" s="108">
        <f t="shared" si="10"/>
        <v>3.5176464037104553E-2</v>
      </c>
    </row>
    <row r="32" spans="1:11" x14ac:dyDescent="0.2">
      <c r="A32" s="107" t="s">
        <v>41</v>
      </c>
      <c r="B32" s="73">
        <f>B8</f>
        <v>989.92000000000007</v>
      </c>
      <c r="C32" s="126">
        <f>VLOOKUP($B$3,'Data for Bill Impacts'!$A$3:$Y$15,16,0)</f>
        <v>6.0319999999999992E-3</v>
      </c>
      <c r="D32" s="22">
        <f>B32*C32</f>
        <v>5.9711974399999992</v>
      </c>
      <c r="E32" s="73">
        <f t="shared" si="6"/>
        <v>989.92000000000007</v>
      </c>
      <c r="F32" s="126">
        <f>VLOOKUP($B$3,'Data for Bill Impacts'!$A$3:$Y$15,25,0)</f>
        <v>6.0319999999999992E-3</v>
      </c>
      <c r="G32" s="22">
        <f>E32*F32</f>
        <v>5.9711974399999992</v>
      </c>
      <c r="H32" s="22">
        <f t="shared" si="1"/>
        <v>0</v>
      </c>
      <c r="I32" s="23">
        <f t="shared" si="2"/>
        <v>0</v>
      </c>
      <c r="J32" s="23">
        <f t="shared" si="9"/>
        <v>2.9638898095068537E-2</v>
      </c>
      <c r="K32" s="108">
        <f t="shared" si="10"/>
        <v>2.9441436252506538E-2</v>
      </c>
    </row>
    <row r="33" spans="1:11" s="1" customFormat="1" x14ac:dyDescent="0.2">
      <c r="A33" s="110" t="s">
        <v>76</v>
      </c>
      <c r="B33" s="74"/>
      <c r="C33" s="35"/>
      <c r="D33" s="35">
        <f>SUM(D31:D32)</f>
        <v>13.105550879999999</v>
      </c>
      <c r="E33" s="73"/>
      <c r="F33" s="35"/>
      <c r="G33" s="35">
        <f>SUM(G31:G32)</f>
        <v>13.105550879999999</v>
      </c>
      <c r="H33" s="35">
        <f t="shared" si="1"/>
        <v>0</v>
      </c>
      <c r="I33" s="36">
        <f t="shared" si="2"/>
        <v>0</v>
      </c>
      <c r="J33" s="36">
        <f t="shared" si="9"/>
        <v>6.5051288441746083E-2</v>
      </c>
      <c r="K33" s="111">
        <f t="shared" si="10"/>
        <v>6.4617900289611091E-2</v>
      </c>
    </row>
    <row r="34" spans="1:11" s="1" customFormat="1" x14ac:dyDescent="0.2">
      <c r="A34" s="110" t="s">
        <v>91</v>
      </c>
      <c r="B34" s="74"/>
      <c r="C34" s="35"/>
      <c r="D34" s="35">
        <f>D29+D33</f>
        <v>82.637870879999994</v>
      </c>
      <c r="E34" s="73"/>
      <c r="F34" s="35"/>
      <c r="G34" s="35">
        <f>G29+G33</f>
        <v>84.369870879999993</v>
      </c>
      <c r="H34" s="35">
        <f t="shared" si="1"/>
        <v>1.7319999999999993</v>
      </c>
      <c r="I34" s="36">
        <f t="shared" si="2"/>
        <v>2.0958913650075389E-2</v>
      </c>
      <c r="J34" s="36">
        <f t="shared" si="9"/>
        <v>0.41878199983057512</v>
      </c>
      <c r="K34" s="111">
        <f t="shared" si="10"/>
        <v>0.41599196812787487</v>
      </c>
    </row>
    <row r="35" spans="1:11" s="1" customFormat="1" x14ac:dyDescent="0.2">
      <c r="A35" s="110" t="s">
        <v>92</v>
      </c>
      <c r="B35" s="74"/>
      <c r="C35" s="35"/>
      <c r="D35" s="35">
        <f>D30+D33</f>
        <v>81.965939680000005</v>
      </c>
      <c r="E35" s="73"/>
      <c r="F35" s="35"/>
      <c r="G35" s="35">
        <f>G30+G33</f>
        <v>83.697939680000005</v>
      </c>
      <c r="H35" s="35">
        <f t="shared" si="1"/>
        <v>1.7319999999999993</v>
      </c>
      <c r="I35" s="36">
        <f t="shared" si="2"/>
        <v>2.1130728284966076E-2</v>
      </c>
      <c r="J35" s="36">
        <f t="shared" si="9"/>
        <v>0.41544677258950491</v>
      </c>
      <c r="K35" s="111">
        <f t="shared" si="10"/>
        <v>0.41267896101503854</v>
      </c>
    </row>
    <row r="36" spans="1:11" x14ac:dyDescent="0.2">
      <c r="A36" s="107" t="s">
        <v>42</v>
      </c>
      <c r="B36" s="73">
        <f>B8</f>
        <v>989.92000000000007</v>
      </c>
      <c r="C36" s="34">
        <v>3.5999999999999999E-3</v>
      </c>
      <c r="D36" s="22">
        <f>B36*C36</f>
        <v>3.5637120000000002</v>
      </c>
      <c r="E36" s="73">
        <f t="shared" si="6"/>
        <v>989.92000000000007</v>
      </c>
      <c r="F36" s="34">
        <v>3.5999999999999999E-3</v>
      </c>
      <c r="G36" s="22">
        <f>E36*F36</f>
        <v>3.5637120000000002</v>
      </c>
      <c r="H36" s="22">
        <f t="shared" si="1"/>
        <v>0</v>
      </c>
      <c r="I36" s="23">
        <f t="shared" si="2"/>
        <v>0</v>
      </c>
      <c r="J36" s="23">
        <f t="shared" si="9"/>
        <v>1.7688997536844622E-2</v>
      </c>
      <c r="K36" s="108">
        <f t="shared" si="10"/>
        <v>1.757114895706624E-2</v>
      </c>
    </row>
    <row r="37" spans="1:11" x14ac:dyDescent="0.2">
      <c r="A37" s="107" t="s">
        <v>43</v>
      </c>
      <c r="B37" s="73">
        <f>B8</f>
        <v>989.92000000000007</v>
      </c>
      <c r="C37" s="34">
        <v>2.0999999999999999E-3</v>
      </c>
      <c r="D37" s="22">
        <f>B37*C37</f>
        <v>2.0788320000000002</v>
      </c>
      <c r="E37" s="73">
        <f t="shared" si="6"/>
        <v>989.92000000000007</v>
      </c>
      <c r="F37" s="34">
        <v>2.0999999999999999E-3</v>
      </c>
      <c r="G37" s="22">
        <f>E37*F37</f>
        <v>2.0788320000000002</v>
      </c>
      <c r="H37" s="22">
        <f>G37-D37</f>
        <v>0</v>
      </c>
      <c r="I37" s="23">
        <f t="shared" si="2"/>
        <v>0</v>
      </c>
      <c r="J37" s="23">
        <f t="shared" si="9"/>
        <v>1.0318581896492696E-2</v>
      </c>
      <c r="K37" s="108">
        <f t="shared" si="10"/>
        <v>1.0249836891621974E-2</v>
      </c>
    </row>
    <row r="38" spans="1:11" x14ac:dyDescent="0.2">
      <c r="A38" s="107" t="s">
        <v>96</v>
      </c>
      <c r="B38" s="73">
        <f>B8</f>
        <v>989.92000000000007</v>
      </c>
      <c r="C38" s="34">
        <v>1.1000000000000001E-3</v>
      </c>
      <c r="D38" s="22">
        <f>B38*C38</f>
        <v>1.0889120000000001</v>
      </c>
      <c r="E38" s="73">
        <f t="shared" si="6"/>
        <v>989.92000000000007</v>
      </c>
      <c r="F38" s="34">
        <v>1.1000000000000001E-3</v>
      </c>
      <c r="G38" s="22">
        <f>E38*F38</f>
        <v>1.0889120000000001</v>
      </c>
      <c r="H38" s="22">
        <f>G38-D38</f>
        <v>0</v>
      </c>
      <c r="I38" s="23">
        <f t="shared" si="2"/>
        <v>0</v>
      </c>
      <c r="J38" s="23">
        <f t="shared" si="9"/>
        <v>5.4049714695914124E-3</v>
      </c>
      <c r="K38" s="108">
        <f t="shared" si="10"/>
        <v>5.3689621813257961E-3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1.2409109894994756E-3</v>
      </c>
      <c r="K39" s="108">
        <f t="shared" si="10"/>
        <v>1.2326437263355063E-3</v>
      </c>
    </row>
    <row r="40" spans="1:11" s="1" customFormat="1" x14ac:dyDescent="0.2">
      <c r="A40" s="110" t="s">
        <v>45</v>
      </c>
      <c r="B40" s="74"/>
      <c r="C40" s="35"/>
      <c r="D40" s="35">
        <f>SUM(D36:D39)</f>
        <v>6.9814560000000014</v>
      </c>
      <c r="E40" s="73"/>
      <c r="F40" s="35"/>
      <c r="G40" s="35">
        <f>SUM(G36:G39)</f>
        <v>6.9814560000000014</v>
      </c>
      <c r="H40" s="35">
        <f t="shared" si="1"/>
        <v>0</v>
      </c>
      <c r="I40" s="36">
        <f t="shared" si="2"/>
        <v>0</v>
      </c>
      <c r="J40" s="36">
        <f t="shared" si="9"/>
        <v>3.4653461892428211E-2</v>
      </c>
      <c r="K40" s="111">
        <f t="shared" si="10"/>
        <v>3.442259175634952E-2</v>
      </c>
    </row>
    <row r="41" spans="1:11" s="1" customFormat="1" ht="13.5" thickBot="1" x14ac:dyDescent="0.25">
      <c r="A41" s="112" t="s">
        <v>46</v>
      </c>
      <c r="B41" s="113">
        <f>B4</f>
        <v>920</v>
      </c>
      <c r="C41" s="114">
        <v>0</v>
      </c>
      <c r="D41" s="115">
        <f>B41*C41</f>
        <v>0</v>
      </c>
      <c r="E41" s="116">
        <f t="shared" si="6"/>
        <v>920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190.13932688</v>
      </c>
      <c r="E42" s="38"/>
      <c r="F42" s="39"/>
      <c r="G42" s="39">
        <f>SUM(G14,G25,G26,G27,G33,G40,G41)</f>
        <v>191.87132688</v>
      </c>
      <c r="H42" s="39">
        <f t="shared" si="1"/>
        <v>1.7319999999999993</v>
      </c>
      <c r="I42" s="40">
        <f>IF(ISERROR(H42/D42),0,(H42/D42))</f>
        <v>9.1091097692435428E-3</v>
      </c>
      <c r="J42" s="40">
        <f t="shared" si="9"/>
        <v>0.95238095238095244</v>
      </c>
      <c r="K42" s="41"/>
    </row>
    <row r="43" spans="1:11" x14ac:dyDescent="0.2">
      <c r="A43" s="154" t="s">
        <v>102</v>
      </c>
      <c r="B43" s="43"/>
      <c r="C43" s="26">
        <v>0.13</v>
      </c>
      <c r="D43" s="26">
        <f>D42*C43</f>
        <v>24.7181124944</v>
      </c>
      <c r="E43" s="26"/>
      <c r="F43" s="26">
        <f>C43</f>
        <v>0.13</v>
      </c>
      <c r="G43" s="26">
        <f>G42*F43</f>
        <v>24.943272494400002</v>
      </c>
      <c r="H43" s="26">
        <f t="shared" si="1"/>
        <v>0.22516000000000247</v>
      </c>
      <c r="I43" s="44">
        <f t="shared" si="2"/>
        <v>9.1091097692436469E-3</v>
      </c>
      <c r="J43" s="44">
        <f t="shared" si="9"/>
        <v>0.12380952380952383</v>
      </c>
      <c r="K43" s="45"/>
    </row>
    <row r="44" spans="1:11" s="1" customFormat="1" x14ac:dyDescent="0.2">
      <c r="A44" s="46" t="s">
        <v>103</v>
      </c>
      <c r="B44" s="24"/>
      <c r="C44" s="25"/>
      <c r="D44" s="25">
        <f>SUM(D42:D43)</f>
        <v>214.8574393744</v>
      </c>
      <c r="E44" s="25"/>
      <c r="F44" s="25"/>
      <c r="G44" s="25">
        <f>SUM(G42:G43)</f>
        <v>216.81459937439999</v>
      </c>
      <c r="H44" s="25">
        <f t="shared" si="1"/>
        <v>1.9571599999999876</v>
      </c>
      <c r="I44" s="27">
        <f t="shared" si="2"/>
        <v>9.109109769243489E-3</v>
      </c>
      <c r="J44" s="27">
        <f t="shared" si="9"/>
        <v>1.0761904761904761</v>
      </c>
      <c r="K44" s="47"/>
    </row>
    <row r="45" spans="1:11" x14ac:dyDescent="0.2">
      <c r="A45" s="42" t="s">
        <v>104</v>
      </c>
      <c r="B45" s="43"/>
      <c r="C45" s="26">
        <v>-0.08</v>
      </c>
      <c r="D45" s="26">
        <f>D42*C45</f>
        <v>-15.211146150399999</v>
      </c>
      <c r="E45" s="26"/>
      <c r="F45" s="26">
        <f>C45</f>
        <v>-0.08</v>
      </c>
      <c r="G45" s="26">
        <f>G42*F45</f>
        <v>-15.349706150399999</v>
      </c>
      <c r="H45" s="26">
        <f t="shared" si="1"/>
        <v>-0.13856000000000002</v>
      </c>
      <c r="I45" s="44">
        <f t="shared" si="2"/>
        <v>9.109109769243548E-3</v>
      </c>
      <c r="J45" s="44">
        <f t="shared" si="9"/>
        <v>-7.6190476190476197E-2</v>
      </c>
      <c r="K45" s="45"/>
    </row>
    <row r="46" spans="1:11" s="1" customFormat="1" ht="13.5" thickBot="1" x14ac:dyDescent="0.25">
      <c r="A46" s="48" t="s">
        <v>105</v>
      </c>
      <c r="B46" s="49"/>
      <c r="C46" s="50"/>
      <c r="D46" s="50">
        <f>SUM(D44:D45)</f>
        <v>199.646293224</v>
      </c>
      <c r="E46" s="50"/>
      <c r="F46" s="50"/>
      <c r="G46" s="50">
        <f>SUM(G44:G45)</f>
        <v>201.46489322399998</v>
      </c>
      <c r="H46" s="50">
        <f t="shared" si="1"/>
        <v>1.8185999999999751</v>
      </c>
      <c r="I46" s="51">
        <f t="shared" si="2"/>
        <v>9.1091097692434213E-3</v>
      </c>
      <c r="J46" s="51">
        <f t="shared" si="9"/>
        <v>1</v>
      </c>
      <c r="K46" s="52"/>
    </row>
    <row r="47" spans="1:11" x14ac:dyDescent="0.2">
      <c r="A47" s="53" t="s">
        <v>106</v>
      </c>
      <c r="B47" s="54"/>
      <c r="C47" s="55"/>
      <c r="D47" s="55">
        <f>SUM(D18,D25,D26,D28,D33,D40,D41)</f>
        <v>191.42619568000001</v>
      </c>
      <c r="E47" s="55"/>
      <c r="F47" s="55"/>
      <c r="G47" s="55">
        <f>SUM(G18,G25,G26,G28,G33,G40,G41)</f>
        <v>193.15819568000001</v>
      </c>
      <c r="H47" s="55">
        <f>G47-D47</f>
        <v>1.7319999999999993</v>
      </c>
      <c r="I47" s="56">
        <f>IF(ISERROR(H47/D47),0,(H47/D47))</f>
        <v>9.0478734838115825E-3</v>
      </c>
      <c r="J47" s="56"/>
      <c r="K47" s="57">
        <f>G47/$G$51</f>
        <v>0.95238095238095244</v>
      </c>
    </row>
    <row r="48" spans="1:11" x14ac:dyDescent="0.2">
      <c r="A48" s="58" t="s">
        <v>102</v>
      </c>
      <c r="B48" s="59"/>
      <c r="C48" s="31">
        <v>0.13</v>
      </c>
      <c r="D48" s="31">
        <f>D47*C48</f>
        <v>24.885405438400003</v>
      </c>
      <c r="E48" s="31"/>
      <c r="F48" s="31">
        <f>C48</f>
        <v>0.13</v>
      </c>
      <c r="G48" s="31">
        <f>G47*F48</f>
        <v>25.110565438400002</v>
      </c>
      <c r="H48" s="31">
        <f>G48-D48</f>
        <v>0.22515999999999892</v>
      </c>
      <c r="I48" s="32">
        <f>IF(ISERROR(H48/D48),0,(H48/D48))</f>
        <v>9.0478734838115409E-3</v>
      </c>
      <c r="J48" s="32"/>
      <c r="K48" s="60">
        <f>G48/$G$51</f>
        <v>0.12380952380952381</v>
      </c>
    </row>
    <row r="49" spans="1:11" x14ac:dyDescent="0.2">
      <c r="A49" s="61" t="s">
        <v>107</v>
      </c>
      <c r="B49" s="29"/>
      <c r="C49" s="30"/>
      <c r="D49" s="30">
        <f>SUM(D47:D48)</f>
        <v>216.31160111840001</v>
      </c>
      <c r="E49" s="30"/>
      <c r="F49" s="30"/>
      <c r="G49" s="30">
        <f>SUM(G47:G48)</f>
        <v>218.26876111839999</v>
      </c>
      <c r="H49" s="30">
        <f>G49-D49</f>
        <v>1.9571599999999876</v>
      </c>
      <c r="I49" s="33">
        <f>IF(ISERROR(H49/D49),0,(H49/D49))</f>
        <v>9.0478734838115287E-3</v>
      </c>
      <c r="J49" s="33"/>
      <c r="K49" s="62">
        <f>G49/$G$51</f>
        <v>1.0761904761904761</v>
      </c>
    </row>
    <row r="50" spans="1:11" x14ac:dyDescent="0.2">
      <c r="A50" s="58" t="s">
        <v>104</v>
      </c>
      <c r="B50" s="59"/>
      <c r="C50" s="31">
        <v>-0.08</v>
      </c>
      <c r="D50" s="31">
        <f>D47*C50</f>
        <v>-15.314095654400001</v>
      </c>
      <c r="E50" s="31"/>
      <c r="F50" s="31">
        <f>C50</f>
        <v>-0.08</v>
      </c>
      <c r="G50" s="31">
        <f>G47*F50</f>
        <v>-15.452655654400001</v>
      </c>
      <c r="H50" s="31">
        <f>G50-D50</f>
        <v>-0.13856000000000002</v>
      </c>
      <c r="I50" s="32">
        <f>IF(ISERROR(H50/D50),0,(H50/D50))</f>
        <v>9.047873483811586E-3</v>
      </c>
      <c r="J50" s="32"/>
      <c r="K50" s="60">
        <f>G50/$G$51</f>
        <v>-7.6190476190476197E-2</v>
      </c>
    </row>
    <row r="51" spans="1:11" ht="13.5" thickBot="1" x14ac:dyDescent="0.25">
      <c r="A51" s="63" t="s">
        <v>116</v>
      </c>
      <c r="B51" s="64"/>
      <c r="C51" s="65"/>
      <c r="D51" s="65">
        <f>SUM(D49:D50)</f>
        <v>200.997505464</v>
      </c>
      <c r="E51" s="65"/>
      <c r="F51" s="65"/>
      <c r="G51" s="65">
        <f>SUM(G49:G50)</f>
        <v>202.816105464</v>
      </c>
      <c r="H51" s="65">
        <f>G51-D51</f>
        <v>1.8186000000000035</v>
      </c>
      <c r="I51" s="66">
        <f>IF(ISERROR(H51/D51),0,(H51/D51))</f>
        <v>9.0478734838116033E-3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3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 (Only Internal information is not for release to the public)</Hydro_x0020_One_x0020_Data_x0020_Classificat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0789A69331B447AA2C2A71A86A707D" ma:contentTypeVersion="0" ma:contentTypeDescription="Create a new document." ma:contentTypeScope="" ma:versionID="5399c839dd5a5c59d7d22ddc485bff23">
  <xsd:schema xmlns:xsd="http://www.w3.org/2001/XMLSchema" xmlns:xs="http://www.w3.org/2001/XMLSchema" xmlns:p="http://schemas.microsoft.com/office/2006/metadata/properties" xmlns:ns2="f0af1d65-dfd0-4b99-b523-def3a954563f" targetNamespace="http://schemas.microsoft.com/office/2006/metadata/properties" ma:root="true" ma:fieldsID="44cfc60566d61e9babd1b11f9b704ff8" ns2:_="">
    <xsd:import namespace="f0af1d65-dfd0-4b99-b523-def3a954563f"/>
    <xsd:element name="properties">
      <xsd:complexType>
        <xsd:sequence>
          <xsd:element name="documentManagement">
            <xsd:complexType>
              <xsd:all>
                <xsd:element ref="ns2:Hydro_x0020_One_x0020_Data_x0020_Classificat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ma:displayName="Hydro One Data Classification" ma:default="Internal Use (Only Internal information is not for release to the public)" ma:description="Use these options to classify the data you are uploading onto the site. Any questions please contact BIT security team" ma:format="RadioButtons" ma:hidden="true" ma:internalName="Hydro_x0020_One_x0020_Data_x0020_Classification" ma:readOnly="false">
      <xsd:simpleType>
        <xsd:restriction base="dms:Choice">
          <xsd:enumeration value="Internal Use (Only Internal information is not for release to the publ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C6E4C2-7425-4D12-ACC7-940A6042A858}">
  <ds:schemaRefs>
    <ds:schemaRef ds:uri="http://purl.org/dc/elements/1.1/"/>
    <ds:schemaRef ds:uri="f0af1d65-dfd0-4b99-b523-def3a954563f"/>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5164081-E7B4-4B50-93A0-05B6003B0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52E219-2E4D-4161-B014-9C4CFDE323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2</vt:i4>
      </vt:variant>
    </vt:vector>
  </HeadingPairs>
  <TitlesOfParts>
    <vt:vector size="49" baseType="lpstr">
      <vt:lpstr>Data for Bill Impacts</vt:lpstr>
      <vt:lpstr>Bill Impact Summary</vt:lpstr>
      <vt:lpstr>BI_UR_Low</vt:lpstr>
      <vt:lpstr>BI_UR_Typical</vt:lpstr>
      <vt:lpstr>BI_UR_Avg</vt:lpstr>
      <vt:lpstr>BI_UR_High</vt:lpstr>
      <vt:lpstr>BI_R1_Low</vt:lpstr>
      <vt:lpstr>BI_R1_Typical</vt:lpstr>
      <vt:lpstr>BI_R1_Avg</vt:lpstr>
      <vt:lpstr>BI_R1_High</vt:lpstr>
      <vt:lpstr>BI_R2_Low</vt:lpstr>
      <vt:lpstr>BI_R2_Typical</vt:lpstr>
      <vt:lpstr>BI_R2_Avg</vt:lpstr>
      <vt:lpstr>BI_R2_High</vt:lpstr>
      <vt:lpstr>BI_Seas_Low</vt:lpstr>
      <vt:lpstr>BI_Seas_Typical</vt:lpstr>
      <vt:lpstr>BI_Seas_Avg</vt:lpstr>
      <vt:lpstr>BI_Seas_High</vt:lpstr>
      <vt:lpstr>BI_UGe_Low</vt:lpstr>
      <vt:lpstr>BI_UGe_Typical</vt:lpstr>
      <vt:lpstr>BI_UGe_Avg</vt:lpstr>
      <vt:lpstr>BI_UGe_High</vt:lpstr>
      <vt:lpstr>BI_GSe_Low</vt:lpstr>
      <vt:lpstr>BI_GSe_Typical</vt:lpstr>
      <vt:lpstr>BI_GSe_Avg</vt:lpstr>
      <vt:lpstr>BI_GSe_High</vt:lpstr>
      <vt:lpstr>BI_UGd_Low</vt:lpstr>
      <vt:lpstr>BI_UGd_Avg</vt:lpstr>
      <vt:lpstr>BI_UGd_High</vt:lpstr>
      <vt:lpstr>BI_GSd_Low</vt:lpstr>
      <vt:lpstr>BI_GSd_Avg</vt:lpstr>
      <vt:lpstr>BI_GSd_High</vt:lpstr>
      <vt:lpstr>BI_DGen_Low</vt:lpstr>
      <vt:lpstr>BI_DGen_Avg</vt:lpstr>
      <vt:lpstr>BI_DGen_High</vt:lpstr>
      <vt:lpstr>BI_ST_Low</vt:lpstr>
      <vt:lpstr>BI_ST_Avg</vt:lpstr>
      <vt:lpstr>BI_ST_High</vt:lpstr>
      <vt:lpstr>BI_USL_Low</vt:lpstr>
      <vt:lpstr>BI_USL_Avg</vt:lpstr>
      <vt:lpstr>BI_USL_High</vt:lpstr>
      <vt:lpstr>BI_SenLgt_Low</vt:lpstr>
      <vt:lpstr>BI_SenLgt_Avg</vt:lpstr>
      <vt:lpstr>BI_SenLgt_High</vt:lpstr>
      <vt:lpstr>BI_StLgt_Low</vt:lpstr>
      <vt:lpstr>BI_StLgt_Avg</vt:lpstr>
      <vt:lpstr>BI_StLgt_High</vt:lpstr>
      <vt:lpstr>BI_DGen_Avg!Print_Area</vt:lpstr>
      <vt:lpstr>'Bill Impact Summary'!Print_Area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SHETH Nikita</dc:creator>
  <cp:lastModifiedBy>GAUVREAU Diane</cp:lastModifiedBy>
  <cp:lastPrinted>2017-03-01T20:52:17Z</cp:lastPrinted>
  <dcterms:created xsi:type="dcterms:W3CDTF">2013-09-20T18:49:19Z</dcterms:created>
  <dcterms:modified xsi:type="dcterms:W3CDTF">2017-05-03T15:26:31Z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0x010100050789A69331B447AA2C2A71A86A707D</vt:lpwstr>
  </property>
</Properties>
</file>